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" yWindow="3960" windowWidth="19320" windowHeight="6300" tabRatio="868"/>
  </bookViews>
  <sheets>
    <sheet name="Summary" sheetId="18" r:id="rId1"/>
    <sheet name="1806" sheetId="21" r:id="rId2"/>
    <sheet name="1820" sheetId="22" r:id="rId3"/>
    <sheet name="1830" sheetId="23" r:id="rId4"/>
    <sheet name="1835" sheetId="24" r:id="rId5"/>
    <sheet name="1840" sheetId="27" r:id="rId6"/>
    <sheet name="1845" sheetId="28" r:id="rId7"/>
    <sheet name="1850.1000" sheetId="29" r:id="rId8"/>
    <sheet name="1850.2000" sheetId="30" r:id="rId9"/>
    <sheet name="1855.1000" sheetId="25" r:id="rId10"/>
    <sheet name="1855.2000" sheetId="26" r:id="rId11"/>
    <sheet name="1860.1000" sheetId="31" r:id="rId12"/>
    <sheet name="1860.1500" sheetId="41" r:id="rId13"/>
    <sheet name="1860.2000" sheetId="32" r:id="rId14"/>
    <sheet name="1860.3000" sheetId="33" r:id="rId15"/>
    <sheet name="1905" sheetId="34" r:id="rId16"/>
    <sheet name="1908" sheetId="35" r:id="rId17"/>
    <sheet name="1908.1000" sheetId="36" r:id="rId18"/>
    <sheet name="1915" sheetId="1" r:id="rId19"/>
    <sheet name="1920" sheetId="2" r:id="rId20"/>
    <sheet name="1921 COMPUTER SOFTWARE" sheetId="9" state="hidden" r:id="rId21"/>
    <sheet name="1925" sheetId="37" r:id="rId22"/>
    <sheet name="1930" sheetId="42" r:id="rId23"/>
    <sheet name="1940" sheetId="4" r:id="rId24"/>
    <sheet name="1955" sheetId="11" r:id="rId25"/>
    <sheet name="1960.1000" sheetId="15" r:id="rId26"/>
    <sheet name="GL 1963 HEALTH &amp; SAFETY" sheetId="5" state="hidden" r:id="rId27"/>
    <sheet name="GL 1970 LOAD MGT CONTROLS" sheetId="7" state="hidden" r:id="rId28"/>
    <sheet name="1980" sheetId="8" r:id="rId29"/>
    <sheet name="1980-b" sheetId="38" r:id="rId30"/>
    <sheet name="1995" sheetId="39" r:id="rId31"/>
  </sheets>
  <definedNames>
    <definedName name="_xlnm._FilterDatabase" localSheetId="23" hidden="1">'1940'!$A$8:$P$17</definedName>
    <definedName name="_xlnm.Print_Area" localSheetId="3">'1830'!$A$1:$S$59</definedName>
    <definedName name="_xlnm.Print_Area" localSheetId="5">'1840'!$A$1:$U$53</definedName>
    <definedName name="_xlnm.Print_Area" localSheetId="11">'1860.1000'!$A$1:$N$52</definedName>
    <definedName name="_xlnm.Print_Area" localSheetId="12">'1860.1500'!$A$1:$N$20</definedName>
    <definedName name="_xlnm.Print_Area" localSheetId="19">'1920'!$A$14:$I$17</definedName>
    <definedName name="_xlnm.Print_Area" localSheetId="20">'1921 COMPUTER SOFTWARE'!$A$1:$U$27</definedName>
    <definedName name="_xlnm.Print_Area" localSheetId="22">'1930'!$A$1:$U$28</definedName>
    <definedName name="_xlnm.Print_Area" localSheetId="23">'1940'!$B$9:$H$9</definedName>
    <definedName name="_xlnm.Print_Titles" localSheetId="23">'1940'!$1:$8</definedName>
  </definedNames>
  <calcPr calcId="145621"/>
</workbook>
</file>

<file path=xl/calcChain.xml><?xml version="1.0" encoding="utf-8"?>
<calcChain xmlns="http://schemas.openxmlformats.org/spreadsheetml/2006/main">
  <c r="M55" i="23" l="1"/>
  <c r="M59" i="23" s="1"/>
  <c r="M56" i="23"/>
  <c r="L57" i="23"/>
  <c r="L59" i="23"/>
  <c r="M57" i="23" s="1"/>
  <c r="G9" i="38" l="1"/>
  <c r="C29" i="18"/>
  <c r="U12" i="42"/>
  <c r="U30" i="42"/>
  <c r="U33" i="42"/>
  <c r="U34" i="42"/>
  <c r="U35" i="42"/>
  <c r="U36" i="42"/>
  <c r="U37" i="42"/>
  <c r="U38" i="42"/>
  <c r="U39" i="42"/>
  <c r="U40" i="42"/>
  <c r="U41" i="42"/>
  <c r="U42" i="42"/>
  <c r="U43" i="42"/>
  <c r="U44" i="42"/>
  <c r="U45" i="42"/>
  <c r="U46" i="42"/>
  <c r="U47" i="42"/>
  <c r="U48" i="42"/>
  <c r="U49" i="42"/>
  <c r="U50" i="42"/>
  <c r="U51" i="42"/>
  <c r="U52" i="42"/>
  <c r="U53" i="42"/>
  <c r="U54" i="42"/>
  <c r="U55" i="42"/>
  <c r="U56" i="42"/>
  <c r="U57" i="42"/>
  <c r="U58" i="42"/>
  <c r="U59" i="42"/>
  <c r="U60" i="42"/>
  <c r="U61" i="42"/>
  <c r="U62" i="42"/>
  <c r="A28" i="18"/>
  <c r="O26" i="42"/>
  <c r="O25" i="42"/>
  <c r="U25" i="42" s="1"/>
  <c r="O24" i="42"/>
  <c r="O23" i="42"/>
  <c r="O22" i="42"/>
  <c r="K22" i="42"/>
  <c r="E22" i="42"/>
  <c r="D22" i="42"/>
  <c r="R21" i="42"/>
  <c r="Q21" i="42"/>
  <c r="P21" i="42"/>
  <c r="O21" i="42"/>
  <c r="K21" i="42"/>
  <c r="E21" i="42"/>
  <c r="D21" i="42"/>
  <c r="R20" i="42"/>
  <c r="Q20" i="42"/>
  <c r="P20" i="42"/>
  <c r="O20" i="42"/>
  <c r="M20" i="42"/>
  <c r="K20" i="42"/>
  <c r="E20" i="42"/>
  <c r="D20" i="42"/>
  <c r="R19" i="42"/>
  <c r="Q19" i="42"/>
  <c r="P19" i="42"/>
  <c r="O19" i="42"/>
  <c r="M19" i="42"/>
  <c r="K19" i="42"/>
  <c r="E19" i="42"/>
  <c r="D19" i="42"/>
  <c r="R18" i="42"/>
  <c r="Q18" i="42"/>
  <c r="P18" i="42"/>
  <c r="O18" i="42"/>
  <c r="M18" i="42"/>
  <c r="K18" i="42"/>
  <c r="E18" i="42"/>
  <c r="D18" i="42"/>
  <c r="R17" i="42"/>
  <c r="Q17" i="42"/>
  <c r="P17" i="42"/>
  <c r="O17" i="42"/>
  <c r="N17" i="42"/>
  <c r="M17" i="42"/>
  <c r="K17" i="42"/>
  <c r="G17" i="42"/>
  <c r="E17" i="42"/>
  <c r="D17" i="42"/>
  <c r="B17" i="42"/>
  <c r="A17" i="42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R16" i="42"/>
  <c r="Q16" i="42"/>
  <c r="P16" i="42"/>
  <c r="O16" i="42"/>
  <c r="N16" i="42"/>
  <c r="M16" i="42"/>
  <c r="K16" i="42"/>
  <c r="G16" i="42"/>
  <c r="E16" i="42"/>
  <c r="D16" i="42"/>
  <c r="B16" i="42"/>
  <c r="R15" i="42"/>
  <c r="Q15" i="42"/>
  <c r="P15" i="42"/>
  <c r="O15" i="42"/>
  <c r="N15" i="42"/>
  <c r="M15" i="42"/>
  <c r="L15" i="42"/>
  <c r="K15" i="42"/>
  <c r="G15" i="42"/>
  <c r="E15" i="42"/>
  <c r="D15" i="42"/>
  <c r="B15" i="42"/>
  <c r="S14" i="42"/>
  <c r="S67" i="42" s="1"/>
  <c r="R14" i="42"/>
  <c r="Q14" i="42"/>
  <c r="P14" i="42"/>
  <c r="P22" i="42" s="1"/>
  <c r="O14" i="42"/>
  <c r="N14" i="42"/>
  <c r="M14" i="42"/>
  <c r="L14" i="42"/>
  <c r="K14" i="42"/>
  <c r="J14" i="42"/>
  <c r="J67" i="42" s="1"/>
  <c r="I14" i="42"/>
  <c r="I67" i="42" s="1"/>
  <c r="H14" i="42"/>
  <c r="H67" i="42" s="1"/>
  <c r="G14" i="42"/>
  <c r="F14" i="42"/>
  <c r="F67" i="42" s="1"/>
  <c r="E14" i="42"/>
  <c r="D14" i="42"/>
  <c r="C14" i="42"/>
  <c r="C67" i="42" s="1"/>
  <c r="B14" i="42"/>
  <c r="C6" i="42"/>
  <c r="F6" i="42" s="1"/>
  <c r="G12" i="37"/>
  <c r="L12" i="37" s="1"/>
  <c r="F12" i="37"/>
  <c r="L11" i="37"/>
  <c r="N11" i="37" s="1"/>
  <c r="O11" i="37" s="1"/>
  <c r="K11" i="37"/>
  <c r="L10" i="37"/>
  <c r="N10" i="37" s="1"/>
  <c r="O10" i="37" s="1"/>
  <c r="K10" i="37"/>
  <c r="G11" i="37"/>
  <c r="G10" i="37"/>
  <c r="F11" i="37"/>
  <c r="F10" i="37"/>
  <c r="C26" i="18"/>
  <c r="F15" i="2"/>
  <c r="N9" i="1"/>
  <c r="M9" i="1"/>
  <c r="K9" i="1"/>
  <c r="J9" i="1"/>
  <c r="F9" i="1"/>
  <c r="C19" i="18"/>
  <c r="U15" i="42" l="1"/>
  <c r="U16" i="42"/>
  <c r="U14" i="42"/>
  <c r="C28" i="18" s="1"/>
  <c r="C35" i="18" s="1"/>
  <c r="U17" i="42"/>
  <c r="U19" i="42"/>
  <c r="U20" i="42"/>
  <c r="U24" i="42"/>
  <c r="U28" i="42"/>
  <c r="U29" i="42"/>
  <c r="U26" i="42"/>
  <c r="U31" i="42"/>
  <c r="U32" i="42"/>
  <c r="L67" i="42"/>
  <c r="K23" i="42"/>
  <c r="K67" i="42" s="1"/>
  <c r="N18" i="42"/>
  <c r="N67" i="42" s="1"/>
  <c r="G18" i="42"/>
  <c r="O27" i="42"/>
  <c r="U27" i="42" s="1"/>
  <c r="Q22" i="42"/>
  <c r="U22" i="42" s="1"/>
  <c r="R22" i="42"/>
  <c r="R67" i="42" s="1"/>
  <c r="M21" i="42"/>
  <c r="U21" i="42" s="1"/>
  <c r="D23" i="42"/>
  <c r="E23" i="42"/>
  <c r="E67" i="42" s="1"/>
  <c r="M67" i="42"/>
  <c r="B18" i="42"/>
  <c r="B67" i="42" s="1"/>
  <c r="G67" i="42"/>
  <c r="P67" i="42"/>
  <c r="M12" i="37"/>
  <c r="N12" i="37"/>
  <c r="O12" i="37" s="1"/>
  <c r="L16" i="37"/>
  <c r="K12" i="37"/>
  <c r="M11" i="37"/>
  <c r="M10" i="37"/>
  <c r="O9" i="1"/>
  <c r="P9" i="1" s="1"/>
  <c r="O67" i="42" l="1"/>
  <c r="U18" i="42"/>
  <c r="Q67" i="42"/>
  <c r="D67" i="42"/>
  <c r="U23" i="42"/>
  <c r="X52" i="41" l="1"/>
  <c r="X44" i="41"/>
  <c r="Y43" i="41"/>
  <c r="Y36" i="41"/>
  <c r="Y31" i="41"/>
  <c r="U18" i="41"/>
  <c r="U20" i="41" s="1"/>
  <c r="U22" i="41" s="1"/>
  <c r="H11" i="41"/>
  <c r="F11" i="41"/>
  <c r="J11" i="41" s="1"/>
  <c r="E11" i="41"/>
  <c r="F10" i="41"/>
  <c r="E10" i="41"/>
  <c r="F9" i="41"/>
  <c r="E9" i="41"/>
  <c r="Z9" i="41"/>
  <c r="Z10" i="41" s="1"/>
  <c r="L11" i="41" l="1"/>
  <c r="M11" i="41" s="1"/>
  <c r="J10" i="41"/>
  <c r="X10" i="41" s="1"/>
  <c r="Y10" i="41" s="1"/>
  <c r="H10" i="41"/>
  <c r="P10" i="41" s="1"/>
  <c r="G12" i="41"/>
  <c r="J9" i="41"/>
  <c r="X9" i="41" s="1"/>
  <c r="Y9" i="41" s="1"/>
  <c r="Y44" i="41"/>
  <c r="K9" i="41"/>
  <c r="K11" i="41"/>
  <c r="H9" i="41"/>
  <c r="P9" i="41" s="1"/>
  <c r="I11" i="41"/>
  <c r="L21" i="22"/>
  <c r="I9" i="41" l="1"/>
  <c r="L10" i="41"/>
  <c r="M10" i="41" s="1"/>
  <c r="K10" i="41"/>
  <c r="I10" i="41"/>
  <c r="T10" i="41"/>
  <c r="U10" i="41" s="1"/>
  <c r="V10" i="41" s="1"/>
  <c r="W10" i="41" s="1"/>
  <c r="L9" i="41"/>
  <c r="K12" i="41"/>
  <c r="K26" i="28"/>
  <c r="G22" i="39"/>
  <c r="H22" i="39"/>
  <c r="F22" i="39"/>
  <c r="E22" i="39"/>
  <c r="L12" i="41" l="1"/>
  <c r="L16" i="41" s="1"/>
  <c r="T9" i="41"/>
  <c r="U9" i="41" s="1"/>
  <c r="V9" i="41" s="1"/>
  <c r="W9" i="41" s="1"/>
  <c r="M9" i="41"/>
  <c r="I22" i="39"/>
  <c r="J22" i="39"/>
  <c r="L22" i="39" s="1"/>
  <c r="M22" i="39" s="1"/>
  <c r="J16" i="32"/>
  <c r="F16" i="32"/>
  <c r="E16" i="32"/>
  <c r="J43" i="31"/>
  <c r="H43" i="31"/>
  <c r="F43" i="31"/>
  <c r="E43" i="31"/>
  <c r="J16" i="26"/>
  <c r="F16" i="26"/>
  <c r="E16" i="26"/>
  <c r="K16" i="26" s="1"/>
  <c r="F23" i="25"/>
  <c r="E23" i="25"/>
  <c r="F43" i="30"/>
  <c r="E43" i="30"/>
  <c r="E16" i="29"/>
  <c r="F16" i="29"/>
  <c r="H16" i="29"/>
  <c r="L16" i="29" s="1"/>
  <c r="M16" i="29" s="1"/>
  <c r="J16" i="29"/>
  <c r="K18" i="28"/>
  <c r="J25" i="28"/>
  <c r="F25" i="28"/>
  <c r="E25" i="28"/>
  <c r="F48" i="27"/>
  <c r="E48" i="27"/>
  <c r="K24" i="24"/>
  <c r="J23" i="24"/>
  <c r="L23" i="24" s="1"/>
  <c r="M23" i="24" s="1"/>
  <c r="H23" i="24"/>
  <c r="I23" i="24" s="1"/>
  <c r="L12" i="21"/>
  <c r="E23" i="24"/>
  <c r="F23" i="24"/>
  <c r="V12" i="41" l="1"/>
  <c r="U12" i="41"/>
  <c r="M12" i="41"/>
  <c r="T12" i="41"/>
  <c r="T13" i="41" s="1"/>
  <c r="K22" i="39"/>
  <c r="K16" i="32"/>
  <c r="H16" i="32"/>
  <c r="I16" i="32" s="1"/>
  <c r="I43" i="31"/>
  <c r="L43" i="31"/>
  <c r="M43" i="31" s="1"/>
  <c r="K43" i="31"/>
  <c r="H16" i="26"/>
  <c r="L16" i="26" s="1"/>
  <c r="M16" i="26" s="1"/>
  <c r="J23" i="25"/>
  <c r="H23" i="25"/>
  <c r="I23" i="25" s="1"/>
  <c r="H43" i="30"/>
  <c r="I43" i="30" s="1"/>
  <c r="J43" i="30"/>
  <c r="I16" i="29"/>
  <c r="K16" i="29"/>
  <c r="K25" i="28"/>
  <c r="H25" i="28"/>
  <c r="L25" i="28" s="1"/>
  <c r="M25" i="28" s="1"/>
  <c r="H48" i="27"/>
  <c r="I48" i="27" s="1"/>
  <c r="J48" i="27"/>
  <c r="K23" i="24"/>
  <c r="O10" i="41" l="1"/>
  <c r="Q10" i="41" s="1"/>
  <c r="U13" i="41"/>
  <c r="V13" i="41"/>
  <c r="O9" i="41"/>
  <c r="Q9" i="41" s="1"/>
  <c r="L16" i="32"/>
  <c r="M16" i="32" s="1"/>
  <c r="I16" i="26"/>
  <c r="L23" i="25"/>
  <c r="M23" i="25" s="1"/>
  <c r="K23" i="25"/>
  <c r="L43" i="30"/>
  <c r="M43" i="30" s="1"/>
  <c r="K43" i="30"/>
  <c r="I25" i="28"/>
  <c r="L48" i="27"/>
  <c r="M48" i="27" s="1"/>
  <c r="K48" i="27"/>
  <c r="Q12" i="41" l="1"/>
  <c r="R9" i="41"/>
  <c r="R10" i="41"/>
  <c r="R12" i="41" l="1"/>
  <c r="S23" i="2"/>
  <c r="S11" i="1"/>
  <c r="U11" i="1" l="1"/>
  <c r="R39" i="27" l="1"/>
  <c r="V39" i="27" l="1"/>
  <c r="V40" i="27"/>
  <c r="I19" i="4" l="1"/>
  <c r="Q10" i="35" l="1"/>
  <c r="Q11" i="35"/>
  <c r="Q12" i="35"/>
  <c r="Q13" i="35"/>
  <c r="Q14" i="35"/>
  <c r="Q15" i="35"/>
  <c r="Q16" i="35"/>
  <c r="Q17" i="35"/>
  <c r="Q9" i="35"/>
  <c r="Q53" i="27"/>
  <c r="P10" i="27"/>
  <c r="P39" i="27"/>
  <c r="P40" i="27"/>
  <c r="P9" i="27"/>
  <c r="P31" i="23"/>
  <c r="S19" i="22"/>
  <c r="S17" i="22"/>
  <c r="S15" i="22"/>
  <c r="S14" i="22"/>
  <c r="Q19" i="22"/>
  <c r="Q17" i="22"/>
  <c r="Q15" i="22"/>
  <c r="Q14" i="22"/>
  <c r="Q9" i="22"/>
  <c r="F16" i="22" l="1"/>
  <c r="F17" i="22"/>
  <c r="F18" i="22"/>
  <c r="H17" i="24"/>
  <c r="R17" i="24" s="1"/>
  <c r="H14" i="24"/>
  <c r="R14" i="24" s="1"/>
  <c r="H12" i="24"/>
  <c r="H11" i="24"/>
  <c r="R11" i="24" s="1"/>
  <c r="I17" i="24"/>
  <c r="I14" i="24"/>
  <c r="I11" i="24"/>
  <c r="K17" i="25"/>
  <c r="K14" i="25"/>
  <c r="K13" i="25"/>
  <c r="K12" i="25"/>
  <c r="K11" i="25"/>
  <c r="H17" i="25"/>
  <c r="H14" i="25"/>
  <c r="H13" i="25"/>
  <c r="H12" i="25"/>
  <c r="H11" i="25"/>
  <c r="I15" i="26"/>
  <c r="I14" i="26"/>
  <c r="I11" i="26"/>
  <c r="H15" i="26"/>
  <c r="P15" i="26" s="1"/>
  <c r="H14" i="26"/>
  <c r="P14" i="26" s="1"/>
  <c r="H13" i="26"/>
  <c r="P13" i="26" s="1"/>
  <c r="H12" i="26"/>
  <c r="H11" i="26"/>
  <c r="P11" i="26" s="1"/>
  <c r="H10" i="26"/>
  <c r="P10" i="26" s="1"/>
  <c r="H9" i="26"/>
  <c r="P9" i="26" s="1"/>
  <c r="K15" i="26"/>
  <c r="K14" i="26"/>
  <c r="K13" i="26"/>
  <c r="K12" i="26"/>
  <c r="K11" i="26"/>
  <c r="K10" i="26"/>
  <c r="K9" i="26"/>
  <c r="I23" i="11"/>
  <c r="H23" i="11"/>
  <c r="H17" i="8"/>
  <c r="J25" i="2"/>
  <c r="J11" i="1"/>
  <c r="I9" i="26" l="1"/>
  <c r="I12" i="26"/>
  <c r="P12" i="26"/>
  <c r="I10" i="26"/>
  <c r="I13" i="26"/>
  <c r="I13" i="25"/>
  <c r="P13" i="25"/>
  <c r="I11" i="25"/>
  <c r="P11" i="25"/>
  <c r="I12" i="25"/>
  <c r="P12" i="25"/>
  <c r="I14" i="25"/>
  <c r="P14" i="25"/>
  <c r="I17" i="25"/>
  <c r="P17" i="25"/>
  <c r="I12" i="24"/>
  <c r="R12" i="24"/>
  <c r="B37" i="18"/>
  <c r="A37" i="18"/>
  <c r="B35" i="18"/>
  <c r="B33" i="18"/>
  <c r="A33" i="18"/>
  <c r="B32" i="18"/>
  <c r="A32" i="18"/>
  <c r="B31" i="18"/>
  <c r="A31" i="18"/>
  <c r="B30" i="18"/>
  <c r="A30" i="18"/>
  <c r="B29" i="18"/>
  <c r="A29" i="18"/>
  <c r="B27" i="18"/>
  <c r="A27" i="18"/>
  <c r="B26" i="18"/>
  <c r="A26" i="18"/>
  <c r="B25" i="18"/>
  <c r="A25" i="18"/>
  <c r="B24" i="18"/>
  <c r="A24" i="18"/>
  <c r="B23" i="18"/>
  <c r="A23" i="18"/>
  <c r="B22" i="18"/>
  <c r="A22" i="18"/>
  <c r="B21" i="18"/>
  <c r="A21" i="18"/>
  <c r="B20" i="18"/>
  <c r="A20" i="18"/>
  <c r="B18" i="18"/>
  <c r="A18" i="18"/>
  <c r="B17" i="18"/>
  <c r="A17" i="18"/>
  <c r="B16" i="18"/>
  <c r="A16" i="18"/>
  <c r="B15" i="18"/>
  <c r="A15" i="18"/>
  <c r="B14" i="18"/>
  <c r="A14" i="18"/>
  <c r="B13" i="18"/>
  <c r="A13" i="18"/>
  <c r="B12" i="18"/>
  <c r="A12" i="18"/>
  <c r="B11" i="18"/>
  <c r="A11" i="18"/>
  <c r="B10" i="18"/>
  <c r="A10" i="18"/>
  <c r="B9" i="18"/>
  <c r="A9" i="18"/>
  <c r="B8" i="18"/>
  <c r="A8" i="18"/>
  <c r="L9" i="39"/>
  <c r="M9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H21" i="39"/>
  <c r="G21" i="39"/>
  <c r="F21" i="39"/>
  <c r="E21" i="39"/>
  <c r="H20" i="39"/>
  <c r="G20" i="39"/>
  <c r="F20" i="39"/>
  <c r="E20" i="39"/>
  <c r="H19" i="39"/>
  <c r="G19" i="39"/>
  <c r="F19" i="39"/>
  <c r="E19" i="39"/>
  <c r="H18" i="39"/>
  <c r="G18" i="39"/>
  <c r="F18" i="39"/>
  <c r="E18" i="39"/>
  <c r="H17" i="39"/>
  <c r="G17" i="39"/>
  <c r="F17" i="39"/>
  <c r="E17" i="39"/>
  <c r="H16" i="39"/>
  <c r="F16" i="39"/>
  <c r="E16" i="39"/>
  <c r="H15" i="39"/>
  <c r="F15" i="39"/>
  <c r="E15" i="39"/>
  <c r="H14" i="39"/>
  <c r="F14" i="39"/>
  <c r="E14" i="39"/>
  <c r="H13" i="39"/>
  <c r="F13" i="39"/>
  <c r="E13" i="39"/>
  <c r="H12" i="39"/>
  <c r="F12" i="39"/>
  <c r="E12" i="39"/>
  <c r="H11" i="39"/>
  <c r="G11" i="39"/>
  <c r="F11" i="39"/>
  <c r="E11" i="39"/>
  <c r="H10" i="39"/>
  <c r="G10" i="39"/>
  <c r="F10" i="39"/>
  <c r="E10" i="39"/>
  <c r="H9" i="39"/>
  <c r="F9" i="39"/>
  <c r="E9" i="39"/>
  <c r="J15" i="38"/>
  <c r="H15" i="38"/>
  <c r="P15" i="38" s="1"/>
  <c r="F15" i="38"/>
  <c r="E15" i="38"/>
  <c r="G17" i="38"/>
  <c r="F14" i="38"/>
  <c r="J14" i="38" s="1"/>
  <c r="E14" i="38"/>
  <c r="H13" i="38"/>
  <c r="F13" i="38"/>
  <c r="J13" i="38" s="1"/>
  <c r="E13" i="38"/>
  <c r="H12" i="38"/>
  <c r="F12" i="38"/>
  <c r="J12" i="38" s="1"/>
  <c r="E12" i="38"/>
  <c r="H11" i="38"/>
  <c r="F11" i="38"/>
  <c r="J11" i="38" s="1"/>
  <c r="E11" i="38"/>
  <c r="H10" i="38"/>
  <c r="F10" i="38"/>
  <c r="J10" i="38" s="1"/>
  <c r="E10" i="38"/>
  <c r="H9" i="38"/>
  <c r="F9" i="38"/>
  <c r="J9" i="38" s="1"/>
  <c r="E9" i="38"/>
  <c r="L10" i="15"/>
  <c r="K10" i="15"/>
  <c r="J13" i="15"/>
  <c r="H9" i="15"/>
  <c r="M9" i="15" s="1"/>
  <c r="G9" i="15"/>
  <c r="L16" i="4"/>
  <c r="L15" i="4"/>
  <c r="L14" i="4"/>
  <c r="L13" i="4"/>
  <c r="L12" i="4"/>
  <c r="L11" i="4"/>
  <c r="L10" i="4"/>
  <c r="K9" i="38" l="1"/>
  <c r="I12" i="38"/>
  <c r="I14" i="39"/>
  <c r="L15" i="39"/>
  <c r="M15" i="39" s="1"/>
  <c r="L10" i="39"/>
  <c r="M10" i="39" s="1"/>
  <c r="L11" i="39"/>
  <c r="M11" i="39" s="1"/>
  <c r="I12" i="39"/>
  <c r="K15" i="39"/>
  <c r="L14" i="39"/>
  <c r="M14" i="39" s="1"/>
  <c r="K12" i="39"/>
  <c r="K13" i="39"/>
  <c r="K14" i="39"/>
  <c r="I15" i="39"/>
  <c r="I13" i="39"/>
  <c r="K18" i="39"/>
  <c r="L19" i="39"/>
  <c r="M19" i="39" s="1"/>
  <c r="K20" i="39"/>
  <c r="I21" i="39"/>
  <c r="I10" i="39"/>
  <c r="L12" i="39"/>
  <c r="M12" i="39" s="1"/>
  <c r="I17" i="39"/>
  <c r="I18" i="39"/>
  <c r="I9" i="39"/>
  <c r="L13" i="39"/>
  <c r="M13" i="39" s="1"/>
  <c r="L20" i="39"/>
  <c r="M20" i="39" s="1"/>
  <c r="K9" i="39"/>
  <c r="I11" i="39"/>
  <c r="I19" i="39"/>
  <c r="I16" i="39"/>
  <c r="I20" i="39"/>
  <c r="G16" i="39"/>
  <c r="G23" i="39" s="1"/>
  <c r="I13" i="38"/>
  <c r="L9" i="38"/>
  <c r="M9" i="38" s="1"/>
  <c r="I11" i="38"/>
  <c r="I9" i="38"/>
  <c r="I10" i="38"/>
  <c r="L15" i="38"/>
  <c r="M15" i="38" s="1"/>
  <c r="I15" i="38"/>
  <c r="K13" i="38"/>
  <c r="L13" i="38"/>
  <c r="M13" i="38" s="1"/>
  <c r="L11" i="38"/>
  <c r="M11" i="38" s="1"/>
  <c r="K11" i="38"/>
  <c r="L10" i="38"/>
  <c r="M10" i="38" s="1"/>
  <c r="K10" i="38"/>
  <c r="K14" i="38"/>
  <c r="K12" i="38"/>
  <c r="L12" i="38"/>
  <c r="M12" i="38" s="1"/>
  <c r="H14" i="38"/>
  <c r="K15" i="38"/>
  <c r="N9" i="15"/>
  <c r="N13" i="15" s="1"/>
  <c r="C31" i="18" s="1"/>
  <c r="L9" i="15"/>
  <c r="O9" i="15"/>
  <c r="P9" i="15" s="1"/>
  <c r="P13" i="15" s="1"/>
  <c r="G9" i="37"/>
  <c r="L9" i="37" s="1"/>
  <c r="N9" i="37" s="1"/>
  <c r="O9" i="37" s="1"/>
  <c r="F9" i="37"/>
  <c r="I14" i="37"/>
  <c r="I14" i="38" l="1"/>
  <c r="P14" i="38"/>
  <c r="K10" i="39"/>
  <c r="K11" i="39"/>
  <c r="L18" i="39"/>
  <c r="M18" i="39" s="1"/>
  <c r="K19" i="39"/>
  <c r="L21" i="39"/>
  <c r="M21" i="39" s="1"/>
  <c r="K21" i="39"/>
  <c r="L17" i="39"/>
  <c r="M17" i="39" s="1"/>
  <c r="K17" i="39"/>
  <c r="K17" i="38"/>
  <c r="C33" i="18" s="1"/>
  <c r="M17" i="38"/>
  <c r="O15" i="38" s="1"/>
  <c r="Q15" i="38" s="1"/>
  <c r="L17" i="38"/>
  <c r="O13" i="15"/>
  <c r="M9" i="37"/>
  <c r="K9" i="37"/>
  <c r="O14" i="38" l="1"/>
  <c r="Q14" i="38" s="1"/>
  <c r="Q17" i="38" s="1"/>
  <c r="L21" i="38"/>
  <c r="L16" i="39"/>
  <c r="M16" i="39" s="1"/>
  <c r="K16" i="39"/>
  <c r="K23" i="39" s="1"/>
  <c r="C37" i="18" s="1"/>
  <c r="O17" i="15"/>
  <c r="M14" i="37"/>
  <c r="H12" i="36"/>
  <c r="I9" i="36"/>
  <c r="F9" i="36"/>
  <c r="K9" i="36" s="1"/>
  <c r="E9" i="36"/>
  <c r="K13" i="35"/>
  <c r="K14" i="35"/>
  <c r="I14" i="35"/>
  <c r="F14" i="35"/>
  <c r="E14" i="35"/>
  <c r="I17" i="35"/>
  <c r="H17" i="35"/>
  <c r="H19" i="35" s="1"/>
  <c r="F17" i="35"/>
  <c r="E17" i="35"/>
  <c r="I16" i="35"/>
  <c r="F16" i="35"/>
  <c r="K16" i="35" s="1"/>
  <c r="E16" i="35"/>
  <c r="I13" i="35"/>
  <c r="F13" i="35"/>
  <c r="E13" i="35"/>
  <c r="I12" i="35"/>
  <c r="F12" i="35"/>
  <c r="K12" i="35" s="1"/>
  <c r="E12" i="35"/>
  <c r="I11" i="35"/>
  <c r="F11" i="35"/>
  <c r="K11" i="35" s="1"/>
  <c r="E11" i="35"/>
  <c r="I10" i="35"/>
  <c r="F10" i="35"/>
  <c r="K10" i="35" s="1"/>
  <c r="E10" i="35"/>
  <c r="I9" i="35"/>
  <c r="F9" i="35"/>
  <c r="K9" i="35" s="1"/>
  <c r="E9" i="35"/>
  <c r="L13" i="21"/>
  <c r="L11" i="21"/>
  <c r="L10" i="21"/>
  <c r="L9" i="21"/>
  <c r="M15" i="34"/>
  <c r="L15" i="34"/>
  <c r="H15" i="34"/>
  <c r="N12" i="34"/>
  <c r="N10" i="34"/>
  <c r="N9" i="34"/>
  <c r="H12" i="33"/>
  <c r="F12" i="33"/>
  <c r="J12" i="33" s="1"/>
  <c r="E12" i="33"/>
  <c r="H11" i="33"/>
  <c r="F11" i="33"/>
  <c r="J11" i="33" s="1"/>
  <c r="E11" i="33"/>
  <c r="G10" i="33"/>
  <c r="F10" i="33"/>
  <c r="E10" i="33"/>
  <c r="G9" i="33"/>
  <c r="H9" i="33" s="1"/>
  <c r="P9" i="33" s="1"/>
  <c r="F9" i="33"/>
  <c r="E9" i="33"/>
  <c r="G15" i="32"/>
  <c r="F15" i="32"/>
  <c r="E15" i="32"/>
  <c r="G14" i="32"/>
  <c r="F14" i="32"/>
  <c r="E14" i="32"/>
  <c r="G13" i="32"/>
  <c r="H13" i="32" s="1"/>
  <c r="P13" i="32" s="1"/>
  <c r="F13" i="32"/>
  <c r="E13" i="32"/>
  <c r="G12" i="32"/>
  <c r="H12" i="32" s="1"/>
  <c r="P12" i="32" s="1"/>
  <c r="F12" i="32"/>
  <c r="E12" i="32"/>
  <c r="G11" i="32"/>
  <c r="H11" i="32" s="1"/>
  <c r="P11" i="32" s="1"/>
  <c r="F11" i="32"/>
  <c r="E11" i="32"/>
  <c r="H10" i="32"/>
  <c r="P10" i="32" s="1"/>
  <c r="F10" i="32"/>
  <c r="J10" i="32" s="1"/>
  <c r="E10" i="32"/>
  <c r="H9" i="32"/>
  <c r="P9" i="32" s="1"/>
  <c r="F9" i="32"/>
  <c r="J9" i="32" s="1"/>
  <c r="E9" i="32"/>
  <c r="X84" i="31"/>
  <c r="X76" i="31"/>
  <c r="Y75" i="31"/>
  <c r="Y68" i="31"/>
  <c r="Y63" i="31"/>
  <c r="U50" i="31"/>
  <c r="U52" i="31" s="1"/>
  <c r="U54" i="31" s="1"/>
  <c r="G42" i="31"/>
  <c r="F42" i="31"/>
  <c r="E42" i="31"/>
  <c r="G41" i="31"/>
  <c r="H41" i="31" s="1"/>
  <c r="P41" i="31" s="1"/>
  <c r="F41" i="31"/>
  <c r="E41" i="31"/>
  <c r="G40" i="31"/>
  <c r="F40" i="31"/>
  <c r="E40" i="31"/>
  <c r="G39" i="31"/>
  <c r="H39" i="31" s="1"/>
  <c r="P39" i="31" s="1"/>
  <c r="F39" i="31"/>
  <c r="E39" i="31"/>
  <c r="G38" i="31"/>
  <c r="F38" i="31"/>
  <c r="E38" i="31"/>
  <c r="H37" i="31"/>
  <c r="P37" i="31" s="1"/>
  <c r="F37" i="31"/>
  <c r="J37" i="31" s="1"/>
  <c r="E37" i="31"/>
  <c r="G36" i="31"/>
  <c r="F36" i="31"/>
  <c r="E36" i="31"/>
  <c r="H35" i="31"/>
  <c r="P35" i="31" s="1"/>
  <c r="F35" i="31"/>
  <c r="J35" i="31" s="1"/>
  <c r="X35" i="31" s="1"/>
  <c r="E35" i="31"/>
  <c r="H34" i="31"/>
  <c r="P34" i="31" s="1"/>
  <c r="F34" i="31"/>
  <c r="J34" i="31" s="1"/>
  <c r="E34" i="31"/>
  <c r="H33" i="31"/>
  <c r="P33" i="31" s="1"/>
  <c r="F33" i="31"/>
  <c r="J33" i="31" s="1"/>
  <c r="X33" i="31" s="1"/>
  <c r="E33" i="31"/>
  <c r="G32" i="31"/>
  <c r="H32" i="31" s="1"/>
  <c r="P32" i="31" s="1"/>
  <c r="F32" i="31"/>
  <c r="E32" i="31"/>
  <c r="H31" i="31"/>
  <c r="P31" i="31" s="1"/>
  <c r="F31" i="31"/>
  <c r="J31" i="31" s="1"/>
  <c r="E31" i="31"/>
  <c r="G29" i="31"/>
  <c r="F29" i="31"/>
  <c r="E29" i="31"/>
  <c r="H28" i="31"/>
  <c r="P28" i="31" s="1"/>
  <c r="F28" i="31"/>
  <c r="J28" i="31" s="1"/>
  <c r="E28" i="31"/>
  <c r="H27" i="31"/>
  <c r="P27" i="31" s="1"/>
  <c r="F27" i="31"/>
  <c r="J27" i="31" s="1"/>
  <c r="X27" i="31" s="1"/>
  <c r="E27" i="31"/>
  <c r="H26" i="31"/>
  <c r="P26" i="31" s="1"/>
  <c r="F26" i="31"/>
  <c r="J26" i="31" s="1"/>
  <c r="E26" i="31"/>
  <c r="H25" i="31"/>
  <c r="P25" i="31" s="1"/>
  <c r="F25" i="31"/>
  <c r="J25" i="31" s="1"/>
  <c r="E25" i="31"/>
  <c r="H24" i="31"/>
  <c r="P24" i="31" s="1"/>
  <c r="F24" i="31"/>
  <c r="J24" i="31" s="1"/>
  <c r="E24" i="31"/>
  <c r="H23" i="31"/>
  <c r="P23" i="31" s="1"/>
  <c r="F23" i="31"/>
  <c r="J23" i="31" s="1"/>
  <c r="X23" i="31" s="1"/>
  <c r="E23" i="31"/>
  <c r="Z22" i="31"/>
  <c r="Z23" i="31" s="1"/>
  <c r="Z24" i="31" s="1"/>
  <c r="Z25" i="31" s="1"/>
  <c r="Z26" i="31" s="1"/>
  <c r="Z27" i="31" s="1"/>
  <c r="Z28" i="31" s="1"/>
  <c r="Z29" i="31" s="1"/>
  <c r="Z31" i="31" s="1"/>
  <c r="Z32" i="31" s="1"/>
  <c r="Z33" i="31" s="1"/>
  <c r="H22" i="31"/>
  <c r="P22" i="31" s="1"/>
  <c r="F22" i="31"/>
  <c r="J22" i="31" s="1"/>
  <c r="E22" i="31"/>
  <c r="H21" i="31"/>
  <c r="P21" i="31" s="1"/>
  <c r="F21" i="31"/>
  <c r="J21" i="31" s="1"/>
  <c r="E21" i="31"/>
  <c r="H20" i="31"/>
  <c r="P20" i="31" s="1"/>
  <c r="F20" i="31"/>
  <c r="J20" i="31" s="1"/>
  <c r="E20" i="31"/>
  <c r="H19" i="31"/>
  <c r="P19" i="31" s="1"/>
  <c r="F19" i="31"/>
  <c r="J19" i="31" s="1"/>
  <c r="E19" i="31"/>
  <c r="H18" i="31"/>
  <c r="P18" i="31" s="1"/>
  <c r="F18" i="31"/>
  <c r="J18" i="31" s="1"/>
  <c r="E18" i="31"/>
  <c r="H17" i="31"/>
  <c r="F17" i="31"/>
  <c r="J17" i="31" s="1"/>
  <c r="E17" i="31"/>
  <c r="H16" i="31"/>
  <c r="F16" i="31"/>
  <c r="J16" i="31" s="1"/>
  <c r="E16" i="31"/>
  <c r="I16" i="31" s="1"/>
  <c r="H15" i="31"/>
  <c r="F15" i="31"/>
  <c r="J15" i="31" s="1"/>
  <c r="E15" i="31"/>
  <c r="K15" i="31" s="1"/>
  <c r="H14" i="31"/>
  <c r="F14" i="31"/>
  <c r="J14" i="31" s="1"/>
  <c r="E14" i="31"/>
  <c r="K14" i="31" s="1"/>
  <c r="H13" i="31"/>
  <c r="F13" i="31"/>
  <c r="J13" i="31" s="1"/>
  <c r="E13" i="31"/>
  <c r="I13" i="31" s="1"/>
  <c r="H12" i="31"/>
  <c r="F12" i="31"/>
  <c r="J12" i="31" s="1"/>
  <c r="E12" i="31"/>
  <c r="K12" i="31" s="1"/>
  <c r="H11" i="31"/>
  <c r="F11" i="31"/>
  <c r="J11" i="31" s="1"/>
  <c r="E11" i="31"/>
  <c r="K11" i="31" s="1"/>
  <c r="I10" i="31"/>
  <c r="H10" i="31"/>
  <c r="F10" i="31"/>
  <c r="J10" i="31" s="1"/>
  <c r="E10" i="31"/>
  <c r="K10" i="31" s="1"/>
  <c r="L9" i="31"/>
  <c r="M9" i="31" s="1"/>
  <c r="K9" i="31"/>
  <c r="F9" i="31"/>
  <c r="J9" i="31" s="1"/>
  <c r="J15" i="26"/>
  <c r="M14" i="35" l="1"/>
  <c r="N14" i="35" s="1"/>
  <c r="L11" i="33"/>
  <c r="M11" i="33" s="1"/>
  <c r="L23" i="39"/>
  <c r="N14" i="37"/>
  <c r="N18" i="37" s="1"/>
  <c r="C27" i="18" s="1"/>
  <c r="O14" i="37"/>
  <c r="J9" i="36"/>
  <c r="M9" i="36"/>
  <c r="N9" i="36" s="1"/>
  <c r="L9" i="36"/>
  <c r="J14" i="35"/>
  <c r="L14" i="35"/>
  <c r="L10" i="35"/>
  <c r="J17" i="35"/>
  <c r="M10" i="35"/>
  <c r="N10" i="35" s="1"/>
  <c r="M16" i="35"/>
  <c r="N16" i="35" s="1"/>
  <c r="L11" i="35"/>
  <c r="L12" i="35"/>
  <c r="L13" i="35"/>
  <c r="L9" i="35"/>
  <c r="J9" i="35"/>
  <c r="L16" i="35"/>
  <c r="J10" i="35"/>
  <c r="J11" i="35"/>
  <c r="J12" i="35"/>
  <c r="J13" i="35"/>
  <c r="M11" i="35"/>
  <c r="N11" i="35" s="1"/>
  <c r="M9" i="35"/>
  <c r="M13" i="35"/>
  <c r="N13" i="35" s="1"/>
  <c r="M12" i="35"/>
  <c r="N12" i="35" s="1"/>
  <c r="J16" i="35"/>
  <c r="K17" i="35"/>
  <c r="N15" i="34"/>
  <c r="L12" i="33"/>
  <c r="M12" i="33" s="1"/>
  <c r="K12" i="33"/>
  <c r="I11" i="33"/>
  <c r="I12" i="33"/>
  <c r="K11" i="33"/>
  <c r="L9" i="32"/>
  <c r="M9" i="32" s="1"/>
  <c r="L10" i="32"/>
  <c r="M10" i="32" s="1"/>
  <c r="J14" i="32"/>
  <c r="K14" i="32" s="1"/>
  <c r="K10" i="32"/>
  <c r="J13" i="32"/>
  <c r="K13" i="32" s="1"/>
  <c r="H14" i="32"/>
  <c r="P14" i="32" s="1"/>
  <c r="J11" i="32"/>
  <c r="K11" i="32" s="1"/>
  <c r="J15" i="32"/>
  <c r="K15" i="32" s="1"/>
  <c r="L11" i="32"/>
  <c r="M11" i="32" s="1"/>
  <c r="K22" i="31"/>
  <c r="J38" i="31"/>
  <c r="K38" i="31" s="1"/>
  <c r="J42" i="31"/>
  <c r="K42" i="31" s="1"/>
  <c r="I11" i="31"/>
  <c r="J40" i="31"/>
  <c r="K40" i="31" s="1"/>
  <c r="K33" i="31"/>
  <c r="I24" i="31"/>
  <c r="I33" i="31"/>
  <c r="I20" i="31"/>
  <c r="J36" i="31"/>
  <c r="X36" i="31" s="1"/>
  <c r="I14" i="31"/>
  <c r="I15" i="31"/>
  <c r="I19" i="31"/>
  <c r="K28" i="31"/>
  <c r="Y76" i="31"/>
  <c r="I26" i="31"/>
  <c r="L13" i="31"/>
  <c r="M13" i="31" s="1"/>
  <c r="L31" i="31"/>
  <c r="M31" i="31" s="1"/>
  <c r="X31" i="31"/>
  <c r="I18" i="31"/>
  <c r="I22" i="31"/>
  <c r="L26" i="31"/>
  <c r="M26" i="31" s="1"/>
  <c r="L27" i="31"/>
  <c r="M27" i="31" s="1"/>
  <c r="T9" i="31"/>
  <c r="U9" i="31" s="1"/>
  <c r="I12" i="31"/>
  <c r="I21" i="31"/>
  <c r="L23" i="31"/>
  <c r="M23" i="31" s="1"/>
  <c r="I28" i="31"/>
  <c r="K37" i="31"/>
  <c r="J39" i="31"/>
  <c r="K39" i="31" s="1"/>
  <c r="K13" i="31"/>
  <c r="L11" i="31"/>
  <c r="M11" i="31" s="1"/>
  <c r="L15" i="31"/>
  <c r="M15" i="31" s="1"/>
  <c r="K17" i="31"/>
  <c r="Y23" i="31"/>
  <c r="K27" i="31"/>
  <c r="L18" i="31"/>
  <c r="M18" i="31" s="1"/>
  <c r="L19" i="31"/>
  <c r="M19" i="31" s="1"/>
  <c r="L20" i="31"/>
  <c r="M20" i="31" s="1"/>
  <c r="L10" i="31"/>
  <c r="M10" i="31" s="1"/>
  <c r="L14" i="31"/>
  <c r="M14" i="31" s="1"/>
  <c r="L16" i="31"/>
  <c r="M16" i="31" s="1"/>
  <c r="L17" i="31"/>
  <c r="I27" i="31"/>
  <c r="L12" i="31"/>
  <c r="M12" i="31" s="1"/>
  <c r="L34" i="31"/>
  <c r="L35" i="31"/>
  <c r="M35" i="31" s="1"/>
  <c r="J10" i="33"/>
  <c r="H10" i="33"/>
  <c r="G14" i="33"/>
  <c r="I9" i="33"/>
  <c r="J9" i="33"/>
  <c r="L9" i="33" s="1"/>
  <c r="K9" i="32"/>
  <c r="I9" i="32"/>
  <c r="I11" i="32"/>
  <c r="I10" i="32"/>
  <c r="J12" i="32"/>
  <c r="I13" i="32"/>
  <c r="H15" i="32"/>
  <c r="P15" i="32" s="1"/>
  <c r="G17" i="32"/>
  <c r="I12" i="32"/>
  <c r="Z34" i="31"/>
  <c r="Z35" i="31" s="1"/>
  <c r="Z36" i="31" s="1"/>
  <c r="Z37" i="31" s="1"/>
  <c r="Z38" i="31" s="1"/>
  <c r="Z39" i="31" s="1"/>
  <c r="Z40" i="31" s="1"/>
  <c r="Z41" i="31" s="1"/>
  <c r="Z42" i="31" s="1"/>
  <c r="Y33" i="31"/>
  <c r="T11" i="31"/>
  <c r="U11" i="31" s="1"/>
  <c r="V11" i="31" s="1"/>
  <c r="W11" i="31" s="1"/>
  <c r="X25" i="31"/>
  <c r="Y25" i="31" s="1"/>
  <c r="L25" i="31"/>
  <c r="L21" i="31"/>
  <c r="X21" i="31"/>
  <c r="Y21" i="31" s="1"/>
  <c r="L24" i="31"/>
  <c r="X24" i="31"/>
  <c r="Y24" i="31" s="1"/>
  <c r="Y31" i="31"/>
  <c r="I35" i="31"/>
  <c r="K35" i="31"/>
  <c r="K16" i="31"/>
  <c r="T16" i="31" s="1"/>
  <c r="U16" i="31" s="1"/>
  <c r="V16" i="31" s="1"/>
  <c r="W16" i="31" s="1"/>
  <c r="I17" i="31"/>
  <c r="X22" i="31"/>
  <c r="Y22" i="31" s="1"/>
  <c r="L22" i="31"/>
  <c r="X26" i="31"/>
  <c r="Y26" i="31" s="1"/>
  <c r="K26" i="31"/>
  <c r="K34" i="31"/>
  <c r="I34" i="31"/>
  <c r="M34" i="31"/>
  <c r="H36" i="31"/>
  <c r="K23" i="31"/>
  <c r="I23" i="31"/>
  <c r="I37" i="31"/>
  <c r="L39" i="31"/>
  <c r="K18" i="31"/>
  <c r="K19" i="31"/>
  <c r="K20" i="31"/>
  <c r="K21" i="31"/>
  <c r="K24" i="31"/>
  <c r="L28" i="31"/>
  <c r="X28" i="31"/>
  <c r="Y28" i="31" s="1"/>
  <c r="X34" i="31"/>
  <c r="K36" i="31"/>
  <c r="X37" i="31"/>
  <c r="L37" i="31"/>
  <c r="H38" i="31"/>
  <c r="X38" i="31"/>
  <c r="Y38" i="31" s="1"/>
  <c r="H40" i="31"/>
  <c r="X40" i="31"/>
  <c r="H42" i="31"/>
  <c r="X42" i="31"/>
  <c r="Y42" i="31" s="1"/>
  <c r="Y27" i="31"/>
  <c r="G44" i="31"/>
  <c r="H29" i="31"/>
  <c r="L33" i="31"/>
  <c r="I39" i="31"/>
  <c r="I25" i="31"/>
  <c r="K25" i="31"/>
  <c r="J29" i="31"/>
  <c r="I31" i="31"/>
  <c r="K31" i="31"/>
  <c r="I32" i="31"/>
  <c r="J32" i="31"/>
  <c r="I41" i="31"/>
  <c r="J41" i="31"/>
  <c r="J15" i="29"/>
  <c r="G42" i="30"/>
  <c r="H42" i="30" s="1"/>
  <c r="P42" i="30" s="1"/>
  <c r="F42" i="30"/>
  <c r="E42" i="30"/>
  <c r="G41" i="30"/>
  <c r="H41" i="30" s="1"/>
  <c r="P41" i="30" s="1"/>
  <c r="F41" i="30"/>
  <c r="E41" i="30"/>
  <c r="G40" i="30"/>
  <c r="F40" i="30"/>
  <c r="E40" i="30"/>
  <c r="G39" i="30"/>
  <c r="H39" i="30" s="1"/>
  <c r="P39" i="30" s="1"/>
  <c r="F39" i="30"/>
  <c r="J39" i="30" s="1"/>
  <c r="E39" i="30"/>
  <c r="G38" i="30"/>
  <c r="H38" i="30" s="1"/>
  <c r="P38" i="30" s="1"/>
  <c r="F38" i="30"/>
  <c r="E38" i="30"/>
  <c r="H37" i="30"/>
  <c r="P37" i="30" s="1"/>
  <c r="F37" i="30"/>
  <c r="J37" i="30" s="1"/>
  <c r="E37" i="30"/>
  <c r="G36" i="30"/>
  <c r="F36" i="30"/>
  <c r="E36" i="30"/>
  <c r="H35" i="30"/>
  <c r="P35" i="30" s="1"/>
  <c r="F35" i="30"/>
  <c r="J35" i="30" s="1"/>
  <c r="E35" i="30"/>
  <c r="K35" i="30" s="1"/>
  <c r="H34" i="30"/>
  <c r="P34" i="30" s="1"/>
  <c r="F34" i="30"/>
  <c r="J34" i="30" s="1"/>
  <c r="E34" i="30"/>
  <c r="G33" i="30"/>
  <c r="F33" i="30"/>
  <c r="E33" i="30"/>
  <c r="G32" i="30"/>
  <c r="F32" i="30"/>
  <c r="E32" i="30"/>
  <c r="H31" i="30"/>
  <c r="P31" i="30" s="1"/>
  <c r="F31" i="30"/>
  <c r="J31" i="30" s="1"/>
  <c r="E31" i="30"/>
  <c r="G30" i="30"/>
  <c r="H30" i="30" s="1"/>
  <c r="P30" i="30" s="1"/>
  <c r="F30" i="30"/>
  <c r="E30" i="30"/>
  <c r="H29" i="30"/>
  <c r="P29" i="30" s="1"/>
  <c r="F29" i="30"/>
  <c r="J29" i="30" s="1"/>
  <c r="E29" i="30"/>
  <c r="G28" i="30"/>
  <c r="H28" i="30" s="1"/>
  <c r="P28" i="30" s="1"/>
  <c r="F28" i="30"/>
  <c r="E28" i="30"/>
  <c r="H27" i="30"/>
  <c r="P27" i="30" s="1"/>
  <c r="F27" i="30"/>
  <c r="J27" i="30" s="1"/>
  <c r="E27" i="30"/>
  <c r="H26" i="30"/>
  <c r="P26" i="30" s="1"/>
  <c r="F26" i="30"/>
  <c r="J26" i="30" s="1"/>
  <c r="E26" i="30"/>
  <c r="H25" i="30"/>
  <c r="P25" i="30" s="1"/>
  <c r="F25" i="30"/>
  <c r="J25" i="30" s="1"/>
  <c r="E25" i="30"/>
  <c r="H24" i="30"/>
  <c r="P24" i="30" s="1"/>
  <c r="F24" i="30"/>
  <c r="J24" i="30" s="1"/>
  <c r="E24" i="30"/>
  <c r="H23" i="30"/>
  <c r="P23" i="30" s="1"/>
  <c r="F23" i="30"/>
  <c r="J23" i="30" s="1"/>
  <c r="E23" i="30"/>
  <c r="H22" i="30"/>
  <c r="P22" i="30" s="1"/>
  <c r="F22" i="30"/>
  <c r="J22" i="30" s="1"/>
  <c r="E22" i="30"/>
  <c r="H21" i="30"/>
  <c r="P21" i="30" s="1"/>
  <c r="F21" i="30"/>
  <c r="J21" i="30" s="1"/>
  <c r="E21" i="30"/>
  <c r="H20" i="30"/>
  <c r="P20" i="30" s="1"/>
  <c r="F20" i="30"/>
  <c r="J20" i="30" s="1"/>
  <c r="E20" i="30"/>
  <c r="H19" i="30"/>
  <c r="P19" i="30" s="1"/>
  <c r="F19" i="30"/>
  <c r="J19" i="30" s="1"/>
  <c r="E19" i="30"/>
  <c r="H18" i="30"/>
  <c r="P18" i="30" s="1"/>
  <c r="F18" i="30"/>
  <c r="J18" i="30" s="1"/>
  <c r="E18" i="30"/>
  <c r="H17" i="30"/>
  <c r="P17" i="30" s="1"/>
  <c r="F17" i="30"/>
  <c r="J17" i="30" s="1"/>
  <c r="E17" i="30"/>
  <c r="H16" i="30"/>
  <c r="F16" i="30"/>
  <c r="J16" i="30" s="1"/>
  <c r="E16" i="30"/>
  <c r="H15" i="30"/>
  <c r="F15" i="30"/>
  <c r="J15" i="30" s="1"/>
  <c r="E15" i="30"/>
  <c r="H14" i="30"/>
  <c r="F14" i="30"/>
  <c r="J14" i="30" s="1"/>
  <c r="E14" i="30"/>
  <c r="H13" i="30"/>
  <c r="F13" i="30"/>
  <c r="J13" i="30" s="1"/>
  <c r="E13" i="30"/>
  <c r="H12" i="30"/>
  <c r="F12" i="30"/>
  <c r="J12" i="30" s="1"/>
  <c r="E12" i="30"/>
  <c r="H11" i="30"/>
  <c r="F11" i="30"/>
  <c r="J11" i="30" s="1"/>
  <c r="E11" i="30"/>
  <c r="H10" i="30"/>
  <c r="F10" i="30"/>
  <c r="J10" i="30" s="1"/>
  <c r="E10" i="30"/>
  <c r="H9" i="30"/>
  <c r="F9" i="30"/>
  <c r="J9" i="30" s="1"/>
  <c r="E9" i="30"/>
  <c r="G15" i="29"/>
  <c r="H15" i="29" s="1"/>
  <c r="F15" i="29"/>
  <c r="E15" i="29"/>
  <c r="G14" i="29"/>
  <c r="F14" i="29"/>
  <c r="E14" i="29"/>
  <c r="G13" i="29"/>
  <c r="H13" i="29" s="1"/>
  <c r="P13" i="29" s="1"/>
  <c r="F13" i="29"/>
  <c r="E13" i="29"/>
  <c r="G12" i="29"/>
  <c r="F12" i="29"/>
  <c r="E12" i="29"/>
  <c r="G11" i="29"/>
  <c r="H11" i="29" s="1"/>
  <c r="P11" i="29" s="1"/>
  <c r="F11" i="29"/>
  <c r="E11" i="29"/>
  <c r="H10" i="29"/>
  <c r="P10" i="29" s="1"/>
  <c r="F10" i="29"/>
  <c r="J10" i="29" s="1"/>
  <c r="E10" i="29"/>
  <c r="H9" i="29"/>
  <c r="P9" i="29" s="1"/>
  <c r="F9" i="29"/>
  <c r="J9" i="29" s="1"/>
  <c r="E9" i="29"/>
  <c r="J24" i="28"/>
  <c r="J47" i="27"/>
  <c r="G24" i="28"/>
  <c r="H24" i="28" s="1"/>
  <c r="P24" i="28" s="1"/>
  <c r="F24" i="28"/>
  <c r="E24" i="28"/>
  <c r="G23" i="28"/>
  <c r="F23" i="28"/>
  <c r="E23" i="28"/>
  <c r="G22" i="28"/>
  <c r="F22" i="28"/>
  <c r="E22" i="28"/>
  <c r="G21" i="28"/>
  <c r="H21" i="28" s="1"/>
  <c r="P21" i="28" s="1"/>
  <c r="F21" i="28"/>
  <c r="E21" i="28"/>
  <c r="G20" i="28"/>
  <c r="H20" i="28" s="1"/>
  <c r="P20" i="28" s="1"/>
  <c r="F20" i="28"/>
  <c r="E20" i="28"/>
  <c r="H19" i="28"/>
  <c r="P19" i="28" s="1"/>
  <c r="F19" i="28"/>
  <c r="J19" i="28" s="1"/>
  <c r="E19" i="28"/>
  <c r="M17" i="28"/>
  <c r="F17" i="28"/>
  <c r="J17" i="28" s="1"/>
  <c r="E17" i="28"/>
  <c r="H16" i="28"/>
  <c r="P16" i="28" s="1"/>
  <c r="F16" i="28"/>
  <c r="J16" i="28" s="1"/>
  <c r="E16" i="28"/>
  <c r="G15" i="28"/>
  <c r="H15" i="28" s="1"/>
  <c r="P15" i="28" s="1"/>
  <c r="F15" i="28"/>
  <c r="E15" i="28"/>
  <c r="H14" i="28"/>
  <c r="P14" i="28" s="1"/>
  <c r="F14" i="28"/>
  <c r="J14" i="28" s="1"/>
  <c r="E14" i="28"/>
  <c r="H13" i="28"/>
  <c r="P13" i="28" s="1"/>
  <c r="F13" i="28"/>
  <c r="J13" i="28" s="1"/>
  <c r="E13" i="28"/>
  <c r="G12" i="28"/>
  <c r="F12" i="28"/>
  <c r="E12" i="28"/>
  <c r="H11" i="28"/>
  <c r="P11" i="28" s="1"/>
  <c r="F11" i="28"/>
  <c r="J11" i="28" s="1"/>
  <c r="E11" i="28"/>
  <c r="H10" i="28"/>
  <c r="P10" i="28" s="1"/>
  <c r="F10" i="28"/>
  <c r="J10" i="28" s="1"/>
  <c r="E10" i="28"/>
  <c r="H9" i="28"/>
  <c r="P9" i="28" s="1"/>
  <c r="F9" i="28"/>
  <c r="J9" i="28" s="1"/>
  <c r="E9" i="28"/>
  <c r="I10" i="33" l="1"/>
  <c r="P10" i="33"/>
  <c r="L42" i="31"/>
  <c r="P42" i="31"/>
  <c r="L40" i="31"/>
  <c r="P40" i="31"/>
  <c r="I29" i="31"/>
  <c r="P29" i="31"/>
  <c r="L38" i="31"/>
  <c r="T38" i="31" s="1"/>
  <c r="U38" i="31" s="1"/>
  <c r="V38" i="31" s="1"/>
  <c r="W38" i="31" s="1"/>
  <c r="P38" i="31"/>
  <c r="L36" i="31"/>
  <c r="T36" i="31" s="1"/>
  <c r="U36" i="31" s="1"/>
  <c r="V36" i="31" s="1"/>
  <c r="W36" i="31" s="1"/>
  <c r="P36" i="31"/>
  <c r="P15" i="29"/>
  <c r="L15" i="29"/>
  <c r="L27" i="39"/>
  <c r="T18" i="31"/>
  <c r="U18" i="31" s="1"/>
  <c r="V18" i="31" s="1"/>
  <c r="W18" i="31" s="1"/>
  <c r="T39" i="31"/>
  <c r="U39" i="31" s="1"/>
  <c r="V39" i="31" s="1"/>
  <c r="W39" i="31" s="1"/>
  <c r="T15" i="31"/>
  <c r="U15" i="31" s="1"/>
  <c r="V15" i="31" s="1"/>
  <c r="W15" i="31" s="1"/>
  <c r="M17" i="31"/>
  <c r="T17" i="31"/>
  <c r="T31" i="31"/>
  <c r="U31" i="31" s="1"/>
  <c r="V31" i="31" s="1"/>
  <c r="W31" i="31" s="1"/>
  <c r="T34" i="31"/>
  <c r="U34" i="31" s="1"/>
  <c r="V34" i="31" s="1"/>
  <c r="W34" i="31" s="1"/>
  <c r="M23" i="39"/>
  <c r="L12" i="36"/>
  <c r="C24" i="18" s="1"/>
  <c r="N12" i="36"/>
  <c r="M12" i="36"/>
  <c r="N9" i="35"/>
  <c r="M17" i="35"/>
  <c r="M19" i="35" s="1"/>
  <c r="L17" i="35"/>
  <c r="L19" i="35" s="1"/>
  <c r="C23" i="18" s="1"/>
  <c r="K9" i="33"/>
  <c r="L14" i="32"/>
  <c r="M14" i="32" s="1"/>
  <c r="L13" i="32"/>
  <c r="M13" i="32" s="1"/>
  <c r="I14" i="32"/>
  <c r="L15" i="32"/>
  <c r="M15" i="32" s="1"/>
  <c r="I15" i="32"/>
  <c r="Y34" i="31"/>
  <c r="Y40" i="31"/>
  <c r="T12" i="31"/>
  <c r="U12" i="31" s="1"/>
  <c r="V12" i="31" s="1"/>
  <c r="W12" i="31" s="1"/>
  <c r="T13" i="31"/>
  <c r="U13" i="31" s="1"/>
  <c r="V13" i="31" s="1"/>
  <c r="W13" i="31" s="1"/>
  <c r="T14" i="31"/>
  <c r="U14" i="31" s="1"/>
  <c r="V14" i="31" s="1"/>
  <c r="W14" i="31" s="1"/>
  <c r="T27" i="31"/>
  <c r="U27" i="31" s="1"/>
  <c r="V27" i="31" s="1"/>
  <c r="W27" i="31" s="1"/>
  <c r="T23" i="31"/>
  <c r="U23" i="31" s="1"/>
  <c r="V23" i="31" s="1"/>
  <c r="W23" i="31" s="1"/>
  <c r="T20" i="31"/>
  <c r="U20" i="31" s="1"/>
  <c r="V20" i="31" s="1"/>
  <c r="W20" i="31" s="1"/>
  <c r="X39" i="31"/>
  <c r="Y39" i="31" s="1"/>
  <c r="T26" i="31"/>
  <c r="U26" i="31" s="1"/>
  <c r="V26" i="31" s="1"/>
  <c r="W26" i="31" s="1"/>
  <c r="I42" i="31"/>
  <c r="T10" i="31"/>
  <c r="U10" i="31" s="1"/>
  <c r="V10" i="31" s="1"/>
  <c r="W10" i="31" s="1"/>
  <c r="M39" i="31"/>
  <c r="T19" i="31"/>
  <c r="U19" i="31" s="1"/>
  <c r="V19" i="31" s="1"/>
  <c r="W19" i="31" s="1"/>
  <c r="U17" i="31"/>
  <c r="V17" i="31" s="1"/>
  <c r="W17" i="31" s="1"/>
  <c r="I36" i="31"/>
  <c r="T35" i="31"/>
  <c r="U35" i="31" s="1"/>
  <c r="V35" i="31" s="1"/>
  <c r="W35" i="31" s="1"/>
  <c r="I38" i="31"/>
  <c r="I40" i="31"/>
  <c r="M9" i="33"/>
  <c r="L10" i="33"/>
  <c r="M10" i="33" s="1"/>
  <c r="K10" i="33"/>
  <c r="K12" i="32"/>
  <c r="K17" i="32" s="1"/>
  <c r="C20" i="18" s="1"/>
  <c r="L12" i="32"/>
  <c r="T40" i="31"/>
  <c r="U40" i="31" s="1"/>
  <c r="V40" i="31" s="1"/>
  <c r="W40" i="31" s="1"/>
  <c r="M40" i="31"/>
  <c r="M36" i="31"/>
  <c r="T42" i="31"/>
  <c r="U42" i="31" s="1"/>
  <c r="V42" i="31" s="1"/>
  <c r="W42" i="31" s="1"/>
  <c r="M42" i="31"/>
  <c r="M37" i="31"/>
  <c r="T37" i="31"/>
  <c r="U37" i="31" s="1"/>
  <c r="V37" i="31" s="1"/>
  <c r="W37" i="31" s="1"/>
  <c r="M28" i="31"/>
  <c r="T28" i="31"/>
  <c r="U28" i="31" s="1"/>
  <c r="V28" i="31" s="1"/>
  <c r="W28" i="31" s="1"/>
  <c r="X41" i="31"/>
  <c r="Y41" i="31" s="1"/>
  <c r="L41" i="31"/>
  <c r="K41" i="31"/>
  <c r="X32" i="31"/>
  <c r="Y32" i="31" s="1"/>
  <c r="L32" i="31"/>
  <c r="K32" i="31"/>
  <c r="L29" i="31"/>
  <c r="X29" i="31"/>
  <c r="Y29" i="31" s="1"/>
  <c r="K29" i="31"/>
  <c r="T33" i="31"/>
  <c r="U33" i="31" s="1"/>
  <c r="V33" i="31" s="1"/>
  <c r="W33" i="31" s="1"/>
  <c r="M33" i="31"/>
  <c r="Y37" i="31"/>
  <c r="T24" i="31"/>
  <c r="U24" i="31" s="1"/>
  <c r="V24" i="31" s="1"/>
  <c r="W24" i="31" s="1"/>
  <c r="M24" i="31"/>
  <c r="T22" i="31"/>
  <c r="U22" i="31" s="1"/>
  <c r="V22" i="31" s="1"/>
  <c r="W22" i="31" s="1"/>
  <c r="M22" i="31"/>
  <c r="Y36" i="31"/>
  <c r="V9" i="31"/>
  <c r="Y35" i="31"/>
  <c r="T21" i="31"/>
  <c r="U21" i="31" s="1"/>
  <c r="V21" i="31" s="1"/>
  <c r="W21" i="31" s="1"/>
  <c r="M21" i="31"/>
  <c r="M25" i="31"/>
  <c r="T25" i="31"/>
  <c r="U25" i="31" s="1"/>
  <c r="V25" i="31" s="1"/>
  <c r="W25" i="31" s="1"/>
  <c r="L19" i="30"/>
  <c r="M19" i="30" s="1"/>
  <c r="L23" i="30"/>
  <c r="M23" i="30" s="1"/>
  <c r="L27" i="30"/>
  <c r="M27" i="30" s="1"/>
  <c r="J41" i="30"/>
  <c r="K41" i="30" s="1"/>
  <c r="J42" i="30"/>
  <c r="K34" i="30"/>
  <c r="J36" i="30"/>
  <c r="L10" i="30"/>
  <c r="M10" i="30" s="1"/>
  <c r="L14" i="30"/>
  <c r="M14" i="30" s="1"/>
  <c r="L18" i="30"/>
  <c r="M18" i="30" s="1"/>
  <c r="L22" i="30"/>
  <c r="M22" i="30" s="1"/>
  <c r="L26" i="30"/>
  <c r="M26" i="30" s="1"/>
  <c r="L11" i="30"/>
  <c r="M11" i="30" s="1"/>
  <c r="L15" i="30"/>
  <c r="M15" i="30" s="1"/>
  <c r="L37" i="30"/>
  <c r="M37" i="30" s="1"/>
  <c r="L13" i="30"/>
  <c r="M13" i="30" s="1"/>
  <c r="L12" i="30"/>
  <c r="M12" i="30" s="1"/>
  <c r="L16" i="30"/>
  <c r="M16" i="30" s="1"/>
  <c r="L20" i="30"/>
  <c r="M20" i="30" s="1"/>
  <c r="L24" i="30"/>
  <c r="M24" i="30" s="1"/>
  <c r="J28" i="30"/>
  <c r="L28" i="30" s="1"/>
  <c r="M28" i="30" s="1"/>
  <c r="I29" i="30"/>
  <c r="J32" i="30"/>
  <c r="K32" i="30" s="1"/>
  <c r="I34" i="30"/>
  <c r="I38" i="30"/>
  <c r="L9" i="30"/>
  <c r="M9" i="30" s="1"/>
  <c r="L17" i="30"/>
  <c r="M17" i="30" s="1"/>
  <c r="L21" i="30"/>
  <c r="M21" i="30" s="1"/>
  <c r="L25" i="30"/>
  <c r="M25" i="30" s="1"/>
  <c r="L29" i="30"/>
  <c r="M29" i="30" s="1"/>
  <c r="J30" i="30"/>
  <c r="L30" i="30" s="1"/>
  <c r="M30" i="30" s="1"/>
  <c r="I31" i="30"/>
  <c r="H32" i="30"/>
  <c r="I35" i="30"/>
  <c r="L39" i="30"/>
  <c r="M39" i="30" s="1"/>
  <c r="L41" i="30"/>
  <c r="M41" i="30" s="1"/>
  <c r="L34" i="30"/>
  <c r="M34" i="30" s="1"/>
  <c r="L35" i="30"/>
  <c r="M35" i="30" s="1"/>
  <c r="J40" i="30"/>
  <c r="K40" i="30" s="1"/>
  <c r="K28" i="30"/>
  <c r="K29" i="30"/>
  <c r="L31" i="30"/>
  <c r="M31" i="30" s="1"/>
  <c r="I41" i="30"/>
  <c r="J12" i="29"/>
  <c r="K12" i="29" s="1"/>
  <c r="I10" i="29"/>
  <c r="I9" i="29"/>
  <c r="J11" i="29"/>
  <c r="L11" i="29" s="1"/>
  <c r="M11" i="29" s="1"/>
  <c r="J14" i="29"/>
  <c r="K14" i="29" s="1"/>
  <c r="L10" i="29"/>
  <c r="M10" i="29" s="1"/>
  <c r="H12" i="29"/>
  <c r="M15" i="29"/>
  <c r="I10" i="30"/>
  <c r="K10" i="30"/>
  <c r="I13" i="30"/>
  <c r="K13" i="30"/>
  <c r="I16" i="30"/>
  <c r="K16" i="30"/>
  <c r="I18" i="30"/>
  <c r="K18" i="30"/>
  <c r="I21" i="30"/>
  <c r="K21" i="30"/>
  <c r="I24" i="30"/>
  <c r="K24" i="30"/>
  <c r="I26" i="30"/>
  <c r="K26" i="30"/>
  <c r="I27" i="30"/>
  <c r="K27" i="30"/>
  <c r="I28" i="30"/>
  <c r="I9" i="30"/>
  <c r="K9" i="30"/>
  <c r="I11" i="30"/>
  <c r="K11" i="30"/>
  <c r="I12" i="30"/>
  <c r="K12" i="30"/>
  <c r="I14" i="30"/>
  <c r="K14" i="30"/>
  <c r="I15" i="30"/>
  <c r="K15" i="30"/>
  <c r="I17" i="30"/>
  <c r="K17" i="30"/>
  <c r="I19" i="30"/>
  <c r="K19" i="30"/>
  <c r="I20" i="30"/>
  <c r="K20" i="30"/>
  <c r="I22" i="30"/>
  <c r="K22" i="30"/>
  <c r="I23" i="30"/>
  <c r="K23" i="30"/>
  <c r="I25" i="30"/>
  <c r="K25" i="30"/>
  <c r="J33" i="30"/>
  <c r="H33" i="30"/>
  <c r="G44" i="30"/>
  <c r="I37" i="30"/>
  <c r="K37" i="30"/>
  <c r="K39" i="30"/>
  <c r="I30" i="30"/>
  <c r="K36" i="30"/>
  <c r="J38" i="30"/>
  <c r="L38" i="30" s="1"/>
  <c r="M38" i="30" s="1"/>
  <c r="I39" i="30"/>
  <c r="H40" i="30"/>
  <c r="L42" i="30"/>
  <c r="M42" i="30" s="1"/>
  <c r="I42" i="30"/>
  <c r="H36" i="30"/>
  <c r="P36" i="30" s="1"/>
  <c r="L9" i="29"/>
  <c r="M9" i="29" s="1"/>
  <c r="I15" i="29"/>
  <c r="K9" i="29"/>
  <c r="I13" i="29"/>
  <c r="H14" i="29"/>
  <c r="P14" i="29" s="1"/>
  <c r="K10" i="29"/>
  <c r="I11" i="29"/>
  <c r="J13" i="29"/>
  <c r="G17" i="29"/>
  <c r="K11" i="28"/>
  <c r="L13" i="28"/>
  <c r="M13" i="28" s="1"/>
  <c r="J21" i="28"/>
  <c r="K21" i="28" s="1"/>
  <c r="K9" i="28"/>
  <c r="I11" i="28"/>
  <c r="J12" i="28"/>
  <c r="K12" i="28" s="1"/>
  <c r="K10" i="28"/>
  <c r="I16" i="28"/>
  <c r="L9" i="28"/>
  <c r="M9" i="28" s="1"/>
  <c r="I10" i="28"/>
  <c r="L19" i="28"/>
  <c r="M19" i="28" s="1"/>
  <c r="J23" i="28"/>
  <c r="K23" i="28" s="1"/>
  <c r="I9" i="28"/>
  <c r="J20" i="28"/>
  <c r="L20" i="28" s="1"/>
  <c r="M20" i="28" s="1"/>
  <c r="H12" i="28"/>
  <c r="P12" i="28" s="1"/>
  <c r="L14" i="28"/>
  <c r="M14" i="28" s="1"/>
  <c r="J15" i="28"/>
  <c r="L15" i="28" s="1"/>
  <c r="M15" i="28" s="1"/>
  <c r="L11" i="28"/>
  <c r="M11" i="28" s="1"/>
  <c r="I13" i="28"/>
  <c r="I20" i="28"/>
  <c r="J22" i="28"/>
  <c r="K22" i="28" s="1"/>
  <c r="I15" i="28"/>
  <c r="L21" i="28"/>
  <c r="M21" i="28" s="1"/>
  <c r="I24" i="28"/>
  <c r="L16" i="28"/>
  <c r="M16" i="28" s="1"/>
  <c r="K16" i="28"/>
  <c r="L10" i="28"/>
  <c r="M10" i="28" s="1"/>
  <c r="K13" i="28"/>
  <c r="I21" i="28"/>
  <c r="I14" i="28"/>
  <c r="K14" i="28"/>
  <c r="G26" i="28"/>
  <c r="I19" i="28"/>
  <c r="K19" i="28"/>
  <c r="H22" i="28"/>
  <c r="P22" i="28" s="1"/>
  <c r="H23" i="28"/>
  <c r="G47" i="27"/>
  <c r="F47" i="27"/>
  <c r="E47" i="27"/>
  <c r="G46" i="27"/>
  <c r="H46" i="27" s="1"/>
  <c r="R46" i="27" s="1"/>
  <c r="F46" i="27"/>
  <c r="E46" i="27"/>
  <c r="G45" i="27"/>
  <c r="H45" i="27" s="1"/>
  <c r="R45" i="27" s="1"/>
  <c r="F45" i="27"/>
  <c r="E45" i="27"/>
  <c r="G44" i="27"/>
  <c r="F44" i="27"/>
  <c r="E44" i="27"/>
  <c r="G43" i="27"/>
  <c r="H43" i="27" s="1"/>
  <c r="R43" i="27" s="1"/>
  <c r="F43" i="27"/>
  <c r="E43" i="27"/>
  <c r="H42" i="27"/>
  <c r="R42" i="27" s="1"/>
  <c r="F42" i="27"/>
  <c r="J42" i="27" s="1"/>
  <c r="E42" i="27"/>
  <c r="M40" i="27"/>
  <c r="F40" i="27"/>
  <c r="J40" i="27" s="1"/>
  <c r="E40" i="27"/>
  <c r="H37" i="27"/>
  <c r="R37" i="27" s="1"/>
  <c r="F37" i="27"/>
  <c r="J37" i="27" s="1"/>
  <c r="E37" i="27"/>
  <c r="G36" i="27"/>
  <c r="F36" i="27"/>
  <c r="E36" i="27"/>
  <c r="J35" i="27"/>
  <c r="H35" i="27"/>
  <c r="R35" i="27" s="1"/>
  <c r="F35" i="27"/>
  <c r="E35" i="27"/>
  <c r="H34" i="27"/>
  <c r="R34" i="27" s="1"/>
  <c r="F34" i="27"/>
  <c r="J34" i="27" s="1"/>
  <c r="E34" i="27"/>
  <c r="G33" i="27"/>
  <c r="H33" i="27" s="1"/>
  <c r="R33" i="27" s="1"/>
  <c r="F33" i="27"/>
  <c r="E33" i="27"/>
  <c r="H32" i="27"/>
  <c r="R32" i="27" s="1"/>
  <c r="F32" i="27"/>
  <c r="J32" i="27" s="1"/>
  <c r="E32" i="27"/>
  <c r="H31" i="27"/>
  <c r="R31" i="27" s="1"/>
  <c r="F31" i="27"/>
  <c r="J31" i="27" s="1"/>
  <c r="E31" i="27"/>
  <c r="G30" i="27"/>
  <c r="F30" i="27"/>
  <c r="E30" i="27"/>
  <c r="H29" i="27"/>
  <c r="R29" i="27" s="1"/>
  <c r="F29" i="27"/>
  <c r="J29" i="27" s="1"/>
  <c r="E29" i="27"/>
  <c r="H28" i="27"/>
  <c r="R28" i="27" s="1"/>
  <c r="F28" i="27"/>
  <c r="J28" i="27" s="1"/>
  <c r="E28" i="27"/>
  <c r="H27" i="27"/>
  <c r="R27" i="27" s="1"/>
  <c r="F27" i="27"/>
  <c r="J27" i="27" s="1"/>
  <c r="E27" i="27"/>
  <c r="H26" i="27"/>
  <c r="R26" i="27" s="1"/>
  <c r="F26" i="27"/>
  <c r="J26" i="27" s="1"/>
  <c r="E26" i="27"/>
  <c r="H25" i="27"/>
  <c r="R25" i="27" s="1"/>
  <c r="F25" i="27"/>
  <c r="J25" i="27" s="1"/>
  <c r="E25" i="27"/>
  <c r="H24" i="27"/>
  <c r="R24" i="27" s="1"/>
  <c r="F24" i="27"/>
  <c r="J24" i="27" s="1"/>
  <c r="E24" i="27"/>
  <c r="H23" i="27"/>
  <c r="R23" i="27" s="1"/>
  <c r="F23" i="27"/>
  <c r="J23" i="27" s="1"/>
  <c r="E23" i="27"/>
  <c r="H22" i="27"/>
  <c r="R22" i="27" s="1"/>
  <c r="F22" i="27"/>
  <c r="J22" i="27" s="1"/>
  <c r="E22" i="27"/>
  <c r="H21" i="27"/>
  <c r="R21" i="27" s="1"/>
  <c r="F21" i="27"/>
  <c r="J21" i="27" s="1"/>
  <c r="E21" i="27"/>
  <c r="H20" i="27"/>
  <c r="R20" i="27" s="1"/>
  <c r="F20" i="27"/>
  <c r="J20" i="27" s="1"/>
  <c r="E20" i="27"/>
  <c r="H19" i="27"/>
  <c r="R19" i="27" s="1"/>
  <c r="F19" i="27"/>
  <c r="J19" i="27" s="1"/>
  <c r="E19" i="27"/>
  <c r="H18" i="27"/>
  <c r="F18" i="27"/>
  <c r="J18" i="27" s="1"/>
  <c r="E18" i="27"/>
  <c r="H17" i="27"/>
  <c r="F17" i="27"/>
  <c r="J17" i="27" s="1"/>
  <c r="E17" i="27"/>
  <c r="I17" i="27" s="1"/>
  <c r="H16" i="27"/>
  <c r="F16" i="27"/>
  <c r="J16" i="27" s="1"/>
  <c r="E16" i="27"/>
  <c r="I16" i="27" s="1"/>
  <c r="H15" i="27"/>
  <c r="F15" i="27"/>
  <c r="J15" i="27" s="1"/>
  <c r="E15" i="27"/>
  <c r="I15" i="27" s="1"/>
  <c r="H14" i="27"/>
  <c r="F14" i="27"/>
  <c r="J14" i="27" s="1"/>
  <c r="E14" i="27"/>
  <c r="I14" i="27" s="1"/>
  <c r="H13" i="27"/>
  <c r="F13" i="27"/>
  <c r="J13" i="27" s="1"/>
  <c r="E13" i="27"/>
  <c r="I13" i="27" s="1"/>
  <c r="H12" i="27"/>
  <c r="F12" i="27"/>
  <c r="J12" i="27" s="1"/>
  <c r="E12" i="27"/>
  <c r="I12" i="27" s="1"/>
  <c r="H11" i="27"/>
  <c r="F11" i="27"/>
  <c r="J11" i="27" s="1"/>
  <c r="E11" i="27"/>
  <c r="I11" i="27" s="1"/>
  <c r="L9" i="27"/>
  <c r="M9" i="27" s="1"/>
  <c r="K9" i="27"/>
  <c r="J9" i="27"/>
  <c r="F9" i="27"/>
  <c r="C9" i="27"/>
  <c r="H9" i="27" s="1"/>
  <c r="G15" i="26"/>
  <c r="F15" i="26"/>
  <c r="E15" i="26"/>
  <c r="G14" i="26"/>
  <c r="F14" i="26"/>
  <c r="J14" i="26" s="1"/>
  <c r="E14" i="26"/>
  <c r="G13" i="26"/>
  <c r="J13" i="26" s="1"/>
  <c r="F13" i="26"/>
  <c r="E13" i="26"/>
  <c r="G12" i="26"/>
  <c r="F12" i="26"/>
  <c r="E12" i="26"/>
  <c r="G11" i="26"/>
  <c r="F11" i="26"/>
  <c r="E11" i="26"/>
  <c r="F10" i="26"/>
  <c r="J10" i="26" s="1"/>
  <c r="L10" i="26" s="1"/>
  <c r="M10" i="26" s="1"/>
  <c r="E10" i="26"/>
  <c r="F9" i="26"/>
  <c r="J9" i="26" s="1"/>
  <c r="E9" i="26"/>
  <c r="G22" i="25"/>
  <c r="F22" i="25"/>
  <c r="E22" i="25"/>
  <c r="G21" i="25"/>
  <c r="H21" i="25" s="1"/>
  <c r="F21" i="25"/>
  <c r="E21" i="25"/>
  <c r="G20" i="25"/>
  <c r="H20" i="25" s="1"/>
  <c r="F20" i="25"/>
  <c r="E20" i="25"/>
  <c r="G19" i="25"/>
  <c r="H19" i="25" s="1"/>
  <c r="F19" i="25"/>
  <c r="E19" i="25"/>
  <c r="G18" i="25"/>
  <c r="H18" i="25" s="1"/>
  <c r="F18" i="25"/>
  <c r="E18" i="25"/>
  <c r="F17" i="25"/>
  <c r="J17" i="25" s="1"/>
  <c r="L17" i="25" s="1"/>
  <c r="M17" i="25" s="1"/>
  <c r="E17" i="25"/>
  <c r="F15" i="25"/>
  <c r="E15" i="25"/>
  <c r="F14" i="25"/>
  <c r="J14" i="25" s="1"/>
  <c r="E14" i="25"/>
  <c r="F13" i="25"/>
  <c r="J13" i="25" s="1"/>
  <c r="E13" i="25"/>
  <c r="F12" i="25"/>
  <c r="J12" i="25" s="1"/>
  <c r="E12" i="25"/>
  <c r="F11" i="25"/>
  <c r="J11" i="25" s="1"/>
  <c r="E11" i="25"/>
  <c r="G10" i="25"/>
  <c r="H10" i="25" s="1"/>
  <c r="F10" i="25"/>
  <c r="E10" i="25"/>
  <c r="F9" i="25"/>
  <c r="J9" i="25" s="1"/>
  <c r="J46" i="23"/>
  <c r="H46" i="23"/>
  <c r="E46" i="23"/>
  <c r="F46" i="23"/>
  <c r="G22" i="24"/>
  <c r="H22" i="24" s="1"/>
  <c r="F22" i="24"/>
  <c r="E22" i="24"/>
  <c r="G21" i="24"/>
  <c r="H21" i="24" s="1"/>
  <c r="F21" i="24"/>
  <c r="E21" i="24"/>
  <c r="G20" i="24"/>
  <c r="H20" i="24" s="1"/>
  <c r="F20" i="24"/>
  <c r="E20" i="24"/>
  <c r="G19" i="24"/>
  <c r="H19" i="24" s="1"/>
  <c r="F19" i="24"/>
  <c r="E19" i="24"/>
  <c r="G18" i="24"/>
  <c r="H18" i="24" s="1"/>
  <c r="F18" i="24"/>
  <c r="E18" i="24"/>
  <c r="F17" i="24"/>
  <c r="J17" i="24" s="1"/>
  <c r="E17" i="24"/>
  <c r="G15" i="24"/>
  <c r="F15" i="24"/>
  <c r="E15" i="24"/>
  <c r="F14" i="24"/>
  <c r="J14" i="24" s="1"/>
  <c r="E14" i="24"/>
  <c r="G13" i="24"/>
  <c r="H13" i="24" s="1"/>
  <c r="F13" i="24"/>
  <c r="E13" i="24"/>
  <c r="F12" i="24"/>
  <c r="J12" i="24" s="1"/>
  <c r="E12" i="24"/>
  <c r="F11" i="24"/>
  <c r="J11" i="24" s="1"/>
  <c r="E11" i="24"/>
  <c r="G10" i="24"/>
  <c r="H10" i="24" s="1"/>
  <c r="F10" i="24"/>
  <c r="E10" i="24"/>
  <c r="F9" i="24"/>
  <c r="J9" i="24" s="1"/>
  <c r="C9" i="24"/>
  <c r="E9" i="23"/>
  <c r="K9" i="23" s="1"/>
  <c r="F9" i="23"/>
  <c r="J9" i="23" s="1"/>
  <c r="H9" i="23"/>
  <c r="E10" i="23"/>
  <c r="K10" i="23" s="1"/>
  <c r="F10" i="23"/>
  <c r="J10" i="23" s="1"/>
  <c r="H10" i="23"/>
  <c r="C11" i="23"/>
  <c r="E11" i="23" s="1"/>
  <c r="F11" i="23"/>
  <c r="J11" i="23" s="1"/>
  <c r="F12" i="23"/>
  <c r="J12" i="23" s="1"/>
  <c r="F13" i="23"/>
  <c r="J13" i="23" s="1"/>
  <c r="F14" i="23"/>
  <c r="J14" i="23" s="1"/>
  <c r="F15" i="23"/>
  <c r="J15" i="23" s="1"/>
  <c r="F16" i="23"/>
  <c r="J16" i="23" s="1"/>
  <c r="F17" i="23"/>
  <c r="J17" i="23" s="1"/>
  <c r="F18" i="23"/>
  <c r="J18" i="23" s="1"/>
  <c r="F19" i="23"/>
  <c r="J19" i="23" s="1"/>
  <c r="F20" i="23"/>
  <c r="J20" i="23" s="1"/>
  <c r="F21" i="23"/>
  <c r="J21" i="23" s="1"/>
  <c r="F22" i="23"/>
  <c r="J22" i="23" s="1"/>
  <c r="F23" i="23"/>
  <c r="J23" i="23" s="1"/>
  <c r="F24" i="23"/>
  <c r="J24" i="23" s="1"/>
  <c r="F25" i="23"/>
  <c r="J25" i="23" s="1"/>
  <c r="F26" i="23"/>
  <c r="J26" i="23" s="1"/>
  <c r="F27" i="23"/>
  <c r="J27" i="23" s="1"/>
  <c r="F28" i="23"/>
  <c r="G28" i="23"/>
  <c r="F29" i="23"/>
  <c r="M29" i="23"/>
  <c r="E32" i="23"/>
  <c r="F32" i="23"/>
  <c r="J32" i="23" s="1"/>
  <c r="H32" i="23"/>
  <c r="R32" i="23" s="1"/>
  <c r="E33" i="23"/>
  <c r="F33" i="23"/>
  <c r="G33" i="23"/>
  <c r="H33" i="23" s="1"/>
  <c r="R33" i="23" s="1"/>
  <c r="E34" i="23"/>
  <c r="F34" i="23"/>
  <c r="J34" i="23" s="1"/>
  <c r="H34" i="23"/>
  <c r="R34" i="23" s="1"/>
  <c r="E35" i="23"/>
  <c r="F35" i="23"/>
  <c r="J35" i="23" s="1"/>
  <c r="H35" i="23"/>
  <c r="R35" i="23" s="1"/>
  <c r="E36" i="23"/>
  <c r="F36" i="23"/>
  <c r="G36" i="23"/>
  <c r="H36" i="23" s="1"/>
  <c r="R36" i="23" s="1"/>
  <c r="E37" i="23"/>
  <c r="F37" i="23"/>
  <c r="J37" i="23" s="1"/>
  <c r="H37" i="23"/>
  <c r="R37" i="23" s="1"/>
  <c r="E38" i="23"/>
  <c r="F38" i="23"/>
  <c r="G38" i="23"/>
  <c r="P38" i="23" s="1"/>
  <c r="E40" i="23"/>
  <c r="F40" i="23"/>
  <c r="J40" i="23" s="1"/>
  <c r="H40" i="23"/>
  <c r="R40" i="23" s="1"/>
  <c r="E41" i="23"/>
  <c r="F41" i="23"/>
  <c r="G41" i="23"/>
  <c r="H41" i="23" s="1"/>
  <c r="R41" i="23" s="1"/>
  <c r="E42" i="23"/>
  <c r="F42" i="23"/>
  <c r="G42" i="23"/>
  <c r="H42" i="23" s="1"/>
  <c r="R42" i="23" s="1"/>
  <c r="E43" i="23"/>
  <c r="F43" i="23"/>
  <c r="G43" i="23"/>
  <c r="H43" i="23" s="1"/>
  <c r="R43" i="23" s="1"/>
  <c r="E44" i="23"/>
  <c r="F44" i="23"/>
  <c r="G44" i="23"/>
  <c r="H44" i="23" s="1"/>
  <c r="R44" i="23" s="1"/>
  <c r="E45" i="23"/>
  <c r="F45" i="23"/>
  <c r="G45" i="23"/>
  <c r="H45" i="23" s="1"/>
  <c r="R45" i="23" s="1"/>
  <c r="M38" i="31" l="1"/>
  <c r="I18" i="25"/>
  <c r="P18" i="25"/>
  <c r="I19" i="25"/>
  <c r="P19" i="25"/>
  <c r="I20" i="25"/>
  <c r="P20" i="25"/>
  <c r="I10" i="25"/>
  <c r="P10" i="25"/>
  <c r="I21" i="25"/>
  <c r="P21" i="25"/>
  <c r="I23" i="28"/>
  <c r="P23" i="28"/>
  <c r="I10" i="24"/>
  <c r="R10" i="24"/>
  <c r="I18" i="24"/>
  <c r="R18" i="24"/>
  <c r="I21" i="24"/>
  <c r="R21" i="24"/>
  <c r="I19" i="24"/>
  <c r="R19" i="24"/>
  <c r="I22" i="24"/>
  <c r="R22" i="24"/>
  <c r="I13" i="24"/>
  <c r="R13" i="24"/>
  <c r="I20" i="24"/>
  <c r="R20" i="24"/>
  <c r="I46" i="23"/>
  <c r="R46" i="23"/>
  <c r="I40" i="30"/>
  <c r="P40" i="30"/>
  <c r="I32" i="30"/>
  <c r="P32" i="30"/>
  <c r="I33" i="30"/>
  <c r="P33" i="30"/>
  <c r="L12" i="29"/>
  <c r="M12" i="29" s="1"/>
  <c r="P12" i="29"/>
  <c r="M38" i="23"/>
  <c r="J38" i="23"/>
  <c r="M16" i="36"/>
  <c r="M23" i="35"/>
  <c r="K14" i="33"/>
  <c r="C21" i="18" s="1"/>
  <c r="J22" i="24"/>
  <c r="J45" i="23"/>
  <c r="K45" i="23" s="1"/>
  <c r="L46" i="23"/>
  <c r="C9" i="25"/>
  <c r="H9" i="25" s="1"/>
  <c r="P9" i="25" s="1"/>
  <c r="H9" i="24"/>
  <c r="R9" i="24" s="1"/>
  <c r="G15" i="25"/>
  <c r="J21" i="25"/>
  <c r="K21" i="25" s="1"/>
  <c r="H22" i="25"/>
  <c r="J22" i="25"/>
  <c r="K22" i="25" s="1"/>
  <c r="L37" i="27"/>
  <c r="L15" i="27"/>
  <c r="L23" i="27"/>
  <c r="N17" i="35"/>
  <c r="N19" i="35" s="1"/>
  <c r="K44" i="31"/>
  <c r="C18" i="18" s="1"/>
  <c r="M14" i="33"/>
  <c r="O9" i="33" s="1"/>
  <c r="Q9" i="33" s="1"/>
  <c r="L14" i="33"/>
  <c r="M12" i="32"/>
  <c r="M17" i="32" s="1"/>
  <c r="L17" i="32"/>
  <c r="W9" i="31"/>
  <c r="T29" i="31"/>
  <c r="M29" i="31"/>
  <c r="T41" i="31"/>
  <c r="U41" i="31" s="1"/>
  <c r="V41" i="31" s="1"/>
  <c r="W41" i="31" s="1"/>
  <c r="M41" i="31"/>
  <c r="L44" i="31"/>
  <c r="T32" i="31"/>
  <c r="U32" i="31" s="1"/>
  <c r="V32" i="31" s="1"/>
  <c r="W32" i="31" s="1"/>
  <c r="M32" i="31"/>
  <c r="J11" i="26"/>
  <c r="L11" i="26" s="1"/>
  <c r="M11" i="26" s="1"/>
  <c r="L9" i="26"/>
  <c r="M9" i="26" s="1"/>
  <c r="J12" i="26"/>
  <c r="L12" i="26" s="1"/>
  <c r="M12" i="26" s="1"/>
  <c r="J20" i="25"/>
  <c r="K20" i="25" s="1"/>
  <c r="J18" i="25"/>
  <c r="J19" i="25"/>
  <c r="K19" i="25" s="1"/>
  <c r="J10" i="25"/>
  <c r="L11" i="25"/>
  <c r="M11" i="25" s="1"/>
  <c r="L12" i="25"/>
  <c r="M12" i="25" s="1"/>
  <c r="L36" i="30"/>
  <c r="M36" i="30" s="1"/>
  <c r="L32" i="30"/>
  <c r="M32" i="30" s="1"/>
  <c r="K30" i="30"/>
  <c r="K15" i="29"/>
  <c r="K11" i="29"/>
  <c r="I12" i="29"/>
  <c r="L14" i="29"/>
  <c r="M14" i="29" s="1"/>
  <c r="K42" i="30"/>
  <c r="L40" i="30"/>
  <c r="M40" i="30" s="1"/>
  <c r="I36" i="30"/>
  <c r="L33" i="30"/>
  <c r="K33" i="30"/>
  <c r="K38" i="30"/>
  <c r="I14" i="29"/>
  <c r="L13" i="29"/>
  <c r="K13" i="29"/>
  <c r="L12" i="28"/>
  <c r="M12" i="28" s="1"/>
  <c r="L22" i="28"/>
  <c r="M22" i="28" s="1"/>
  <c r="I12" i="28"/>
  <c r="K15" i="28"/>
  <c r="K20" i="28"/>
  <c r="L23" i="28"/>
  <c r="M23" i="28" s="1"/>
  <c r="K37" i="27"/>
  <c r="I22" i="27"/>
  <c r="L28" i="27"/>
  <c r="L31" i="27"/>
  <c r="L35" i="27"/>
  <c r="L13" i="27"/>
  <c r="L21" i="27"/>
  <c r="L12" i="27"/>
  <c r="L16" i="27"/>
  <c r="I28" i="27"/>
  <c r="L29" i="27"/>
  <c r="I32" i="27"/>
  <c r="K35" i="27"/>
  <c r="J44" i="27"/>
  <c r="I37" i="27"/>
  <c r="J36" i="27"/>
  <c r="L19" i="27"/>
  <c r="L11" i="27"/>
  <c r="I20" i="27"/>
  <c r="L42" i="27"/>
  <c r="L14" i="27"/>
  <c r="L20" i="27"/>
  <c r="L24" i="27"/>
  <c r="L27" i="27"/>
  <c r="L34" i="27"/>
  <c r="L17" i="27"/>
  <c r="L22" i="27"/>
  <c r="L25" i="27"/>
  <c r="J30" i="27"/>
  <c r="J33" i="27"/>
  <c r="L33" i="27" s="1"/>
  <c r="K42" i="27"/>
  <c r="I43" i="27"/>
  <c r="H44" i="27"/>
  <c r="I44" i="27" s="1"/>
  <c r="J45" i="27"/>
  <c r="L45" i="27" s="1"/>
  <c r="H47" i="27"/>
  <c r="E9" i="27"/>
  <c r="I9" i="27" s="1"/>
  <c r="I18" i="27"/>
  <c r="I26" i="27"/>
  <c r="K36" i="27"/>
  <c r="I45" i="27"/>
  <c r="K34" i="27"/>
  <c r="K11" i="27"/>
  <c r="K12" i="27"/>
  <c r="K13" i="27"/>
  <c r="L18" i="27"/>
  <c r="I24" i="27"/>
  <c r="L26" i="27"/>
  <c r="K31" i="27"/>
  <c r="I35" i="27"/>
  <c r="J43" i="27"/>
  <c r="L43" i="27" s="1"/>
  <c r="J46" i="27"/>
  <c r="L46" i="27" s="1"/>
  <c r="I22" i="28"/>
  <c r="L24" i="28"/>
  <c r="M24" i="28" s="1"/>
  <c r="K24" i="28"/>
  <c r="K44" i="27"/>
  <c r="K30" i="27"/>
  <c r="L32" i="27"/>
  <c r="K32" i="27"/>
  <c r="K15" i="27"/>
  <c r="K17" i="27"/>
  <c r="I19" i="27"/>
  <c r="K19" i="27"/>
  <c r="I21" i="27"/>
  <c r="K21" i="27"/>
  <c r="I23" i="27"/>
  <c r="K23" i="27"/>
  <c r="I25" i="27"/>
  <c r="K25" i="27"/>
  <c r="I27" i="27"/>
  <c r="K27" i="27"/>
  <c r="I29" i="27"/>
  <c r="K29" i="27"/>
  <c r="G49" i="27"/>
  <c r="H30" i="27"/>
  <c r="I31" i="27"/>
  <c r="H36" i="27"/>
  <c r="I42" i="27"/>
  <c r="I33" i="27"/>
  <c r="K14" i="27"/>
  <c r="K16" i="27"/>
  <c r="K18" i="27"/>
  <c r="K20" i="27"/>
  <c r="K22" i="27"/>
  <c r="K24" i="27"/>
  <c r="K26" i="27"/>
  <c r="K28" i="27"/>
  <c r="I34" i="27"/>
  <c r="I46" i="27"/>
  <c r="J19" i="24"/>
  <c r="K19" i="24" s="1"/>
  <c r="L15" i="26"/>
  <c r="M15" i="26" s="1"/>
  <c r="G17" i="26"/>
  <c r="L14" i="26"/>
  <c r="M14" i="26" s="1"/>
  <c r="L13" i="25"/>
  <c r="M13" i="25" s="1"/>
  <c r="L14" i="25"/>
  <c r="M14" i="25" s="1"/>
  <c r="E9" i="25"/>
  <c r="K9" i="25" s="1"/>
  <c r="L20" i="25"/>
  <c r="M20" i="25" s="1"/>
  <c r="K46" i="23"/>
  <c r="L15" i="24"/>
  <c r="M15" i="24" s="1"/>
  <c r="L15" i="25"/>
  <c r="K11" i="24"/>
  <c r="K12" i="24"/>
  <c r="L12" i="24"/>
  <c r="L22" i="24"/>
  <c r="L14" i="24"/>
  <c r="J10" i="24"/>
  <c r="K10" i="24" s="1"/>
  <c r="E9" i="24"/>
  <c r="K9" i="24" s="1"/>
  <c r="L17" i="24"/>
  <c r="K14" i="24"/>
  <c r="L11" i="24"/>
  <c r="J13" i="24"/>
  <c r="L13" i="24" s="1"/>
  <c r="J18" i="24"/>
  <c r="L18" i="24" s="1"/>
  <c r="J21" i="24"/>
  <c r="K21" i="24" s="1"/>
  <c r="K17" i="24"/>
  <c r="J20" i="24"/>
  <c r="J15" i="24"/>
  <c r="G24" i="24"/>
  <c r="L9" i="24"/>
  <c r="I10" i="23"/>
  <c r="L9" i="23"/>
  <c r="I9" i="23"/>
  <c r="L10" i="23"/>
  <c r="J28" i="23"/>
  <c r="C12" i="23"/>
  <c r="H11" i="23"/>
  <c r="L11" i="23" s="1"/>
  <c r="L32" i="23"/>
  <c r="I32" i="23"/>
  <c r="I11" i="23"/>
  <c r="K11" i="23"/>
  <c r="I43" i="23"/>
  <c r="G30" i="23"/>
  <c r="K34" i="23"/>
  <c r="I45" i="23"/>
  <c r="I41" i="23"/>
  <c r="I35" i="23"/>
  <c r="I34" i="23"/>
  <c r="J33" i="23"/>
  <c r="K33" i="23" s="1"/>
  <c r="I33" i="23"/>
  <c r="I42" i="23"/>
  <c r="I40" i="23"/>
  <c r="K32" i="23"/>
  <c r="L35" i="23"/>
  <c r="K35" i="23"/>
  <c r="G48" i="23"/>
  <c r="J43" i="23"/>
  <c r="K43" i="23" s="1"/>
  <c r="I36" i="23"/>
  <c r="I44" i="23"/>
  <c r="J42" i="23"/>
  <c r="K42" i="23" s="1"/>
  <c r="J41" i="23"/>
  <c r="K41" i="23" s="1"/>
  <c r="I37" i="23"/>
  <c r="L40" i="23"/>
  <c r="K40" i="23"/>
  <c r="L37" i="23"/>
  <c r="K37" i="23"/>
  <c r="L34" i="23"/>
  <c r="J44" i="23"/>
  <c r="J36" i="23"/>
  <c r="G24" i="25" l="1"/>
  <c r="J15" i="25"/>
  <c r="P15" i="24"/>
  <c r="O10" i="33"/>
  <c r="Q10" i="33" s="1"/>
  <c r="Q14" i="33" s="1"/>
  <c r="R7" i="32"/>
  <c r="O13" i="32"/>
  <c r="Q13" i="32" s="1"/>
  <c r="O14" i="32"/>
  <c r="Q14" i="32" s="1"/>
  <c r="O9" i="32"/>
  <c r="Q9" i="32" s="1"/>
  <c r="O10" i="32"/>
  <c r="Q10" i="32" s="1"/>
  <c r="O15" i="32"/>
  <c r="Q15" i="32" s="1"/>
  <c r="O11" i="32"/>
  <c r="Q11" i="32" s="1"/>
  <c r="O12" i="32"/>
  <c r="Q12" i="32" s="1"/>
  <c r="I22" i="25"/>
  <c r="P22" i="25"/>
  <c r="M14" i="27"/>
  <c r="P14" i="27"/>
  <c r="L36" i="27"/>
  <c r="R36" i="27"/>
  <c r="M27" i="27"/>
  <c r="V27" i="27" s="1"/>
  <c r="P27" i="27"/>
  <c r="M12" i="27"/>
  <c r="P12" i="27"/>
  <c r="M26" i="27"/>
  <c r="V26" i="27" s="1"/>
  <c r="P26" i="27"/>
  <c r="M24" i="27"/>
  <c r="V24" i="27" s="1"/>
  <c r="P24" i="27"/>
  <c r="M21" i="27"/>
  <c r="V21" i="27" s="1"/>
  <c r="P21" i="27"/>
  <c r="M33" i="27"/>
  <c r="V33" i="27" s="1"/>
  <c r="P33" i="27"/>
  <c r="M20" i="27"/>
  <c r="V20" i="27" s="1"/>
  <c r="P20" i="27"/>
  <c r="M13" i="27"/>
  <c r="P13" i="27"/>
  <c r="M42" i="27"/>
  <c r="V42" i="27" s="1"/>
  <c r="P42" i="27"/>
  <c r="M18" i="27"/>
  <c r="P18" i="27"/>
  <c r="M35" i="27"/>
  <c r="V35" i="27" s="1"/>
  <c r="P35" i="27"/>
  <c r="M25" i="27"/>
  <c r="V25" i="27" s="1"/>
  <c r="P25" i="27"/>
  <c r="M46" i="27"/>
  <c r="V46" i="27" s="1"/>
  <c r="P46" i="27"/>
  <c r="I47" i="27"/>
  <c r="R47" i="27"/>
  <c r="M22" i="27"/>
  <c r="V22" i="27" s="1"/>
  <c r="P22" i="27"/>
  <c r="M29" i="27"/>
  <c r="V29" i="27" s="1"/>
  <c r="P29" i="27"/>
  <c r="M28" i="27"/>
  <c r="V28" i="27" s="1"/>
  <c r="P28" i="27"/>
  <c r="M23" i="27"/>
  <c r="V23" i="27" s="1"/>
  <c r="P23" i="27"/>
  <c r="M45" i="27"/>
  <c r="V45" i="27" s="1"/>
  <c r="P45" i="27"/>
  <c r="M15" i="27"/>
  <c r="P15" i="27"/>
  <c r="M31" i="27"/>
  <c r="V31" i="27" s="1"/>
  <c r="P31" i="27"/>
  <c r="I30" i="27"/>
  <c r="R30" i="27"/>
  <c r="M43" i="27"/>
  <c r="V43" i="27" s="1"/>
  <c r="P43" i="27"/>
  <c r="M17" i="27"/>
  <c r="P17" i="27"/>
  <c r="M11" i="27"/>
  <c r="P11" i="27"/>
  <c r="M32" i="27"/>
  <c r="V32" i="27" s="1"/>
  <c r="P32" i="27"/>
  <c r="L44" i="27"/>
  <c r="R44" i="27"/>
  <c r="M34" i="27"/>
  <c r="V34" i="27" s="1"/>
  <c r="P34" i="27"/>
  <c r="M19" i="27"/>
  <c r="V19" i="27" s="1"/>
  <c r="P19" i="27"/>
  <c r="M16" i="27"/>
  <c r="P16" i="27"/>
  <c r="M37" i="27"/>
  <c r="V37" i="27" s="1"/>
  <c r="P37" i="27"/>
  <c r="M11" i="24"/>
  <c r="P11" i="24"/>
  <c r="M18" i="24"/>
  <c r="P18" i="24"/>
  <c r="M22" i="24"/>
  <c r="P22" i="24"/>
  <c r="M13" i="24"/>
  <c r="P13" i="24"/>
  <c r="M12" i="24"/>
  <c r="P12" i="24"/>
  <c r="P9" i="24"/>
  <c r="M9" i="24"/>
  <c r="M17" i="24"/>
  <c r="P17" i="24"/>
  <c r="M14" i="24"/>
  <c r="P14" i="24"/>
  <c r="M37" i="23"/>
  <c r="P37" i="23"/>
  <c r="M9" i="23"/>
  <c r="P9" i="23"/>
  <c r="M11" i="23"/>
  <c r="P11" i="23"/>
  <c r="M10" i="23"/>
  <c r="P10" i="23"/>
  <c r="M40" i="23"/>
  <c r="P40" i="23"/>
  <c r="M34" i="23"/>
  <c r="P34" i="23"/>
  <c r="M35" i="23"/>
  <c r="P35" i="23"/>
  <c r="M32" i="23"/>
  <c r="P32" i="23"/>
  <c r="M46" i="23"/>
  <c r="P46" i="23"/>
  <c r="P11" i="35"/>
  <c r="R11" i="35" s="1"/>
  <c r="P15" i="35"/>
  <c r="R15" i="35" s="1"/>
  <c r="P13" i="35"/>
  <c r="R13" i="35" s="1"/>
  <c r="P17" i="35"/>
  <c r="R17" i="35" s="1"/>
  <c r="P12" i="35"/>
  <c r="R12" i="35" s="1"/>
  <c r="P16" i="35"/>
  <c r="R16" i="35" s="1"/>
  <c r="P10" i="35"/>
  <c r="R10" i="35" s="1"/>
  <c r="P9" i="35"/>
  <c r="P14" i="35"/>
  <c r="R14" i="35" s="1"/>
  <c r="L18" i="33"/>
  <c r="L21" i="32"/>
  <c r="L48" i="31"/>
  <c r="L21" i="25"/>
  <c r="M21" i="25" s="1"/>
  <c r="M15" i="25"/>
  <c r="L18" i="25"/>
  <c r="M18" i="25" s="1"/>
  <c r="K18" i="25"/>
  <c r="I9" i="25"/>
  <c r="L9" i="25"/>
  <c r="M9" i="25" s="1"/>
  <c r="I9" i="24"/>
  <c r="L22" i="25"/>
  <c r="M22" i="25" s="1"/>
  <c r="L10" i="25"/>
  <c r="M10" i="25" s="1"/>
  <c r="K10" i="25"/>
  <c r="I36" i="27"/>
  <c r="M44" i="31"/>
  <c r="U29" i="31"/>
  <c r="T44" i="31"/>
  <c r="T45" i="31" s="1"/>
  <c r="L19" i="25"/>
  <c r="M19" i="25" s="1"/>
  <c r="K44" i="30"/>
  <c r="C15" i="18" s="1"/>
  <c r="K17" i="29"/>
  <c r="C14" i="18" s="1"/>
  <c r="L44" i="30"/>
  <c r="M33" i="30"/>
  <c r="M13" i="29"/>
  <c r="L17" i="29"/>
  <c r="K33" i="27"/>
  <c r="K38" i="27" s="1"/>
  <c r="K46" i="27"/>
  <c r="L47" i="27"/>
  <c r="K47" i="27"/>
  <c r="K43" i="27"/>
  <c r="K45" i="27"/>
  <c r="L30" i="27"/>
  <c r="P30" i="27" s="1"/>
  <c r="L19" i="24"/>
  <c r="K17" i="26"/>
  <c r="C17" i="18" s="1"/>
  <c r="L13" i="26"/>
  <c r="K22" i="24"/>
  <c r="K13" i="24"/>
  <c r="L10" i="24"/>
  <c r="L21" i="24"/>
  <c r="K18" i="24"/>
  <c r="L20" i="24"/>
  <c r="K20" i="24"/>
  <c r="L41" i="23"/>
  <c r="L42" i="23"/>
  <c r="L33" i="23"/>
  <c r="E12" i="23"/>
  <c r="H12" i="23"/>
  <c r="L12" i="23" s="1"/>
  <c r="C13" i="23"/>
  <c r="L45" i="23"/>
  <c r="L43" i="23"/>
  <c r="L36" i="23"/>
  <c r="K36" i="23"/>
  <c r="L44" i="23"/>
  <c r="K44" i="23"/>
  <c r="Q17" i="32" l="1"/>
  <c r="R12" i="32"/>
  <c r="R9" i="32"/>
  <c r="R14" i="32"/>
  <c r="R11" i="32"/>
  <c r="R15" i="32"/>
  <c r="R10" i="32"/>
  <c r="R13" i="32"/>
  <c r="R10" i="31"/>
  <c r="O20" i="31"/>
  <c r="Q20" i="31" s="1"/>
  <c r="O31" i="31"/>
  <c r="Q31" i="31" s="1"/>
  <c r="O34" i="31"/>
  <c r="Q34" i="31" s="1"/>
  <c r="O19" i="31"/>
  <c r="Q19" i="31" s="1"/>
  <c r="O35" i="31"/>
  <c r="Q35" i="31" s="1"/>
  <c r="O23" i="31"/>
  <c r="Q23" i="31" s="1"/>
  <c r="O26" i="31"/>
  <c r="Q26" i="31" s="1"/>
  <c r="O27" i="31"/>
  <c r="Q27" i="31" s="1"/>
  <c r="O18" i="31"/>
  <c r="Q18" i="31" s="1"/>
  <c r="O22" i="31"/>
  <c r="Q22" i="31" s="1"/>
  <c r="O39" i="31"/>
  <c r="Q39" i="31" s="1"/>
  <c r="O28" i="31"/>
  <c r="Q28" i="31" s="1"/>
  <c r="O37" i="31"/>
  <c r="Q37" i="31" s="1"/>
  <c r="O25" i="31"/>
  <c r="Q25" i="31" s="1"/>
  <c r="O33" i="31"/>
  <c r="Q33" i="31" s="1"/>
  <c r="O24" i="31"/>
  <c r="Q24" i="31" s="1"/>
  <c r="O42" i="31"/>
  <c r="Q42" i="31" s="1"/>
  <c r="O40" i="31"/>
  <c r="Q40" i="31" s="1"/>
  <c r="O36" i="31"/>
  <c r="Q36" i="31" s="1"/>
  <c r="O21" i="31"/>
  <c r="Q21" i="31" s="1"/>
  <c r="O32" i="31"/>
  <c r="Q32" i="31" s="1"/>
  <c r="O38" i="31"/>
  <c r="Q38" i="31" s="1"/>
  <c r="O29" i="31"/>
  <c r="Q29" i="31" s="1"/>
  <c r="O41" i="31"/>
  <c r="Q41" i="31" s="1"/>
  <c r="M47" i="27"/>
  <c r="V47" i="27" s="1"/>
  <c r="P47" i="27"/>
  <c r="M36" i="27"/>
  <c r="V36" i="27" s="1"/>
  <c r="P36" i="27"/>
  <c r="M44" i="27"/>
  <c r="V44" i="27" s="1"/>
  <c r="P44" i="27"/>
  <c r="M20" i="24"/>
  <c r="P20" i="24"/>
  <c r="M19" i="24"/>
  <c r="P19" i="24"/>
  <c r="M21" i="24"/>
  <c r="P21" i="24"/>
  <c r="M10" i="24"/>
  <c r="P10" i="24"/>
  <c r="M33" i="23"/>
  <c r="P33" i="23"/>
  <c r="M45" i="23"/>
  <c r="P45" i="23"/>
  <c r="M12" i="23"/>
  <c r="P12" i="23"/>
  <c r="M44" i="23"/>
  <c r="P44" i="23"/>
  <c r="M42" i="23"/>
  <c r="P42" i="23"/>
  <c r="M36" i="23"/>
  <c r="P36" i="23"/>
  <c r="M41" i="23"/>
  <c r="P41" i="23"/>
  <c r="M43" i="23"/>
  <c r="P43" i="23"/>
  <c r="R9" i="35"/>
  <c r="R19" i="35" s="1"/>
  <c r="P19" i="35"/>
  <c r="M44" i="30"/>
  <c r="M17" i="29"/>
  <c r="S8" i="29" s="1"/>
  <c r="O13" i="29"/>
  <c r="L48" i="30"/>
  <c r="L21" i="29"/>
  <c r="K41" i="27"/>
  <c r="K49" i="27" s="1"/>
  <c r="C12" i="18" s="1"/>
  <c r="L18" i="28"/>
  <c r="V29" i="31"/>
  <c r="U44" i="31"/>
  <c r="U45" i="31" s="1"/>
  <c r="L38" i="27"/>
  <c r="M30" i="27"/>
  <c r="V30" i="27" s="1"/>
  <c r="M13" i="26"/>
  <c r="M17" i="26" s="1"/>
  <c r="L17" i="26"/>
  <c r="H13" i="23"/>
  <c r="L13" i="23" s="1"/>
  <c r="E13" i="23"/>
  <c r="C14" i="23"/>
  <c r="I12" i="23"/>
  <c r="K12" i="23"/>
  <c r="R17" i="32" l="1"/>
  <c r="Q44" i="31"/>
  <c r="R18" i="31"/>
  <c r="R25" i="31"/>
  <c r="R34" i="31"/>
  <c r="R42" i="31"/>
  <c r="R26" i="31"/>
  <c r="R35" i="31"/>
  <c r="R20" i="31"/>
  <c r="R28" i="31"/>
  <c r="R37" i="31"/>
  <c r="R21" i="31"/>
  <c r="R38" i="31"/>
  <c r="R31" i="31"/>
  <c r="R23" i="31"/>
  <c r="R40" i="31"/>
  <c r="R33" i="31"/>
  <c r="R19" i="31"/>
  <c r="R27" i="31"/>
  <c r="R36" i="31"/>
  <c r="R29" i="31"/>
  <c r="R22" i="31"/>
  <c r="R39" i="31"/>
  <c r="R32" i="31"/>
  <c r="R24" i="31"/>
  <c r="R41" i="31"/>
  <c r="S7" i="26"/>
  <c r="O9" i="26"/>
  <c r="Q9" i="26" s="1"/>
  <c r="O10" i="26"/>
  <c r="Q10" i="26" s="1"/>
  <c r="O11" i="26"/>
  <c r="Q11" i="26" s="1"/>
  <c r="O12" i="26"/>
  <c r="Q12" i="26" s="1"/>
  <c r="O14" i="26"/>
  <c r="Q14" i="26" s="1"/>
  <c r="O15" i="26"/>
  <c r="Q15" i="26" s="1"/>
  <c r="O13" i="26"/>
  <c r="Q13" i="26" s="1"/>
  <c r="O33" i="30"/>
  <c r="R16" i="30"/>
  <c r="Q13" i="29"/>
  <c r="R13" i="29"/>
  <c r="M38" i="27"/>
  <c r="V38" i="27" s="1"/>
  <c r="P38" i="27"/>
  <c r="M13" i="23"/>
  <c r="P13" i="23"/>
  <c r="O38" i="30"/>
  <c r="O22" i="30"/>
  <c r="O25" i="30"/>
  <c r="O37" i="30"/>
  <c r="O18" i="30"/>
  <c r="O41" i="30"/>
  <c r="O42" i="30"/>
  <c r="O27" i="30"/>
  <c r="O21" i="30"/>
  <c r="O17" i="30"/>
  <c r="O35" i="30"/>
  <c r="O19" i="30"/>
  <c r="O31" i="30"/>
  <c r="O24" i="30"/>
  <c r="O34" i="30"/>
  <c r="O23" i="30"/>
  <c r="O20" i="30"/>
  <c r="O30" i="30"/>
  <c r="O29" i="30"/>
  <c r="O26" i="30"/>
  <c r="O39" i="30"/>
  <c r="O28" i="30"/>
  <c r="O32" i="30"/>
  <c r="O40" i="30"/>
  <c r="O36" i="30"/>
  <c r="O15" i="29"/>
  <c r="O9" i="29"/>
  <c r="O11" i="29"/>
  <c r="O10" i="29"/>
  <c r="O14" i="29"/>
  <c r="O12" i="29"/>
  <c r="L21" i="26"/>
  <c r="C13" i="18"/>
  <c r="L41" i="27"/>
  <c r="W29" i="31"/>
  <c r="V44" i="31"/>
  <c r="V45" i="31" s="1"/>
  <c r="M18" i="28"/>
  <c r="L26" i="28"/>
  <c r="E14" i="23"/>
  <c r="C15" i="23"/>
  <c r="H14" i="23"/>
  <c r="L14" i="23" s="1"/>
  <c r="I13" i="23"/>
  <c r="K13" i="23"/>
  <c r="R44" i="31" l="1"/>
  <c r="Q17" i="26"/>
  <c r="S12" i="26"/>
  <c r="S14" i="26"/>
  <c r="S10" i="26"/>
  <c r="S9" i="26"/>
  <c r="S13" i="26"/>
  <c r="S11" i="26"/>
  <c r="S15" i="26"/>
  <c r="Q24" i="30"/>
  <c r="R24" i="30"/>
  <c r="Q40" i="30"/>
  <c r="R40" i="30"/>
  <c r="Q23" i="30"/>
  <c r="R23" i="30"/>
  <c r="Q27" i="30"/>
  <c r="R27" i="30"/>
  <c r="Q32" i="30"/>
  <c r="R32" i="30"/>
  <c r="Q34" i="30"/>
  <c r="R34" i="30"/>
  <c r="Q42" i="30"/>
  <c r="R42" i="30"/>
  <c r="Q28" i="30"/>
  <c r="R28" i="30"/>
  <c r="Q41" i="30"/>
  <c r="R41" i="30"/>
  <c r="Q39" i="30"/>
  <c r="R39" i="30"/>
  <c r="Q31" i="30"/>
  <c r="R31" i="30"/>
  <c r="Q18" i="30"/>
  <c r="R18" i="30"/>
  <c r="Q26" i="30"/>
  <c r="R26" i="30"/>
  <c r="Q19" i="30"/>
  <c r="R19" i="30"/>
  <c r="Q37" i="30"/>
  <c r="R37" i="30"/>
  <c r="Q29" i="30"/>
  <c r="R29" i="30"/>
  <c r="Q35" i="30"/>
  <c r="R35" i="30"/>
  <c r="Q25" i="30"/>
  <c r="R25" i="30"/>
  <c r="Q30" i="30"/>
  <c r="R30" i="30"/>
  <c r="Q17" i="30"/>
  <c r="Q44" i="30" s="1"/>
  <c r="R17" i="30"/>
  <c r="Q22" i="30"/>
  <c r="R22" i="30"/>
  <c r="Q36" i="30"/>
  <c r="R36" i="30"/>
  <c r="Q20" i="30"/>
  <c r="R20" i="30"/>
  <c r="Q21" i="30"/>
  <c r="R21" i="30"/>
  <c r="Q38" i="30"/>
  <c r="R38" i="30"/>
  <c r="Q33" i="30"/>
  <c r="R33" i="30"/>
  <c r="Q14" i="29"/>
  <c r="R14" i="29"/>
  <c r="Q15" i="29"/>
  <c r="R15" i="29"/>
  <c r="Q12" i="29"/>
  <c r="R12" i="29"/>
  <c r="Q10" i="29"/>
  <c r="Q18" i="29" s="1"/>
  <c r="R10" i="29"/>
  <c r="Q11" i="29"/>
  <c r="R11" i="29"/>
  <c r="Q9" i="29"/>
  <c r="R9" i="29"/>
  <c r="L30" i="28"/>
  <c r="M41" i="27"/>
  <c r="V41" i="27" s="1"/>
  <c r="V49" i="27" s="1"/>
  <c r="P41" i="27"/>
  <c r="M14" i="23"/>
  <c r="P14" i="23"/>
  <c r="L49" i="27"/>
  <c r="M26" i="28"/>
  <c r="H15" i="23"/>
  <c r="L15" i="23" s="1"/>
  <c r="E15" i="23"/>
  <c r="C16" i="23"/>
  <c r="K14" i="23"/>
  <c r="I14" i="23"/>
  <c r="S17" i="26" l="1"/>
  <c r="R44" i="30"/>
  <c r="R18" i="29"/>
  <c r="R8" i="28"/>
  <c r="O10" i="28"/>
  <c r="O20" i="28"/>
  <c r="O13" i="28"/>
  <c r="O22" i="28"/>
  <c r="O15" i="28"/>
  <c r="O11" i="28"/>
  <c r="O19" i="28"/>
  <c r="O12" i="28"/>
  <c r="O21" i="28"/>
  <c r="O14" i="28"/>
  <c r="O23" i="28"/>
  <c r="O17" i="28"/>
  <c r="O24" i="28"/>
  <c r="O9" i="28"/>
  <c r="O16" i="28"/>
  <c r="P49" i="27"/>
  <c r="L53" i="27"/>
  <c r="O18" i="28"/>
  <c r="M15" i="23"/>
  <c r="P15" i="23"/>
  <c r="M49" i="27"/>
  <c r="C17" i="23"/>
  <c r="H16" i="23"/>
  <c r="L16" i="23" s="1"/>
  <c r="E16" i="23"/>
  <c r="I15" i="23"/>
  <c r="K15" i="23"/>
  <c r="R23" i="28" l="1"/>
  <c r="Q23" i="28"/>
  <c r="R13" i="28"/>
  <c r="Q13" i="28"/>
  <c r="R12" i="28"/>
  <c r="Q12" i="28"/>
  <c r="R16" i="28"/>
  <c r="Q16" i="28"/>
  <c r="R19" i="28"/>
  <c r="Q19" i="28"/>
  <c r="R9" i="28"/>
  <c r="Q9" i="28"/>
  <c r="R11" i="28"/>
  <c r="Q11" i="28"/>
  <c r="R24" i="28"/>
  <c r="Q24" i="28"/>
  <c r="R15" i="28"/>
  <c r="Q15" i="28"/>
  <c r="R18" i="28"/>
  <c r="Q18" i="28"/>
  <c r="R17" i="28"/>
  <c r="Q17" i="28"/>
  <c r="R22" i="28"/>
  <c r="Q22" i="28"/>
  <c r="R14" i="28"/>
  <c r="Q14" i="28"/>
  <c r="R20" i="28"/>
  <c r="Q20" i="28"/>
  <c r="Q39" i="27"/>
  <c r="Q40" i="27"/>
  <c r="Q30" i="27"/>
  <c r="Q46" i="27"/>
  <c r="Q22" i="27"/>
  <c r="Q23" i="27"/>
  <c r="Q21" i="27"/>
  <c r="Q20" i="27"/>
  <c r="Q33" i="27"/>
  <c r="Q27" i="27"/>
  <c r="Q26" i="27"/>
  <c r="Q19" i="27"/>
  <c r="Q34" i="27"/>
  <c r="Q29" i="27"/>
  <c r="Q37" i="27"/>
  <c r="Q31" i="27"/>
  <c r="Q25" i="27"/>
  <c r="Q43" i="27"/>
  <c r="Q28" i="27"/>
  <c r="Q24" i="27"/>
  <c r="Q45" i="27"/>
  <c r="Q32" i="27"/>
  <c r="Q42" i="27"/>
  <c r="Q35" i="27"/>
  <c r="Q47" i="27"/>
  <c r="Q44" i="27"/>
  <c r="Q36" i="27"/>
  <c r="Q38" i="27"/>
  <c r="R21" i="28"/>
  <c r="Q21" i="28"/>
  <c r="R10" i="28"/>
  <c r="Q10" i="28"/>
  <c r="Q41" i="27"/>
  <c r="M16" i="23"/>
  <c r="P16" i="23"/>
  <c r="I16" i="23"/>
  <c r="K16" i="23"/>
  <c r="C18" i="23"/>
  <c r="E17" i="23"/>
  <c r="H17" i="23"/>
  <c r="L17" i="23" s="1"/>
  <c r="M17" i="23" s="1"/>
  <c r="T24" i="27" l="1"/>
  <c r="U24" i="27" s="1"/>
  <c r="S24" i="27"/>
  <c r="T36" i="27"/>
  <c r="U36" i="27" s="1"/>
  <c r="S36" i="27"/>
  <c r="T26" i="27"/>
  <c r="U26" i="27" s="1"/>
  <c r="S26" i="27"/>
  <c r="S44" i="27"/>
  <c r="T44" i="27"/>
  <c r="U44" i="27" s="1"/>
  <c r="T27" i="27"/>
  <c r="U27" i="27" s="1"/>
  <c r="S27" i="27"/>
  <c r="Q26" i="28"/>
  <c r="T41" i="27"/>
  <c r="U41" i="27" s="1"/>
  <c r="S41" i="27"/>
  <c r="T47" i="27"/>
  <c r="U47" i="27" s="1"/>
  <c r="S47" i="27"/>
  <c r="T25" i="27"/>
  <c r="U25" i="27" s="1"/>
  <c r="S25" i="27"/>
  <c r="T33" i="27"/>
  <c r="U33" i="27" s="1"/>
  <c r="S33" i="27"/>
  <c r="T39" i="27"/>
  <c r="U39" i="27" s="1"/>
  <c r="S39" i="27"/>
  <c r="S46" i="27"/>
  <c r="T46" i="27"/>
  <c r="U46" i="27" s="1"/>
  <c r="T31" i="27"/>
  <c r="U31" i="27" s="1"/>
  <c r="S31" i="27"/>
  <c r="S38" i="27"/>
  <c r="T38" i="27"/>
  <c r="U38" i="27" s="1"/>
  <c r="T19" i="27"/>
  <c r="S19" i="27"/>
  <c r="S28" i="27"/>
  <c r="T28" i="27"/>
  <c r="U28" i="27" s="1"/>
  <c r="S30" i="27"/>
  <c r="T30" i="27"/>
  <c r="U30" i="27" s="1"/>
  <c r="S43" i="27"/>
  <c r="T43" i="27"/>
  <c r="U43" i="27" s="1"/>
  <c r="T40" i="27"/>
  <c r="U40" i="27" s="1"/>
  <c r="S40" i="27"/>
  <c r="T35" i="27"/>
  <c r="U35" i="27" s="1"/>
  <c r="S35" i="27"/>
  <c r="T20" i="27"/>
  <c r="U20" i="27" s="1"/>
  <c r="S20" i="27"/>
  <c r="T42" i="27"/>
  <c r="U42" i="27" s="1"/>
  <c r="S42" i="27"/>
  <c r="S37" i="27"/>
  <c r="T37" i="27"/>
  <c r="U37" i="27" s="1"/>
  <c r="S21" i="27"/>
  <c r="T21" i="27"/>
  <c r="U21" i="27" s="1"/>
  <c r="R26" i="28"/>
  <c r="T32" i="27"/>
  <c r="U32" i="27" s="1"/>
  <c r="S32" i="27"/>
  <c r="S29" i="27"/>
  <c r="T29" i="27"/>
  <c r="U29" i="27" s="1"/>
  <c r="T23" i="27"/>
  <c r="U23" i="27" s="1"/>
  <c r="S23" i="27"/>
  <c r="T45" i="27"/>
  <c r="U45" i="27" s="1"/>
  <c r="S45" i="27"/>
  <c r="T34" i="27"/>
  <c r="U34" i="27" s="1"/>
  <c r="S34" i="27"/>
  <c r="S22" i="27"/>
  <c r="T22" i="27"/>
  <c r="U22" i="27" s="1"/>
  <c r="K17" i="23"/>
  <c r="I17" i="23"/>
  <c r="E18" i="23"/>
  <c r="C19" i="23"/>
  <c r="H18" i="23"/>
  <c r="L18" i="23" s="1"/>
  <c r="M18" i="23" s="1"/>
  <c r="S49" i="27" l="1"/>
  <c r="U19" i="27"/>
  <c r="U49" i="27" s="1"/>
  <c r="U53" i="27" s="1"/>
  <c r="T49" i="27"/>
  <c r="H19" i="23"/>
  <c r="L19" i="23" s="1"/>
  <c r="M19" i="23" s="1"/>
  <c r="E19" i="23"/>
  <c r="C20" i="23"/>
  <c r="K18" i="23"/>
  <c r="I18" i="23"/>
  <c r="H20" i="23" l="1"/>
  <c r="L20" i="23" s="1"/>
  <c r="M20" i="23" s="1"/>
  <c r="E20" i="23"/>
  <c r="C21" i="23"/>
  <c r="I19" i="23"/>
  <c r="K19" i="23"/>
  <c r="E21" i="23" l="1"/>
  <c r="C22" i="23"/>
  <c r="H21" i="23"/>
  <c r="L21" i="23" s="1"/>
  <c r="M21" i="23" s="1"/>
  <c r="I20" i="23"/>
  <c r="K20" i="23"/>
  <c r="E22" i="23" l="1"/>
  <c r="C23" i="23"/>
  <c r="H22" i="23"/>
  <c r="L22" i="23" s="1"/>
  <c r="M22" i="23" s="1"/>
  <c r="K21" i="23"/>
  <c r="I21" i="23"/>
  <c r="H18" i="22"/>
  <c r="I18" i="22" s="1"/>
  <c r="S18" i="22" s="1"/>
  <c r="G18" i="22"/>
  <c r="L17" i="22"/>
  <c r="K17" i="22"/>
  <c r="I17" i="22"/>
  <c r="H17" i="22"/>
  <c r="G17" i="22"/>
  <c r="H16" i="22"/>
  <c r="I16" i="22" s="1"/>
  <c r="S16" i="22" s="1"/>
  <c r="G16" i="22"/>
  <c r="H15" i="22"/>
  <c r="F15" i="22"/>
  <c r="F14" i="22"/>
  <c r="I13" i="22"/>
  <c r="S13" i="22" s="1"/>
  <c r="G13" i="22"/>
  <c r="K13" i="22" s="1"/>
  <c r="F13" i="22"/>
  <c r="I12" i="22"/>
  <c r="S12" i="22" s="1"/>
  <c r="G12" i="22"/>
  <c r="K12" i="22" s="1"/>
  <c r="F12" i="22"/>
  <c r="I11" i="22"/>
  <c r="G11" i="22"/>
  <c r="K11" i="22" s="1"/>
  <c r="F11" i="22"/>
  <c r="L11" i="22" s="1"/>
  <c r="I10" i="22"/>
  <c r="G10" i="22"/>
  <c r="K10" i="22" s="1"/>
  <c r="F10" i="22"/>
  <c r="L10" i="22" s="1"/>
  <c r="M9" i="22"/>
  <c r="I9" i="22"/>
  <c r="G9" i="22"/>
  <c r="F9" i="22"/>
  <c r="L9" i="22" s="1"/>
  <c r="E23" i="23" l="1"/>
  <c r="C24" i="23"/>
  <c r="H23" i="23"/>
  <c r="L23" i="23" s="1"/>
  <c r="M23" i="23" s="1"/>
  <c r="K22" i="23"/>
  <c r="I22" i="23"/>
  <c r="M13" i="22"/>
  <c r="J11" i="22"/>
  <c r="J17" i="22"/>
  <c r="K16" i="22"/>
  <c r="M16" i="22" s="1"/>
  <c r="H21" i="22"/>
  <c r="L12" i="22"/>
  <c r="J13" i="22"/>
  <c r="M12" i="22"/>
  <c r="J10" i="22"/>
  <c r="L13" i="22"/>
  <c r="J12" i="22"/>
  <c r="K18" i="22"/>
  <c r="L18" i="22" s="1"/>
  <c r="M10" i="22"/>
  <c r="M11" i="22"/>
  <c r="J16" i="22"/>
  <c r="J18" i="22"/>
  <c r="J9" i="22"/>
  <c r="F13" i="21"/>
  <c r="N10" i="22" l="1"/>
  <c r="Q10" i="22"/>
  <c r="N13" i="22"/>
  <c r="Q13" i="22"/>
  <c r="N16" i="22"/>
  <c r="Q16" i="22"/>
  <c r="N12" i="22"/>
  <c r="Q12" i="22"/>
  <c r="N11" i="22"/>
  <c r="Q11" i="22"/>
  <c r="E24" i="23"/>
  <c r="H24" i="23"/>
  <c r="L24" i="23" s="1"/>
  <c r="M24" i="23" s="1"/>
  <c r="C25" i="23"/>
  <c r="I23" i="23"/>
  <c r="K23" i="23"/>
  <c r="M18" i="22"/>
  <c r="L16" i="22"/>
  <c r="G22" i="2"/>
  <c r="L22" i="2"/>
  <c r="L21" i="2"/>
  <c r="G21" i="2"/>
  <c r="J16" i="4"/>
  <c r="J15" i="4"/>
  <c r="N15" i="4" s="1"/>
  <c r="O15" i="4" s="1"/>
  <c r="J14" i="4"/>
  <c r="J13" i="4"/>
  <c r="N13" i="4" s="1"/>
  <c r="O13" i="4" s="1"/>
  <c r="M13" i="4"/>
  <c r="J12" i="4"/>
  <c r="M12" i="4"/>
  <c r="E11" i="4"/>
  <c r="E10" i="4"/>
  <c r="G20" i="2"/>
  <c r="L20" i="2"/>
  <c r="L19" i="2"/>
  <c r="G19" i="2"/>
  <c r="M19" i="2" s="1"/>
  <c r="G18" i="2"/>
  <c r="L17" i="2"/>
  <c r="G17" i="2"/>
  <c r="G15" i="2"/>
  <c r="M15" i="2" s="1"/>
  <c r="L15" i="2"/>
  <c r="G16" i="2"/>
  <c r="M16" i="2" s="1"/>
  <c r="O16" i="2"/>
  <c r="P16" i="2" s="1"/>
  <c r="L16" i="2"/>
  <c r="F14" i="2"/>
  <c r="L14" i="2" s="1"/>
  <c r="G14" i="2"/>
  <c r="F13" i="2"/>
  <c r="L13" i="2" s="1"/>
  <c r="G13" i="2"/>
  <c r="M13" i="2" s="1"/>
  <c r="O13" i="2" s="1"/>
  <c r="P13" i="2" s="1"/>
  <c r="K12" i="2"/>
  <c r="L12" i="2" s="1"/>
  <c r="M12" i="2"/>
  <c r="N12" i="2" s="1"/>
  <c r="L20" i="11"/>
  <c r="M20" i="11" s="1"/>
  <c r="J20" i="11"/>
  <c r="K20" i="11" s="1"/>
  <c r="M11" i="2"/>
  <c r="K11" i="2"/>
  <c r="L11" i="2" s="1"/>
  <c r="K10" i="2"/>
  <c r="L10" i="2" s="1"/>
  <c r="M10" i="2"/>
  <c r="K9" i="2"/>
  <c r="M9" i="2"/>
  <c r="J19" i="11"/>
  <c r="L19" i="11"/>
  <c r="L18" i="11"/>
  <c r="J18" i="11"/>
  <c r="L16" i="11"/>
  <c r="J16" i="11"/>
  <c r="L15" i="11"/>
  <c r="J15" i="11"/>
  <c r="J13" i="11"/>
  <c r="L13" i="11"/>
  <c r="J14" i="11"/>
  <c r="L14" i="11"/>
  <c r="L12" i="11"/>
  <c r="J12" i="11"/>
  <c r="L11" i="11"/>
  <c r="J11" i="11"/>
  <c r="S24" i="7"/>
  <c r="S33" i="5"/>
  <c r="L23" i="5"/>
  <c r="L27" i="5" s="1"/>
  <c r="S33" i="9"/>
  <c r="S34" i="9"/>
  <c r="S37" i="9"/>
  <c r="I9" i="8"/>
  <c r="I10" i="8"/>
  <c r="I11" i="8"/>
  <c r="I12" i="8"/>
  <c r="I13" i="8"/>
  <c r="I14" i="8"/>
  <c r="J10" i="11"/>
  <c r="S25" i="5"/>
  <c r="M17" i="5"/>
  <c r="M7" i="5"/>
  <c r="M8" i="5"/>
  <c r="M9" i="5"/>
  <c r="M10" i="5"/>
  <c r="M11" i="5"/>
  <c r="M12" i="5"/>
  <c r="M13" i="5"/>
  <c r="M14" i="5"/>
  <c r="M15" i="5"/>
  <c r="M16" i="5"/>
  <c r="T25" i="5"/>
  <c r="M7" i="9"/>
  <c r="M8" i="9"/>
  <c r="S8" i="9" s="1"/>
  <c r="M9" i="9"/>
  <c r="M10" i="9"/>
  <c r="M11" i="9"/>
  <c r="M12" i="9"/>
  <c r="M14" i="9"/>
  <c r="M15" i="9"/>
  <c r="M17" i="9"/>
  <c r="M19" i="9"/>
  <c r="S19" i="9" s="1"/>
  <c r="T19" i="9" s="1"/>
  <c r="M20" i="9"/>
  <c r="S20" i="9" s="1"/>
  <c r="L22" i="9"/>
  <c r="Q20" i="9"/>
  <c r="Q35" i="9"/>
  <c r="Q37" i="9" s="1"/>
  <c r="J7" i="9"/>
  <c r="O7" i="9"/>
  <c r="S7" i="9"/>
  <c r="T7" i="9" s="1"/>
  <c r="J8" i="9"/>
  <c r="O8" i="9"/>
  <c r="J9" i="9"/>
  <c r="O9" i="9"/>
  <c r="S9" i="9" s="1"/>
  <c r="T9" i="9" s="1"/>
  <c r="O10" i="9"/>
  <c r="S10" i="9"/>
  <c r="T10" i="9"/>
  <c r="O11" i="9"/>
  <c r="S11" i="9"/>
  <c r="T11" i="9"/>
  <c r="O12" i="9"/>
  <c r="O14" i="9"/>
  <c r="S14" i="9"/>
  <c r="T14" i="9" s="1"/>
  <c r="O15" i="9"/>
  <c r="O17" i="9"/>
  <c r="S17" i="9" s="1"/>
  <c r="T17" i="9" s="1"/>
  <c r="O19" i="9"/>
  <c r="O20" i="9"/>
  <c r="T20" i="9"/>
  <c r="I7" i="9"/>
  <c r="Q7" i="9" s="1"/>
  <c r="I8" i="9"/>
  <c r="I9" i="9"/>
  <c r="Q9" i="9"/>
  <c r="I19" i="9"/>
  <c r="N19" i="9"/>
  <c r="Q19" i="9"/>
  <c r="N20" i="9"/>
  <c r="N17" i="9"/>
  <c r="N15" i="9"/>
  <c r="N14" i="9"/>
  <c r="N12" i="9"/>
  <c r="N11" i="9"/>
  <c r="N10" i="9"/>
  <c r="N9" i="9"/>
  <c r="K10" i="11"/>
  <c r="L10" i="11"/>
  <c r="F9" i="11"/>
  <c r="L9" i="11" s="1"/>
  <c r="E9" i="11"/>
  <c r="J17" i="5"/>
  <c r="O17" i="5"/>
  <c r="S17" i="5" s="1"/>
  <c r="T17" i="5"/>
  <c r="I17" i="5"/>
  <c r="N17" i="5" s="1"/>
  <c r="Q17" i="5"/>
  <c r="I16" i="5"/>
  <c r="Q16" i="5"/>
  <c r="I15" i="5"/>
  <c r="Q15" i="5" s="1"/>
  <c r="I14" i="5"/>
  <c r="Q14" i="5"/>
  <c r="I13" i="5"/>
  <c r="Q13" i="5" s="1"/>
  <c r="I12" i="5"/>
  <c r="I11" i="5"/>
  <c r="Q11" i="5"/>
  <c r="I10" i="5"/>
  <c r="Q10" i="5" s="1"/>
  <c r="I9" i="5"/>
  <c r="N9" i="5"/>
  <c r="I8" i="5"/>
  <c r="I7" i="5"/>
  <c r="Q7" i="5"/>
  <c r="J16" i="5"/>
  <c r="O16" i="5"/>
  <c r="S16" i="5" s="1"/>
  <c r="T16" i="5"/>
  <c r="J15" i="5"/>
  <c r="O15" i="5"/>
  <c r="S15" i="5" s="1"/>
  <c r="T15" i="5"/>
  <c r="N15" i="5"/>
  <c r="J14" i="5"/>
  <c r="O14" i="5" s="1"/>
  <c r="S14" i="5"/>
  <c r="T14" i="5"/>
  <c r="J13" i="5"/>
  <c r="O13" i="5" s="1"/>
  <c r="S13" i="5" s="1"/>
  <c r="T13" i="5" s="1"/>
  <c r="J12" i="5"/>
  <c r="O12" i="5" s="1"/>
  <c r="S12" i="5"/>
  <c r="T12" i="5" s="1"/>
  <c r="J11" i="5"/>
  <c r="O11" i="5"/>
  <c r="S11" i="5"/>
  <c r="T11" i="5" s="1"/>
  <c r="N11" i="5"/>
  <c r="J10" i="5"/>
  <c r="O10" i="5"/>
  <c r="S10" i="5" s="1"/>
  <c r="T10" i="5" s="1"/>
  <c r="J9" i="5"/>
  <c r="O9" i="5"/>
  <c r="J8" i="5"/>
  <c r="O8" i="5"/>
  <c r="S8" i="5" s="1"/>
  <c r="J7" i="5"/>
  <c r="O7" i="5"/>
  <c r="S7" i="5" s="1"/>
  <c r="S25" i="7"/>
  <c r="I11" i="7"/>
  <c r="J11" i="7"/>
  <c r="O11" i="7"/>
  <c r="I13" i="7"/>
  <c r="Q13" i="7"/>
  <c r="I12" i="7"/>
  <c r="Q12" i="7"/>
  <c r="I10" i="7"/>
  <c r="N10" i="7"/>
  <c r="I9" i="7"/>
  <c r="N9" i="7"/>
  <c r="I8" i="7"/>
  <c r="N8" i="7"/>
  <c r="I7" i="7"/>
  <c r="Q7" i="7"/>
  <c r="M13" i="7"/>
  <c r="M12" i="7"/>
  <c r="M11" i="7"/>
  <c r="S11" i="7"/>
  <c r="M10" i="7"/>
  <c r="M9" i="7"/>
  <c r="M8" i="7"/>
  <c r="M7" i="7"/>
  <c r="J12" i="7"/>
  <c r="O12" i="7"/>
  <c r="S12" i="7"/>
  <c r="T12" i="7"/>
  <c r="J10" i="7"/>
  <c r="O10" i="7"/>
  <c r="S10" i="7" s="1"/>
  <c r="T10" i="7"/>
  <c r="J9" i="7"/>
  <c r="O9" i="7"/>
  <c r="S9" i="7"/>
  <c r="T9" i="7"/>
  <c r="J13" i="7"/>
  <c r="O13" i="7"/>
  <c r="S13" i="7" s="1"/>
  <c r="T13" i="7"/>
  <c r="J8" i="7"/>
  <c r="O8" i="7"/>
  <c r="S8" i="7" s="1"/>
  <c r="T8" i="7"/>
  <c r="J7" i="7"/>
  <c r="O7" i="7"/>
  <c r="S7" i="7" s="1"/>
  <c r="T17" i="7"/>
  <c r="L15" i="7"/>
  <c r="N13" i="7"/>
  <c r="F14" i="8"/>
  <c r="K14" i="8" s="1"/>
  <c r="E14" i="8"/>
  <c r="E13" i="8"/>
  <c r="E12" i="8"/>
  <c r="E11" i="8"/>
  <c r="E10" i="8"/>
  <c r="E9" i="8"/>
  <c r="F12" i="8"/>
  <c r="K12" i="8" s="1"/>
  <c r="F11" i="8"/>
  <c r="K11" i="8" s="1"/>
  <c r="F13" i="8"/>
  <c r="K13" i="8" s="1"/>
  <c r="F10" i="8"/>
  <c r="K10" i="8" s="1"/>
  <c r="L10" i="8" s="1"/>
  <c r="F9" i="8"/>
  <c r="K9" i="8" s="1"/>
  <c r="G17" i="8"/>
  <c r="L26" i="9"/>
  <c r="L19" i="7"/>
  <c r="Q24" i="7"/>
  <c r="S26" i="7"/>
  <c r="Q26" i="7" s="1"/>
  <c r="Q28" i="7" s="1"/>
  <c r="S28" i="7"/>
  <c r="S35" i="5"/>
  <c r="Q35" i="5"/>
  <c r="Q37" i="5" s="1"/>
  <c r="Q33" i="5"/>
  <c r="S34" i="5"/>
  <c r="S37" i="5"/>
  <c r="N10" i="5"/>
  <c r="Q8" i="7"/>
  <c r="Q10" i="7"/>
  <c r="N7" i="5"/>
  <c r="Q9" i="5"/>
  <c r="N16" i="5"/>
  <c r="N12" i="7"/>
  <c r="N14" i="5"/>
  <c r="M15" i="4"/>
  <c r="T11" i="7"/>
  <c r="T7" i="5"/>
  <c r="L13" i="8"/>
  <c r="N7" i="7"/>
  <c r="Q9" i="7"/>
  <c r="N13" i="5"/>
  <c r="Q12" i="5"/>
  <c r="N12" i="5"/>
  <c r="Q8" i="5"/>
  <c r="Q23" i="5" s="1"/>
  <c r="Q27" i="5"/>
  <c r="N8" i="5"/>
  <c r="N8" i="9"/>
  <c r="Q8" i="9"/>
  <c r="Q22" i="9"/>
  <c r="Q26" i="9" s="1"/>
  <c r="S15" i="9"/>
  <c r="T15" i="9"/>
  <c r="J9" i="8" l="1"/>
  <c r="K18" i="11"/>
  <c r="R16" i="22"/>
  <c r="T16" i="22" s="1"/>
  <c r="Q22" i="22"/>
  <c r="R13" i="22"/>
  <c r="T13" i="22" s="1"/>
  <c r="N18" i="22"/>
  <c r="Q18" i="22"/>
  <c r="R12" i="22"/>
  <c r="T12" i="22" s="1"/>
  <c r="C9" i="18"/>
  <c r="K14" i="4"/>
  <c r="M21" i="22"/>
  <c r="N21" i="22" s="1"/>
  <c r="O9" i="2"/>
  <c r="P9" i="2" s="1"/>
  <c r="O10" i="2"/>
  <c r="P10" i="2" s="1"/>
  <c r="J13" i="8"/>
  <c r="M13" i="8"/>
  <c r="N13" i="8" s="1"/>
  <c r="M9" i="8"/>
  <c r="N9" i="8" s="1"/>
  <c r="M12" i="11"/>
  <c r="K9" i="11"/>
  <c r="M9" i="11"/>
  <c r="N19" i="11"/>
  <c r="O19" i="11" s="1"/>
  <c r="K16" i="11"/>
  <c r="J10" i="8"/>
  <c r="J14" i="8"/>
  <c r="L11" i="8"/>
  <c r="M12" i="8"/>
  <c r="N12" i="8" s="1"/>
  <c r="L9" i="8"/>
  <c r="M10" i="8"/>
  <c r="N10" i="8" s="1"/>
  <c r="M11" i="8"/>
  <c r="N11" i="8" s="1"/>
  <c r="J11" i="8"/>
  <c r="N11" i="11"/>
  <c r="O11" i="11" s="1"/>
  <c r="M13" i="11"/>
  <c r="N15" i="11"/>
  <c r="O15" i="11" s="1"/>
  <c r="M16" i="11"/>
  <c r="L17" i="11"/>
  <c r="M17" i="11" s="1"/>
  <c r="N12" i="11"/>
  <c r="O12" i="11" s="1"/>
  <c r="J17" i="11"/>
  <c r="K17" i="11" s="1"/>
  <c r="M19" i="11"/>
  <c r="M10" i="11"/>
  <c r="M15" i="11"/>
  <c r="N13" i="11"/>
  <c r="O13" i="11" s="1"/>
  <c r="N18" i="11"/>
  <c r="O18" i="11" s="1"/>
  <c r="N20" i="11"/>
  <c r="O20" i="11" s="1"/>
  <c r="K19" i="11"/>
  <c r="M14" i="11"/>
  <c r="M11" i="11"/>
  <c r="N14" i="11"/>
  <c r="O14" i="11" s="1"/>
  <c r="M18" i="11"/>
  <c r="K11" i="11"/>
  <c r="K12" i="11"/>
  <c r="N10" i="11"/>
  <c r="O10" i="11" s="1"/>
  <c r="K14" i="11"/>
  <c r="N16" i="11"/>
  <c r="O16" i="11" s="1"/>
  <c r="K15" i="11"/>
  <c r="K13" i="11"/>
  <c r="N9" i="11"/>
  <c r="K11" i="4"/>
  <c r="H19" i="4"/>
  <c r="N11" i="4"/>
  <c r="O11" i="4" s="1"/>
  <c r="M10" i="4"/>
  <c r="K12" i="4"/>
  <c r="N16" i="4"/>
  <c r="O16" i="4" s="1"/>
  <c r="N14" i="4"/>
  <c r="O14" i="4" s="1"/>
  <c r="M11" i="4"/>
  <c r="N10" i="4"/>
  <c r="M14" i="4"/>
  <c r="K15" i="4"/>
  <c r="K10" i="4"/>
  <c r="N12" i="4"/>
  <c r="O12" i="4" s="1"/>
  <c r="K13" i="4"/>
  <c r="M20" i="2"/>
  <c r="O20" i="2" s="1"/>
  <c r="P20" i="2" s="1"/>
  <c r="N9" i="2"/>
  <c r="M21" i="2"/>
  <c r="O21" i="2" s="1"/>
  <c r="P21" i="2" s="1"/>
  <c r="M22" i="2"/>
  <c r="N22" i="2" s="1"/>
  <c r="M17" i="2"/>
  <c r="O17" i="2" s="1"/>
  <c r="P17" i="2" s="1"/>
  <c r="M14" i="2"/>
  <c r="O14" i="2" s="1"/>
  <c r="P14" i="2" s="1"/>
  <c r="M18" i="2"/>
  <c r="O18" i="2" s="1"/>
  <c r="P18" i="2" s="1"/>
  <c r="N21" i="2"/>
  <c r="O15" i="2"/>
  <c r="P15" i="2" s="1"/>
  <c r="N15" i="2"/>
  <c r="O11" i="2"/>
  <c r="P11" i="2" s="1"/>
  <c r="I25" i="2"/>
  <c r="N16" i="2"/>
  <c r="N10" i="2"/>
  <c r="N11" i="2"/>
  <c r="L9" i="2"/>
  <c r="N19" i="2"/>
  <c r="O19" i="2"/>
  <c r="P19" i="2" s="1"/>
  <c r="N17" i="2"/>
  <c r="N13" i="2"/>
  <c r="L18" i="2"/>
  <c r="I11" i="1"/>
  <c r="C26" i="23"/>
  <c r="E25" i="23"/>
  <c r="H25" i="23"/>
  <c r="L25" i="23" s="1"/>
  <c r="M25" i="23" s="1"/>
  <c r="K24" i="23"/>
  <c r="I24" i="23"/>
  <c r="S15" i="7"/>
  <c r="T7" i="7"/>
  <c r="T8" i="5"/>
  <c r="T8" i="9"/>
  <c r="S22" i="9"/>
  <c r="N11" i="7"/>
  <c r="Q11" i="7"/>
  <c r="Q15" i="7" s="1"/>
  <c r="Q19" i="7" s="1"/>
  <c r="S12" i="9"/>
  <c r="T12" i="9" s="1"/>
  <c r="S9" i="5"/>
  <c r="T9" i="5" s="1"/>
  <c r="J12" i="8"/>
  <c r="L14" i="8"/>
  <c r="M14" i="8"/>
  <c r="L12" i="8"/>
  <c r="N7" i="9"/>
  <c r="O12" i="2"/>
  <c r="P12" i="2" s="1"/>
  <c r="N20" i="2"/>
  <c r="M16" i="4"/>
  <c r="K16" i="4"/>
  <c r="N14" i="2" l="1"/>
  <c r="R18" i="22"/>
  <c r="T18" i="22" s="1"/>
  <c r="R17" i="22"/>
  <c r="T17" i="22" s="1"/>
  <c r="R19" i="22"/>
  <c r="T19" i="22" s="1"/>
  <c r="R14" i="22"/>
  <c r="T14" i="22" s="1"/>
  <c r="T22" i="22" s="1"/>
  <c r="R15" i="22"/>
  <c r="T15" i="22" s="1"/>
  <c r="M25" i="22"/>
  <c r="O9" i="11"/>
  <c r="M23" i="11"/>
  <c r="C30" i="18" s="1"/>
  <c r="L17" i="8"/>
  <c r="C32" i="18" s="1"/>
  <c r="N17" i="11"/>
  <c r="O17" i="11" s="1"/>
  <c r="O10" i="4"/>
  <c r="O22" i="2"/>
  <c r="P22" i="2" s="1"/>
  <c r="N18" i="2"/>
  <c r="K25" i="23"/>
  <c r="I25" i="23"/>
  <c r="C27" i="23"/>
  <c r="H26" i="23"/>
  <c r="L26" i="23" s="1"/>
  <c r="M26" i="23" s="1"/>
  <c r="E26" i="23"/>
  <c r="N11" i="1"/>
  <c r="S26" i="9"/>
  <c r="T22" i="9"/>
  <c r="T26" i="9" s="1"/>
  <c r="S19" i="7"/>
  <c r="T15" i="7"/>
  <c r="T19" i="7" s="1"/>
  <c r="N14" i="8"/>
  <c r="M17" i="8"/>
  <c r="S23" i="5"/>
  <c r="M19" i="4"/>
  <c r="O11" i="1" l="1"/>
  <c r="P11" i="1" s="1"/>
  <c r="C25" i="18"/>
  <c r="N23" i="11"/>
  <c r="O23" i="11" s="1"/>
  <c r="N19" i="4"/>
  <c r="N25" i="2"/>
  <c r="P25" i="2"/>
  <c r="O25" i="2"/>
  <c r="C28" i="23"/>
  <c r="E27" i="23"/>
  <c r="H27" i="23"/>
  <c r="L27" i="23" s="1"/>
  <c r="K26" i="23"/>
  <c r="I26" i="23"/>
  <c r="S27" i="5"/>
  <c r="T23" i="5"/>
  <c r="T27" i="5" s="1"/>
  <c r="M21" i="8"/>
  <c r="N17" i="8"/>
  <c r="N27" i="11" l="1"/>
  <c r="O15" i="1"/>
  <c r="O29" i="2"/>
  <c r="M27" i="23"/>
  <c r="K27" i="23"/>
  <c r="I27" i="23"/>
  <c r="H28" i="23"/>
  <c r="L28" i="23" s="1"/>
  <c r="M28" i="23" s="1"/>
  <c r="E28" i="23"/>
  <c r="N23" i="4"/>
  <c r="O19" i="4"/>
  <c r="M30" i="23" l="1"/>
  <c r="I28" i="23"/>
  <c r="K28" i="23"/>
  <c r="K30" i="23" s="1"/>
  <c r="J16" i="25" s="1"/>
  <c r="K16" i="25" s="1"/>
  <c r="L30" i="23"/>
  <c r="L16" i="25" l="1"/>
  <c r="K24" i="25"/>
  <c r="C16" i="18" s="1"/>
  <c r="J16" i="24"/>
  <c r="K16" i="24" s="1"/>
  <c r="J39" i="23"/>
  <c r="K39" i="23" s="1"/>
  <c r="M16" i="25" l="1"/>
  <c r="L24" i="25"/>
  <c r="L16" i="24"/>
  <c r="P16" i="24" s="1"/>
  <c r="C11" i="18"/>
  <c r="K48" i="23"/>
  <c r="C10" i="18" s="1"/>
  <c r="L39" i="23"/>
  <c r="P39" i="23" s="1"/>
  <c r="P48" i="23" l="1"/>
  <c r="P24" i="24"/>
  <c r="M24" i="25"/>
  <c r="O16" i="25"/>
  <c r="Q16" i="25" s="1"/>
  <c r="C39" i="18"/>
  <c r="L28" i="25"/>
  <c r="M16" i="24"/>
  <c r="M24" i="24" s="1"/>
  <c r="L24" i="24"/>
  <c r="L48" i="23"/>
  <c r="M39" i="23"/>
  <c r="M48" i="23" s="1"/>
  <c r="U31" i="23" s="1"/>
  <c r="S7" i="25" l="1"/>
  <c r="O14" i="25"/>
  <c r="Q14" i="25" s="1"/>
  <c r="O22" i="25"/>
  <c r="Q22" i="25" s="1"/>
  <c r="O10" i="25"/>
  <c r="Q10" i="25" s="1"/>
  <c r="O11" i="25"/>
  <c r="Q11" i="25" s="1"/>
  <c r="O20" i="25"/>
  <c r="Q20" i="25" s="1"/>
  <c r="O15" i="25"/>
  <c r="Q15" i="25" s="1"/>
  <c r="O9" i="25"/>
  <c r="Q9" i="25" s="1"/>
  <c r="O12" i="25"/>
  <c r="Q12" i="25" s="1"/>
  <c r="O13" i="25"/>
  <c r="Q13" i="25" s="1"/>
  <c r="O17" i="25"/>
  <c r="Q17" i="25" s="1"/>
  <c r="O18" i="25"/>
  <c r="Q18" i="25" s="1"/>
  <c r="O19" i="25"/>
  <c r="Q19" i="25" s="1"/>
  <c r="O21" i="25"/>
  <c r="Q21" i="25" s="1"/>
  <c r="Q37" i="23"/>
  <c r="Q46" i="23"/>
  <c r="Q41" i="23"/>
  <c r="Q34" i="23"/>
  <c r="Q35" i="23"/>
  <c r="Q45" i="23"/>
  <c r="Q43" i="23"/>
  <c r="Q38" i="23"/>
  <c r="Q32" i="23"/>
  <c r="Q42" i="23"/>
  <c r="Q44" i="23"/>
  <c r="Q36" i="23"/>
  <c r="Q33" i="23"/>
  <c r="Q40" i="23"/>
  <c r="Q13" i="24"/>
  <c r="S13" i="24" s="1"/>
  <c r="Q21" i="24"/>
  <c r="S21" i="24" s="1"/>
  <c r="Q10" i="24"/>
  <c r="S10" i="24" s="1"/>
  <c r="Q14" i="24"/>
  <c r="S14" i="24" s="1"/>
  <c r="Q22" i="24"/>
  <c r="S22" i="24" s="1"/>
  <c r="Q18" i="24"/>
  <c r="S18" i="24" s="1"/>
  <c r="Q11" i="24"/>
  <c r="S11" i="24" s="1"/>
  <c r="Q20" i="24"/>
  <c r="S20" i="24" s="1"/>
  <c r="Q15" i="24"/>
  <c r="S15" i="24" s="1"/>
  <c r="Q9" i="24"/>
  <c r="Q17" i="24"/>
  <c r="S17" i="24" s="1"/>
  <c r="Q19" i="24"/>
  <c r="S19" i="24" s="1"/>
  <c r="Q12" i="24"/>
  <c r="S12" i="24" s="1"/>
  <c r="Q16" i="24"/>
  <c r="S16" i="24" s="1"/>
  <c r="Q39" i="23"/>
  <c r="L28" i="24"/>
  <c r="L52" i="23"/>
  <c r="Q24" i="25" l="1"/>
  <c r="S43" i="23"/>
  <c r="U43" i="23"/>
  <c r="U37" i="23"/>
  <c r="S37" i="23"/>
  <c r="S35" i="23"/>
  <c r="U35" i="23"/>
  <c r="Q24" i="24"/>
  <c r="S9" i="24"/>
  <c r="S24" i="24" s="1"/>
  <c r="T26" i="24" s="1"/>
  <c r="S39" i="23"/>
  <c r="U39" i="23"/>
  <c r="U33" i="23"/>
  <c r="S33" i="23"/>
  <c r="S36" i="23"/>
  <c r="U36" i="23"/>
  <c r="S44" i="23"/>
  <c r="U44" i="23"/>
  <c r="U41" i="23"/>
  <c r="S41" i="23"/>
  <c r="S14" i="25"/>
  <c r="S22" i="25"/>
  <c r="S15" i="25"/>
  <c r="S9" i="25"/>
  <c r="S16" i="25"/>
  <c r="S10" i="25"/>
  <c r="S18" i="25"/>
  <c r="S11" i="25"/>
  <c r="S12" i="25"/>
  <c r="S13" i="25"/>
  <c r="S17" i="25"/>
  <c r="S19" i="25"/>
  <c r="S20" i="25"/>
  <c r="S21" i="25"/>
  <c r="S32" i="23"/>
  <c r="U32" i="23"/>
  <c r="U38" i="23"/>
  <c r="S38" i="23"/>
  <c r="S40" i="23"/>
  <c r="U40" i="23"/>
  <c r="S45" i="23"/>
  <c r="U45" i="23"/>
  <c r="U34" i="23"/>
  <c r="S34" i="23"/>
  <c r="U42" i="23"/>
  <c r="S42" i="23"/>
  <c r="S46" i="23"/>
  <c r="U46" i="23"/>
  <c r="T15" i="24"/>
  <c r="U15" i="24" s="1"/>
  <c r="T12" i="24"/>
  <c r="U12" i="24"/>
  <c r="T20" i="24"/>
  <c r="U20" i="24" s="1"/>
  <c r="T13" i="24"/>
  <c r="U13" i="24" s="1"/>
  <c r="T21" i="24"/>
  <c r="U21" i="24" s="1"/>
  <c r="T14" i="24"/>
  <c r="U14" i="24"/>
  <c r="T17" i="24"/>
  <c r="U17" i="24" s="1"/>
  <c r="T10" i="24"/>
  <c r="U10" i="24"/>
  <c r="T18" i="24"/>
  <c r="U18" i="24" s="1"/>
  <c r="T22" i="24"/>
  <c r="U22" i="24"/>
  <c r="T11" i="24"/>
  <c r="U11" i="24" s="1"/>
  <c r="T19" i="24"/>
  <c r="U19" i="24" s="1"/>
  <c r="T16" i="24"/>
  <c r="U16" i="24" s="1"/>
  <c r="T9" i="24"/>
  <c r="U9" i="24"/>
  <c r="S24" i="25" l="1"/>
  <c r="U48" i="23"/>
  <c r="S48" i="23"/>
  <c r="S49" i="23" s="1"/>
  <c r="U24" i="24"/>
</calcChain>
</file>

<file path=xl/comments1.xml><?xml version="1.0" encoding="utf-8"?>
<comments xmlns="http://schemas.openxmlformats.org/spreadsheetml/2006/main">
  <authors>
    <author>Teena Mendonca</author>
  </authors>
  <commentList>
    <comment ref="M23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10.xml><?xml version="1.0" encoding="utf-8"?>
<comments xmlns="http://schemas.openxmlformats.org/spreadsheetml/2006/main">
  <authors>
    <author>Teena Mendonca</author>
  </authors>
  <commentList>
    <comment ref="L46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11.xml><?xml version="1.0" encoding="utf-8"?>
<comments xmlns="http://schemas.openxmlformats.org/spreadsheetml/2006/main">
  <authors>
    <author>Teena Mendonca</author>
  </authors>
  <commentList>
    <comment ref="L14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12.xml><?xml version="1.0" encoding="utf-8"?>
<comments xmlns="http://schemas.openxmlformats.org/spreadsheetml/2006/main">
  <authors>
    <author>Teena Mendonca</author>
  </authors>
  <commentList>
    <comment ref="L19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13.xml><?xml version="1.0" encoding="utf-8"?>
<comments xmlns="http://schemas.openxmlformats.org/spreadsheetml/2006/main">
  <authors>
    <author>Teena Mendonca</author>
  </authors>
  <commentList>
    <comment ref="L16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2.xml><?xml version="1.0" encoding="utf-8"?>
<comments xmlns="http://schemas.openxmlformats.org/spreadsheetml/2006/main">
  <authors>
    <author>Teena Mendonca</author>
    <author>Stacy Simpson</author>
  </authors>
  <commentList>
    <comment ref="G29" authorId="0">
      <text>
        <r>
          <rPr>
            <b/>
            <sz val="9"/>
            <color indexed="81"/>
            <rFont val="Tahoma"/>
            <family val="2"/>
          </rPr>
          <t>Reclassified to 1830 (below); 1835 and 1855.1000</t>
        </r>
      </text>
    </comment>
    <comment ref="L29" authorId="0">
      <text>
        <r>
          <rPr>
            <b/>
            <sz val="9"/>
            <color indexed="81"/>
            <rFont val="Tahoma"/>
            <family val="2"/>
          </rPr>
          <t>Reclassified to 1830 (below); 1835 and 1855.1000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9" authorId="0">
      <text>
        <r>
          <rPr>
            <b/>
            <sz val="9"/>
            <color indexed="81"/>
            <rFont val="Tahoma"/>
            <family val="2"/>
          </rPr>
          <t>Reclassified to 1830 (below); 1835 and 1855.1000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0">
      <text>
        <r>
          <rPr>
            <b/>
            <sz val="9"/>
            <color indexed="81"/>
            <rFont val="Tahoma"/>
            <family val="2"/>
          </rPr>
          <t>Reclassified to 1830 (below); 1835 and 1855.1000</t>
        </r>
      </text>
    </comment>
    <comment ref="L30" authorId="0">
      <text>
        <r>
          <rPr>
            <b/>
            <sz val="9"/>
            <color indexed="81"/>
            <rFont val="Tahoma"/>
            <family val="2"/>
          </rPr>
          <t>Reclassified to 1830 (below); 1835 and 1855.1000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Reclassified to 1830 (below); 1835 and 1855.1000</t>
        </r>
      </text>
    </comment>
    <comment ref="G43" authorId="1">
      <text>
        <r>
          <rPr>
            <b/>
            <sz val="8"/>
            <color indexed="81"/>
            <rFont val="Tahoma"/>
            <family val="2"/>
          </rPr>
          <t>Stacy Simpson:</t>
        </r>
        <r>
          <rPr>
            <sz val="8"/>
            <color indexed="81"/>
            <rFont val="Tahoma"/>
            <family val="2"/>
          </rPr>
          <t xml:space="preserve">
Add monthly additions directly to this cell</t>
        </r>
      </text>
    </comment>
    <comment ref="G44" authorId="1">
      <text>
        <r>
          <rPr>
            <b/>
            <sz val="8"/>
            <color indexed="81"/>
            <rFont val="Tahoma"/>
            <family val="2"/>
          </rPr>
          <t>Stacy Simpson:</t>
        </r>
        <r>
          <rPr>
            <sz val="8"/>
            <color indexed="81"/>
            <rFont val="Tahoma"/>
            <family val="2"/>
          </rPr>
          <t xml:space="preserve">
Add monthly additions directly to this cell</t>
        </r>
      </text>
    </comment>
    <comment ref="L50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3.xml><?xml version="1.0" encoding="utf-8"?>
<comments xmlns="http://schemas.openxmlformats.org/spreadsheetml/2006/main">
  <authors>
    <author>Teena Mendonca</author>
  </authors>
  <commentList>
    <comment ref="G15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L26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4.xml><?xml version="1.0" encoding="utf-8"?>
<comments xmlns="http://schemas.openxmlformats.org/spreadsheetml/2006/main">
  <authors>
    <author>Stacy Simpson</author>
    <author>Teena Mendonca</author>
  </authors>
  <commentList>
    <comment ref="L38" authorId="0">
      <text>
        <r>
          <rPr>
            <sz val="8"/>
            <color indexed="81"/>
            <rFont val="Tahoma"/>
            <family val="2"/>
          </rPr>
          <t>Negative Total should equal sum of below pale green cells (this sheet and 1845)</t>
        </r>
      </text>
    </comment>
    <comment ref="L51" authorId="1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5.xml><?xml version="1.0" encoding="utf-8"?>
<comments xmlns="http://schemas.openxmlformats.org/spreadsheetml/2006/main">
  <authors>
    <author>Teena Mendonca</author>
  </authors>
  <commentList>
    <comment ref="L28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6.xml><?xml version="1.0" encoding="utf-8"?>
<comments xmlns="http://schemas.openxmlformats.org/spreadsheetml/2006/main">
  <authors>
    <author>Teena Mendonca</author>
  </authors>
  <commentList>
    <comment ref="L19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7.xml><?xml version="1.0" encoding="utf-8"?>
<comments xmlns="http://schemas.openxmlformats.org/spreadsheetml/2006/main">
  <authors>
    <author>Teena Mendonca</author>
  </authors>
  <commentList>
    <comment ref="L46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8.xml><?xml version="1.0" encoding="utf-8"?>
<comments xmlns="http://schemas.openxmlformats.org/spreadsheetml/2006/main">
  <authors>
    <author>Teena Mendonca</author>
  </authors>
  <commentList>
    <comment ref="G15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see 1830 for details</t>
        </r>
      </text>
    </comment>
    <comment ref="L26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comments9.xml><?xml version="1.0" encoding="utf-8"?>
<comments xmlns="http://schemas.openxmlformats.org/spreadsheetml/2006/main">
  <authors>
    <author>Teena Mendonca</author>
  </authors>
  <commentList>
    <comment ref="L19" authorId="0">
      <text>
        <r>
          <rPr>
            <sz val="9"/>
            <color indexed="81"/>
            <rFont val="Tahoma"/>
            <family val="2"/>
          </rPr>
          <t>credit balance</t>
        </r>
      </text>
    </comment>
  </commentList>
</comments>
</file>

<file path=xl/sharedStrings.xml><?xml version="1.0" encoding="utf-8"?>
<sst xmlns="http://schemas.openxmlformats.org/spreadsheetml/2006/main" count="1423" uniqueCount="341">
  <si>
    <t>DETAILED FIXED ASSET LISTING</t>
  </si>
  <si>
    <t>YEAR:</t>
  </si>
  <si>
    <t>G/L ACCOUNT</t>
  </si>
  <si>
    <t>CCA CLASS</t>
  </si>
  <si>
    <t>ID #</t>
  </si>
  <si>
    <t>DESCRIPTION</t>
  </si>
  <si>
    <t>SERIAL NUMBER</t>
  </si>
  <si>
    <t>DATE PURCHASED</t>
  </si>
  <si>
    <t>YR ACQUIRED</t>
  </si>
  <si>
    <t>ASSET LIFE</t>
  </si>
  <si>
    <t>YR FULLY AMORTIZED</t>
  </si>
  <si>
    <t>DEPREC. RATE</t>
  </si>
  <si>
    <t>SUPPLIER</t>
  </si>
  <si>
    <t>ORIGINAL COST</t>
  </si>
  <si>
    <t>YR'S DEPREC. TO DATE</t>
  </si>
  <si>
    <t>YEARS REMAINING</t>
  </si>
  <si>
    <t>ANNUAL DEPRECIATION</t>
  </si>
  <si>
    <t>DEP. EXP G/L</t>
  </si>
  <si>
    <t>CURRENT YR'S DEPRECIATION</t>
  </si>
  <si>
    <t>ACC DEP. G/L</t>
  </si>
  <si>
    <t>LIFE TO DATE ACCUM DEPRECIATION</t>
  </si>
  <si>
    <t>UNDEPRECIATED CAPITAL COST - END OF YR</t>
  </si>
  <si>
    <t>DATE DISPOSED</t>
  </si>
  <si>
    <t>N/A</t>
  </si>
  <si>
    <t xml:space="preserve"> </t>
  </si>
  <si>
    <t>00/12/31</t>
  </si>
  <si>
    <t>TOTAL</t>
  </si>
  <si>
    <t>DIFF</t>
  </si>
  <si>
    <t>Dell</t>
  </si>
  <si>
    <t>NEDCO</t>
  </si>
  <si>
    <t>YOUNG UTILITY EQUIP</t>
  </si>
  <si>
    <t>HSE02</t>
  </si>
  <si>
    <t>ELECTRICAL HAZARD HAMLET SIMULATOR</t>
  </si>
  <si>
    <t>MODELTECH</t>
  </si>
  <si>
    <t>HSE03</t>
  </si>
  <si>
    <t>BALACJ JACKET GROUND CABLES</t>
  </si>
  <si>
    <t>HSE04</t>
  </si>
  <si>
    <t>LARGE METAL GIN FOR TRANSFORMER</t>
  </si>
  <si>
    <t>UTEK SERVICE</t>
  </si>
  <si>
    <t>HSE05</t>
  </si>
  <si>
    <t>SWIVAL TOP GIN POLE FOR TRANS</t>
  </si>
  <si>
    <t>HSE06</t>
  </si>
  <si>
    <t>SALISBURY PLASTIC BLANKETS</t>
  </si>
  <si>
    <t>HSE07</t>
  </si>
  <si>
    <t>SALISBURY SALCOR BLANKETS</t>
  </si>
  <si>
    <t>HSE08</t>
  </si>
  <si>
    <t>INSULATOR HOODS/ SOLID &amp; SPLIT</t>
  </si>
  <si>
    <t>SHEPHERDS UTILITY</t>
  </si>
  <si>
    <t>HSE09</t>
  </si>
  <si>
    <t>3 RESCUE RIG/CONTAINER UNITS</t>
  </si>
  <si>
    <t>SHAPALA MANUFACTURING</t>
  </si>
  <si>
    <t>HSE10</t>
  </si>
  <si>
    <t>HASTINGS LLINE GUARDS/SWITCH</t>
  </si>
  <si>
    <t>ELECTROZAD</t>
  </si>
  <si>
    <t>HSE11</t>
  </si>
  <si>
    <t>10 ' K01 EASY EXIBIT SYSTEM</t>
  </si>
  <si>
    <t>401 DISPLAY COMMUNICATIONS</t>
  </si>
  <si>
    <t>EXERCISE EQUIPMENT</t>
  </si>
  <si>
    <t>MISC. EQUIPMENT</t>
  </si>
  <si>
    <t>LMC93</t>
  </si>
  <si>
    <t>LOAD MANAGEMENT CONTROLS CUST.</t>
  </si>
  <si>
    <t>LMC94</t>
  </si>
  <si>
    <t>LMC95</t>
  </si>
  <si>
    <t>LMC96</t>
  </si>
  <si>
    <t>LMC97</t>
  </si>
  <si>
    <t>LOAD MGMT CONTROL</t>
  </si>
  <si>
    <t>DETAILED FIXED ASSET LISTING -  COMPUTER SOFTWARE</t>
  </si>
  <si>
    <t>99/12/31</t>
  </si>
  <si>
    <t>1925-00</t>
  </si>
  <si>
    <t xml:space="preserve">  Dec 31, 2001</t>
  </si>
  <si>
    <t>Foundation Networks</t>
  </si>
  <si>
    <t>Autodesk Inc.</t>
  </si>
  <si>
    <t>Advanced Utility</t>
  </si>
  <si>
    <t>COMPUTER SOFTWARE</t>
  </si>
  <si>
    <t>ST. THOMAS ENERGY SERVICES INC.</t>
  </si>
  <si>
    <t>Upgrades</t>
  </si>
  <si>
    <t xml:space="preserve">PST Audit -  </t>
  </si>
  <si>
    <t>(PST not pd initially)</t>
  </si>
  <si>
    <t>09/24/03</t>
  </si>
  <si>
    <t>07/18/03</t>
  </si>
  <si>
    <t>12/29/03</t>
  </si>
  <si>
    <t>SUB00</t>
  </si>
  <si>
    <t>05/31/04</t>
  </si>
  <si>
    <t>Amort Entry</t>
  </si>
  <si>
    <t>Reconciliation- Accum Amort</t>
  </si>
  <si>
    <t>Amortization</t>
  </si>
  <si>
    <t>01.1921.0000.000</t>
  </si>
  <si>
    <t>2005 YE</t>
  </si>
  <si>
    <t>REMOVE SOFTWARE ASSETS FROM BALANCE SHEET</t>
  </si>
  <si>
    <t>01.2105.0248</t>
  </si>
  <si>
    <t>01.2105.0300.000</t>
  </si>
  <si>
    <t>01.1963.0000.000</t>
  </si>
  <si>
    <t>ACCUMULATED AMORTIZATION</t>
  </si>
  <si>
    <t>ACCOUNT #</t>
  </si>
  <si>
    <t>ASSET</t>
  </si>
  <si>
    <t>01.2105.0248.000</t>
  </si>
  <si>
    <t>01.1970.0000.000</t>
  </si>
  <si>
    <t>01.2105.0215.000</t>
  </si>
  <si>
    <t>DISPOSAL OF EXERCISE EQUIPMENT</t>
  </si>
  <si>
    <t>9557-A</t>
  </si>
  <si>
    <t>Total</t>
  </si>
  <si>
    <t>DATE OF DISPOSAL</t>
  </si>
  <si>
    <t>ST. THOMAS ENERGY INC.</t>
  </si>
  <si>
    <t>AMORTIZATION EXPENSE</t>
  </si>
  <si>
    <t>20.0900.5705.0000.000</t>
  </si>
  <si>
    <t>RATE</t>
  </si>
  <si>
    <t>YEAR ACQUIRED</t>
  </si>
  <si>
    <t>YEAR FULLY AMORTIZED</t>
  </si>
  <si>
    <t># OF YEARS AMORT. TO DATE</t>
  </si>
  <si>
    <t>LIFE TO DATE ACCUM. AMORT.</t>
  </si>
  <si>
    <t>CURRENT YEAR AMORT.</t>
  </si>
  <si>
    <t>ANNUAL AMORT.</t>
  </si>
  <si>
    <t>UNDEPREC. CAPITAL COST END OF YEAR</t>
  </si>
  <si>
    <t xml:space="preserve">G.L. # </t>
  </si>
  <si>
    <t>20.0100.1930.0000.000</t>
  </si>
  <si>
    <t>LAND RIGHTS/RIGHT OF WAY</t>
  </si>
  <si>
    <t>20.0100.1806.0000.000</t>
  </si>
  <si>
    <t>Land Rights</t>
  </si>
  <si>
    <t>Easements</t>
  </si>
  <si>
    <t>SUB01</t>
  </si>
  <si>
    <t>SUB02</t>
  </si>
  <si>
    <t>SUB03</t>
  </si>
  <si>
    <t>SUB04</t>
  </si>
  <si>
    <t>SUB96</t>
  </si>
  <si>
    <t>SUB97</t>
  </si>
  <si>
    <t>SUB98</t>
  </si>
  <si>
    <t xml:space="preserve">DETAILED FIXED ASSET LISTING </t>
  </si>
  <si>
    <t>DISTRIBUTION STATION EQUIPMENT</t>
  </si>
  <si>
    <t>20.0100.1820.1000.000</t>
  </si>
  <si>
    <t>20.0100.2105.0250.000</t>
  </si>
  <si>
    <t>Poles, Towers, Fixtures</t>
  </si>
  <si>
    <t>O/H Conductors</t>
  </si>
  <si>
    <t>Services</t>
  </si>
  <si>
    <t>POLES, TOWERS &amp; FIXTURES</t>
  </si>
  <si>
    <t>Overhead Lines</t>
  </si>
  <si>
    <t>Poles, Towers &amp; Fixtures</t>
  </si>
  <si>
    <t>Reclassified Amortization</t>
  </si>
  <si>
    <t>Substations Prior to 1980</t>
  </si>
  <si>
    <t>Substations</t>
  </si>
  <si>
    <t>20.0100.2105.0275.000</t>
  </si>
  <si>
    <t>OVERHEAD CONDUCTORS &amp; DEVICES</t>
  </si>
  <si>
    <t>20.0100.1835.0000.000</t>
  </si>
  <si>
    <t>20.0100.1830.0000.000</t>
  </si>
  <si>
    <t>Overhead Conductors &amp; Devices</t>
  </si>
  <si>
    <t>20.0100.2105.0280.000</t>
  </si>
  <si>
    <t>VARIOUS</t>
  </si>
  <si>
    <t>UNDERGROUND CONDUIT</t>
  </si>
  <si>
    <t>FIXED ASSET AND AMORTIZATION SUMMARY</t>
  </si>
  <si>
    <t>20.0100.1840.0000.000</t>
  </si>
  <si>
    <t>Underground Conduit</t>
  </si>
  <si>
    <t>Reclassify</t>
  </si>
  <si>
    <t>20.0100.2105.0285.000</t>
  </si>
  <si>
    <t>UNDERGROUND CONDUCTORS &amp; DEVICES</t>
  </si>
  <si>
    <t>20.0100.1845.0000.000</t>
  </si>
  <si>
    <t>Underground Conductors &amp; Devices</t>
  </si>
  <si>
    <t>20.0100.2105.0290.000</t>
  </si>
  <si>
    <t>OVERHEAD TRANSFORMERS</t>
  </si>
  <si>
    <t>UNDERGROUND TRANSFORMERS</t>
  </si>
  <si>
    <t>20.0100.1850.1000.000</t>
  </si>
  <si>
    <t>20.0100.1850.2000.000</t>
  </si>
  <si>
    <t>Underground Transformers</t>
  </si>
  <si>
    <t>20.0100.2105.0295.000</t>
  </si>
  <si>
    <t>Overhead Transformers</t>
  </si>
  <si>
    <t>20.0100.2105.0300.000</t>
  </si>
  <si>
    <t>OVERHEAD SERVICES</t>
  </si>
  <si>
    <t>20.0100.1855.1000.000</t>
  </si>
  <si>
    <t>Overhead Services</t>
  </si>
  <si>
    <t>20.0100.2105.0405.000</t>
  </si>
  <si>
    <t>UNDERGROUND SERVICES</t>
  </si>
  <si>
    <t>20.0100.1855.2000.000</t>
  </si>
  <si>
    <t>Underground Services</t>
  </si>
  <si>
    <t>20.0100.2105.0410.000</t>
  </si>
  <si>
    <t>2105.0415.000</t>
  </si>
  <si>
    <t>2105.0420.000</t>
  </si>
  <si>
    <t>Customer Count</t>
  </si>
  <si>
    <t>Customer Class</t>
  </si>
  <si>
    <t>Res</t>
  </si>
  <si>
    <t>GS&lt; 50</t>
  </si>
  <si>
    <t>GS &gt; 50 Non Interval</t>
  </si>
  <si>
    <t>GS &gt; 50 Interval</t>
  </si>
  <si>
    <t>Total Meters</t>
  </si>
  <si>
    <t>Total Non Interval</t>
  </si>
  <si>
    <t>2011 Trial Balance</t>
  </si>
  <si>
    <t>1860.0415.130</t>
  </si>
  <si>
    <t>METERS LAB</t>
  </si>
  <si>
    <t>1860.0415.135</t>
  </si>
  <si>
    <t>METERS LAB OH'D</t>
  </si>
  <si>
    <t>1860.0415.140</t>
  </si>
  <si>
    <t>METERS MAT/EXP</t>
  </si>
  <si>
    <t>1860.0415.145</t>
  </si>
  <si>
    <t>METERS VEHICLE CHG</t>
  </si>
  <si>
    <t>1860.0415.150</t>
  </si>
  <si>
    <t>METERS AP</t>
  </si>
  <si>
    <t>1860.0415.999</t>
  </si>
  <si>
    <t>GP BAL METERS</t>
  </si>
  <si>
    <t>Non-Interval</t>
  </si>
  <si>
    <t>1860.0420.130</t>
  </si>
  <si>
    <t>METERS INTERVAL LAB</t>
  </si>
  <si>
    <t>1860.0420.135</t>
  </si>
  <si>
    <t>METERS INTERVAL LAB OH'D</t>
  </si>
  <si>
    <t>1860.0420.140</t>
  </si>
  <si>
    <t>METERS INTERVAL MAT/EXP</t>
  </si>
  <si>
    <t>1860.0420.145</t>
  </si>
  <si>
    <t>METERS INTERVAL VEHICLE</t>
  </si>
  <si>
    <t>1860.0420.150</t>
  </si>
  <si>
    <t>METERS INTERVAL AP</t>
  </si>
  <si>
    <t>Interval</t>
  </si>
  <si>
    <t>1860.0425.000</t>
  </si>
  <si>
    <t>METERS STD IN SHOP</t>
  </si>
  <si>
    <t>1860.0430.000</t>
  </si>
  <si>
    <t>METERS WHOLESALE IN SHOP</t>
  </si>
  <si>
    <t>1860.0435.130</t>
  </si>
  <si>
    <t>METERS WHOLESALE LAB</t>
  </si>
  <si>
    <t>1860.0435.135</t>
  </si>
  <si>
    <t>METERS WHOLESALE LAB OH'D</t>
  </si>
  <si>
    <t>1860.0435.140</t>
  </si>
  <si>
    <t>METERS WHOLESALE MAT/EXP</t>
  </si>
  <si>
    <t>1860.0435.145</t>
  </si>
  <si>
    <t>METERS WHOLESALE VEHICLE</t>
  </si>
  <si>
    <t>1860.0435.150</t>
  </si>
  <si>
    <t>METER WHSLE AP</t>
  </si>
  <si>
    <t>Wholesale</t>
  </si>
  <si>
    <t>Total Capital Cost</t>
  </si>
  <si>
    <t>ACCUM AMORT METERS</t>
  </si>
  <si>
    <t>ACC AMORT METERS INTERVAL</t>
  </si>
  <si>
    <t>2105.0425.000</t>
  </si>
  <si>
    <t>ACC AMRT MTRS STD IN SHOP</t>
  </si>
  <si>
    <t>2105.0430.000</t>
  </si>
  <si>
    <t>ACC AMRT MTR WHSL IN SHOP</t>
  </si>
  <si>
    <t>2105.0435.000</t>
  </si>
  <si>
    <t>ACC AMORT WHOLESALE MTRS</t>
  </si>
  <si>
    <t>Total Accumulated Amortization</t>
  </si>
  <si>
    <t>METERS - STRANDED</t>
  </si>
  <si>
    <t>20.0100.1860.1000.000</t>
  </si>
  <si>
    <t>Stranded Meters</t>
  </si>
  <si>
    <t>20.0100.2105.0415.000</t>
  </si>
  <si>
    <t>Prior to 1980</t>
  </si>
  <si>
    <t>METERS - INTERVAL</t>
  </si>
  <si>
    <t>20.0100.1860.2000.000</t>
  </si>
  <si>
    <t>Interval Meters</t>
  </si>
  <si>
    <t>20.0100.2105.0420.000</t>
  </si>
  <si>
    <t>METERS - WHOLESALE</t>
  </si>
  <si>
    <t>20.0100.1860.3000.000</t>
  </si>
  <si>
    <t>Wholesale Meters</t>
  </si>
  <si>
    <t>20.0100.2105.0435.000</t>
  </si>
  <si>
    <t>Indefinite</t>
  </si>
  <si>
    <t>n/a</t>
  </si>
  <si>
    <t>CITY OF ST. THOMAS</t>
  </si>
  <si>
    <t>STREIB TRUCKING</t>
  </si>
  <si>
    <t>LAND - GENERAL PLANT</t>
  </si>
  <si>
    <t>135 Edward Street</t>
  </si>
  <si>
    <t>135 Edward Street South (4 acres)</t>
  </si>
  <si>
    <t>Burm…</t>
  </si>
  <si>
    <t>20.0100.1905.0000.000</t>
  </si>
  <si>
    <t>HIRA - STORES DEPT</t>
  </si>
  <si>
    <t>BUILDING &amp; FIXTURES - GENERAL PLANT</t>
  </si>
  <si>
    <t>20.0100.1908.0000.000</t>
  </si>
  <si>
    <t>Building &amp; Fixtures</t>
  </si>
  <si>
    <t>Buildings - Other</t>
  </si>
  <si>
    <t>20.0100.2105.0700.000</t>
  </si>
  <si>
    <t>SECURITY SYSTEM - GENERAL PLANT</t>
  </si>
  <si>
    <t>20.0100.1908.1000.000</t>
  </si>
  <si>
    <t>Security System</t>
  </si>
  <si>
    <t>20.0100.2105.0705.000</t>
  </si>
  <si>
    <t>OFFICE FURNITURE &amp; EQUIPMENT</t>
  </si>
  <si>
    <t>20.0100.1915.0000.000</t>
  </si>
  <si>
    <t>20.0100.2105.0810.000</t>
  </si>
  <si>
    <t>COMPUTER HARDWARE</t>
  </si>
  <si>
    <t>20.0100.1920.0000.000</t>
  </si>
  <si>
    <t>20.0100.2105.0820.000</t>
  </si>
  <si>
    <t>20.0100.1925.0000.000</t>
  </si>
  <si>
    <t>20.0100.2105.0830.000</t>
  </si>
  <si>
    <t>TOOLS &amp; EQUIPMENT</t>
  </si>
  <si>
    <t>20.0100.1940.0000.000</t>
  </si>
  <si>
    <t>20.0100.2105.0860.000</t>
  </si>
  <si>
    <t>COMMUNICATIONS EQUIPMENT</t>
  </si>
  <si>
    <t>20.0100.1955.0000.000</t>
  </si>
  <si>
    <t>20.0100.2105.0880.000</t>
  </si>
  <si>
    <t>MOBILE SUBSTATION</t>
  </si>
  <si>
    <t>20.0100.1960.1000.000</t>
  </si>
  <si>
    <t>ABB</t>
  </si>
  <si>
    <t>SYSTEM SUPERVISORY EQUIPMENT</t>
  </si>
  <si>
    <t>20.0100.1980.0000.000</t>
  </si>
  <si>
    <t>20.0100.2105.0890.000</t>
  </si>
  <si>
    <t>20.0100.2105.0900.000</t>
  </si>
  <si>
    <t>CONTRIBUTED CAPITAL</t>
  </si>
  <si>
    <t>20.0100.1995.0000.000</t>
  </si>
  <si>
    <t>Contributed Capital</t>
  </si>
  <si>
    <t>DATE RECEIVED</t>
  </si>
  <si>
    <t>YEAR</t>
  </si>
  <si>
    <t>20.0100.2105.1000.000</t>
  </si>
  <si>
    <t>1 JAN 2012 NET BOOK VALUE</t>
  </si>
  <si>
    <t>Assets sold to STEI at NBV</t>
  </si>
  <si>
    <t>Reclassify Assets</t>
  </si>
  <si>
    <t>Reclassify Amortization</t>
  </si>
  <si>
    <t>2005 Ending Balance</t>
  </si>
  <si>
    <t>Adjustment</t>
  </si>
  <si>
    <t>Net</t>
  </si>
  <si>
    <t>AMORTIZATION</t>
  </si>
  <si>
    <t>EXPENSE</t>
  </si>
  <si>
    <t>Yrs left</t>
  </si>
  <si>
    <t>Yrs</t>
  </si>
  <si>
    <t>Adj BV</t>
  </si>
  <si>
    <t>Adjusted BV</t>
  </si>
  <si>
    <t>Avg UFL</t>
  </si>
  <si>
    <t>versus</t>
  </si>
  <si>
    <t>21H87</t>
  </si>
  <si>
    <t>PT1</t>
  </si>
  <si>
    <t>CC</t>
  </si>
  <si>
    <t>Opening BV</t>
  </si>
  <si>
    <t>NBV</t>
  </si>
  <si>
    <t>Cc</t>
  </si>
  <si>
    <t>UFL</t>
  </si>
  <si>
    <t>Average</t>
  </si>
  <si>
    <t>Average remaining Life</t>
  </si>
  <si>
    <t>Meters-Smart</t>
  </si>
  <si>
    <t>METERS-SMART</t>
  </si>
  <si>
    <t>20.0100.1860.1500.000</t>
  </si>
  <si>
    <t>smart meter</t>
  </si>
  <si>
    <t>Smart Meter</t>
  </si>
  <si>
    <t>Asset Transfer</t>
  </si>
  <si>
    <t>Cayenta financials</t>
  </si>
  <si>
    <t>Transportation Equipment</t>
  </si>
  <si>
    <t>Acct:</t>
  </si>
  <si>
    <t>1930.0000</t>
  </si>
  <si>
    <t>Revised UF</t>
  </si>
  <si>
    <t>new additions 2012</t>
  </si>
  <si>
    <t>Opening 2012 NBV</t>
  </si>
  <si>
    <t>Average RUL</t>
  </si>
  <si>
    <t>sold 9102 to AESI</t>
  </si>
  <si>
    <t>Year</t>
  </si>
  <si>
    <t>RUL</t>
  </si>
  <si>
    <t>?</t>
  </si>
  <si>
    <t>Truck/Trailer</t>
  </si>
  <si>
    <t>Trailer</t>
  </si>
  <si>
    <t>Truck</t>
  </si>
  <si>
    <t>Truck Repairs</t>
  </si>
  <si>
    <t>Check</t>
  </si>
  <si>
    <t>Smart Meter Transfer</t>
  </si>
  <si>
    <t>GIS</t>
  </si>
  <si>
    <t>20.0100.1980.1000.000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</si>
</sst>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#,##0.00_ ;[Red]\-#,##0.00\ "/>
    <numFmt numFmtId="168" formatCode="0.000"/>
    <numFmt numFmtId="169" formatCode="#,##0_ ;[Red]\-#,##0\ "/>
    <numFmt numFmtId="170" formatCode="#,##0.000_ ;[Red]\-#,##0.000\ "/>
    <numFmt numFmtId="171" formatCode="[$-1009]d\-mmm\-yy;@"/>
    <numFmt numFmtId="172" formatCode="_(* #,##0_);_(* \(#,##0\);_(* &quot;-&quot;??_);_(@_)"/>
    <numFmt numFmtId="173" formatCode="0.0"/>
    <numFmt numFmtId="174" formatCode="_(* #,##0.00_);_(* \(#,##0.0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2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0" fillId="0" borderId="4" xfId="0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66" fontId="2" fillId="0" borderId="0" xfId="3" applyNumberFormat="1" applyBorder="1" applyAlignment="1">
      <alignment horizontal="center" vertical="top"/>
    </xf>
    <xf numFmtId="166" fontId="2" fillId="0" borderId="0" xfId="3" applyNumberFormat="1" applyBorder="1" applyAlignment="1">
      <alignment horizontal="center" vertical="top" wrapText="1"/>
    </xf>
    <xf numFmtId="40" fontId="0" fillId="0" borderId="0" xfId="0" applyNumberFormat="1" applyBorder="1" applyAlignment="1">
      <alignment vertical="top"/>
    </xf>
    <xf numFmtId="38" fontId="0" fillId="0" borderId="0" xfId="0" applyNumberFormat="1" applyBorder="1" applyAlignment="1">
      <alignment horizontal="center" vertical="top"/>
    </xf>
    <xf numFmtId="38" fontId="0" fillId="0" borderId="0" xfId="0" applyNumberFormat="1" applyBorder="1" applyAlignment="1">
      <alignment vertical="top"/>
    </xf>
    <xf numFmtId="1" fontId="0" fillId="0" borderId="0" xfId="0" applyNumberForma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66" fontId="2" fillId="0" borderId="0" xfId="3" applyNumberFormat="1" applyFont="1" applyBorder="1" applyAlignment="1">
      <alignment horizontal="center" vertical="top" wrapText="1"/>
    </xf>
    <xf numFmtId="14" fontId="0" fillId="0" borderId="0" xfId="0" applyNumberFormat="1" applyBorder="1" applyAlignment="1">
      <alignment horizontal="center" vertical="top"/>
    </xf>
    <xf numFmtId="15" fontId="0" fillId="0" borderId="0" xfId="0" applyNumberFormat="1" applyBorder="1" applyAlignment="1">
      <alignment horizontal="center" vertical="top"/>
    </xf>
    <xf numFmtId="40" fontId="0" fillId="0" borderId="0" xfId="0" applyNumberForma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40" fontId="3" fillId="0" borderId="0" xfId="0" applyNumberFormat="1" applyFont="1" applyBorder="1" applyAlignment="1">
      <alignment vertical="top"/>
    </xf>
    <xf numFmtId="40" fontId="3" fillId="0" borderId="0" xfId="0" applyNumberFormat="1" applyFont="1" applyBorder="1" applyAlignment="1">
      <alignment horizontal="center" vertical="top"/>
    </xf>
    <xf numFmtId="1" fontId="3" fillId="0" borderId="0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40" fontId="0" fillId="0" borderId="9" xfId="0" applyNumberFormat="1" applyBorder="1" applyAlignment="1">
      <alignment vertical="top"/>
    </xf>
    <xf numFmtId="40" fontId="0" fillId="0" borderId="9" xfId="0" applyNumberFormat="1" applyBorder="1" applyAlignment="1">
      <alignment horizontal="center" vertical="top"/>
    </xf>
    <xf numFmtId="1" fontId="0" fillId="0" borderId="9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3" fillId="0" borderId="0" xfId="0" applyFont="1" applyFill="1" applyAlignment="1">
      <alignment vertical="top"/>
    </xf>
    <xf numFmtId="40" fontId="0" fillId="0" borderId="0" xfId="0" applyNumberFormat="1" applyFill="1" applyBorder="1" applyAlignment="1">
      <alignment vertical="top"/>
    </xf>
    <xf numFmtId="0" fontId="0" fillId="0" borderId="0" xfId="0" quotePrefix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4" fillId="0" borderId="0" xfId="0" quotePrefix="1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14" xfId="0" applyFont="1" applyBorder="1" applyAlignment="1">
      <alignment horizontal="center" vertical="top"/>
    </xf>
    <xf numFmtId="0" fontId="3" fillId="2" borderId="15" xfId="0" applyFont="1" applyFill="1" applyBorder="1" applyAlignment="1">
      <alignment vertical="top"/>
    </xf>
    <xf numFmtId="40" fontId="3" fillId="2" borderId="0" xfId="0" applyNumberFormat="1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14" fontId="4" fillId="0" borderId="0" xfId="0" quotePrefix="1" applyNumberFormat="1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9" fillId="0" borderId="0" xfId="0" applyFont="1"/>
    <xf numFmtId="0" fontId="10" fillId="0" borderId="0" xfId="0" applyFont="1"/>
    <xf numFmtId="167" fontId="10" fillId="0" borderId="0" xfId="0" applyNumberFormat="1" applyFont="1"/>
    <xf numFmtId="167" fontId="9" fillId="0" borderId="0" xfId="0" applyNumberFormat="1" applyFont="1"/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169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66" fontId="10" fillId="0" borderId="0" xfId="3" applyNumberFormat="1" applyFont="1" applyAlignment="1">
      <alignment horizontal="center" vertical="top"/>
    </xf>
    <xf numFmtId="166" fontId="10" fillId="0" borderId="0" xfId="3" applyNumberFormat="1" applyFont="1" applyAlignment="1">
      <alignment horizontal="center" vertical="top" wrapText="1"/>
    </xf>
    <xf numFmtId="40" fontId="10" fillId="0" borderId="0" xfId="0" applyNumberFormat="1" applyFont="1" applyAlignment="1">
      <alignment vertical="top"/>
    </xf>
    <xf numFmtId="38" fontId="10" fillId="0" borderId="0" xfId="0" applyNumberFormat="1" applyFont="1" applyAlignment="1">
      <alignment horizontal="center" vertical="top"/>
    </xf>
    <xf numFmtId="38" fontId="10" fillId="0" borderId="0" xfId="0" applyNumberFormat="1" applyFont="1" applyAlignment="1">
      <alignment vertical="top"/>
    </xf>
    <xf numFmtId="1" fontId="10" fillId="0" borderId="0" xfId="0" applyNumberFormat="1" applyFont="1" applyAlignment="1">
      <alignment horizontal="center" vertical="top"/>
    </xf>
    <xf numFmtId="40" fontId="10" fillId="0" borderId="0" xfId="0" applyNumberFormat="1" applyFont="1" applyAlignment="1">
      <alignment horizontal="center" vertical="top"/>
    </xf>
    <xf numFmtId="1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40" fontId="9" fillId="2" borderId="0" xfId="0" applyNumberFormat="1" applyFont="1" applyFill="1" applyAlignment="1">
      <alignment vertical="top"/>
    </xf>
    <xf numFmtId="40" fontId="9" fillId="0" borderId="0" xfId="0" applyNumberFormat="1" applyFont="1" applyAlignment="1">
      <alignment horizontal="center" vertical="top"/>
    </xf>
    <xf numFmtId="40" fontId="9" fillId="0" borderId="0" xfId="0" applyNumberFormat="1" applyFont="1" applyAlignment="1">
      <alignment vertical="top"/>
    </xf>
    <xf numFmtId="0" fontId="9" fillId="0" borderId="0" xfId="0" applyFont="1" applyFill="1" applyAlignment="1">
      <alignment vertical="top"/>
    </xf>
    <xf numFmtId="40" fontId="9" fillId="0" borderId="0" xfId="0" applyNumberFormat="1" applyFont="1" applyFill="1" applyAlignment="1">
      <alignment horizontal="center" vertical="top"/>
    </xf>
    <xf numFmtId="40" fontId="9" fillId="0" borderId="0" xfId="0" applyNumberFormat="1" applyFont="1" applyFill="1" applyAlignment="1">
      <alignment vertical="top"/>
    </xf>
    <xf numFmtId="166" fontId="9" fillId="0" borderId="0" xfId="3" applyNumberFormat="1" applyFont="1" applyAlignment="1">
      <alignment horizontal="right" vertical="top"/>
    </xf>
    <xf numFmtId="0" fontId="11" fillId="0" borderId="0" xfId="0" applyFont="1" applyFill="1" applyAlignment="1">
      <alignment vertical="top"/>
    </xf>
    <xf numFmtId="0" fontId="11" fillId="0" borderId="11" xfId="0" applyFont="1" applyBorder="1" applyAlignment="1">
      <alignment horizontal="center" vertical="top"/>
    </xf>
    <xf numFmtId="167" fontId="10" fillId="0" borderId="0" xfId="0" applyNumberFormat="1" applyFont="1" applyAlignment="1">
      <alignment horizontal="center" vertical="top"/>
    </xf>
    <xf numFmtId="167" fontId="10" fillId="0" borderId="0" xfId="0" applyNumberFormat="1" applyFont="1" applyAlignment="1">
      <alignment vertical="top"/>
    </xf>
    <xf numFmtId="167" fontId="9" fillId="0" borderId="12" xfId="0" applyNumberFormat="1" applyFont="1" applyBorder="1" applyAlignment="1">
      <alignment horizontal="center" vertical="top"/>
    </xf>
    <xf numFmtId="167" fontId="9" fillId="0" borderId="13" xfId="0" applyNumberFormat="1" applyFont="1" applyBorder="1" applyAlignment="1">
      <alignment vertical="top"/>
    </xf>
    <xf numFmtId="167" fontId="9" fillId="0" borderId="0" xfId="0" applyNumberFormat="1" applyFont="1" applyFill="1" applyAlignment="1">
      <alignment vertical="top"/>
    </xf>
    <xf numFmtId="49" fontId="9" fillId="0" borderId="12" xfId="0" applyNumberFormat="1" applyFont="1" applyBorder="1" applyAlignment="1">
      <alignment horizontal="center" vertical="top"/>
    </xf>
    <xf numFmtId="167" fontId="10" fillId="0" borderId="0" xfId="0" applyNumberFormat="1" applyFont="1" applyFill="1" applyAlignment="1">
      <alignment horizontal="center" vertical="top"/>
    </xf>
    <xf numFmtId="167" fontId="10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vertical="top" wrapText="1"/>
    </xf>
    <xf numFmtId="166" fontId="10" fillId="0" borderId="0" xfId="3" applyNumberFormat="1" applyFont="1" applyFill="1" applyAlignment="1">
      <alignment horizontal="center" vertical="top"/>
    </xf>
    <xf numFmtId="166" fontId="10" fillId="0" borderId="0" xfId="3" applyNumberFormat="1" applyFont="1" applyFill="1" applyAlignment="1">
      <alignment horizontal="center" vertical="top" wrapText="1"/>
    </xf>
    <xf numFmtId="40" fontId="10" fillId="0" borderId="0" xfId="0" applyNumberFormat="1" applyFont="1" applyFill="1" applyAlignment="1">
      <alignment vertical="top"/>
    </xf>
    <xf numFmtId="38" fontId="10" fillId="0" borderId="0" xfId="0" applyNumberFormat="1" applyFont="1" applyFill="1" applyAlignment="1">
      <alignment horizontal="center" vertical="top"/>
    </xf>
    <xf numFmtId="38" fontId="10" fillId="0" borderId="0" xfId="0" applyNumberFormat="1" applyFont="1" applyFill="1" applyAlignment="1">
      <alignment vertical="top"/>
    </xf>
    <xf numFmtId="1" fontId="9" fillId="0" borderId="0" xfId="0" applyNumberFormat="1" applyFont="1" applyFill="1" applyAlignment="1">
      <alignment horizontal="center" vertical="top"/>
    </xf>
    <xf numFmtId="167" fontId="9" fillId="0" borderId="0" xfId="0" applyNumberFormat="1" applyFont="1" applyAlignment="1">
      <alignment vertical="top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40" fontId="10" fillId="0" borderId="0" xfId="0" applyNumberFormat="1" applyFont="1" applyFill="1" applyAlignment="1">
      <alignment horizontal="center" vertical="top"/>
    </xf>
    <xf numFmtId="1" fontId="10" fillId="0" borderId="0" xfId="0" applyNumberFormat="1" applyFont="1" applyFill="1" applyAlignment="1">
      <alignment horizontal="center" vertical="top"/>
    </xf>
    <xf numFmtId="14" fontId="10" fillId="0" borderId="0" xfId="0" applyNumberFormat="1" applyFont="1" applyAlignment="1">
      <alignment horizontal="center" vertical="top"/>
    </xf>
    <xf numFmtId="167" fontId="9" fillId="2" borderId="0" xfId="0" applyNumberFormat="1" applyFont="1" applyFill="1" applyAlignment="1">
      <alignment vertical="top"/>
    </xf>
    <xf numFmtId="167" fontId="9" fillId="0" borderId="14" xfId="0" applyNumberFormat="1" applyFont="1" applyBorder="1" applyAlignment="1">
      <alignment horizontal="center" vertical="top"/>
    </xf>
    <xf numFmtId="167" fontId="9" fillId="2" borderId="15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9" fillId="0" borderId="0" xfId="0" applyFont="1" applyFill="1" applyAlignment="1">
      <alignment vertical="top" wrapText="1"/>
    </xf>
    <xf numFmtId="14" fontId="10" fillId="0" borderId="0" xfId="0" applyNumberFormat="1" applyFont="1" applyFill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/>
    </xf>
    <xf numFmtId="40" fontId="10" fillId="0" borderId="0" xfId="0" applyNumberFormat="1" applyFont="1" applyBorder="1" applyAlignment="1">
      <alignment vertical="top"/>
    </xf>
    <xf numFmtId="40" fontId="9" fillId="0" borderId="0" xfId="0" applyNumberFormat="1" applyFont="1" applyBorder="1" applyAlignment="1">
      <alignment horizontal="center" vertical="top"/>
    </xf>
    <xf numFmtId="40" fontId="10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14" fontId="10" fillId="0" borderId="0" xfId="0" quotePrefix="1" applyNumberFormat="1" applyFont="1" applyAlignment="1">
      <alignment horizontal="center" vertical="top"/>
    </xf>
    <xf numFmtId="0" fontId="9" fillId="0" borderId="0" xfId="0" applyFont="1" applyAlignment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40" fontId="10" fillId="0" borderId="0" xfId="0" applyNumberFormat="1" applyFont="1" applyAlignment="1">
      <alignment horizontal="center" vertical="top" wrapText="1"/>
    </xf>
    <xf numFmtId="170" fontId="10" fillId="0" borderId="0" xfId="0" applyNumberFormat="1" applyFont="1" applyAlignment="1">
      <alignment horizontal="center" vertical="top"/>
    </xf>
    <xf numFmtId="0" fontId="10" fillId="0" borderId="18" xfId="0" applyFont="1" applyBorder="1" applyAlignment="1">
      <alignment vertical="top"/>
    </xf>
    <xf numFmtId="2" fontId="9" fillId="0" borderId="0" xfId="0" applyNumberFormat="1" applyFont="1" applyFill="1" applyAlignment="1">
      <alignment horizontal="center" vertical="top"/>
    </xf>
    <xf numFmtId="165" fontId="10" fillId="0" borderId="0" xfId="1" applyFont="1" applyFill="1" applyAlignment="1">
      <alignment vertical="top"/>
    </xf>
    <xf numFmtId="165" fontId="9" fillId="0" borderId="0" xfId="1" applyFont="1" applyFill="1" applyAlignment="1">
      <alignment vertical="top"/>
    </xf>
    <xf numFmtId="165" fontId="11" fillId="0" borderId="0" xfId="1" applyFont="1" applyFill="1" applyBorder="1" applyAlignment="1">
      <alignment vertical="top"/>
    </xf>
    <xf numFmtId="165" fontId="9" fillId="0" borderId="0" xfId="1" applyFont="1" applyFill="1" applyBorder="1" applyAlignment="1">
      <alignment vertical="top"/>
    </xf>
    <xf numFmtId="0" fontId="9" fillId="0" borderId="0" xfId="0" applyFont="1" applyFill="1" applyAlignment="1">
      <alignment horizontal="left"/>
    </xf>
    <xf numFmtId="4" fontId="9" fillId="0" borderId="0" xfId="0" applyNumberFormat="1" applyFont="1" applyFill="1" applyAlignment="1">
      <alignment horizontal="center" vertical="top"/>
    </xf>
    <xf numFmtId="4" fontId="9" fillId="0" borderId="0" xfId="0" applyNumberFormat="1" applyFont="1" applyFill="1" applyAlignment="1">
      <alignment vertical="top"/>
    </xf>
    <xf numFmtId="168" fontId="9" fillId="0" borderId="0" xfId="0" applyNumberFormat="1" applyFont="1" applyFill="1" applyAlignment="1">
      <alignment horizontal="center" vertical="top"/>
    </xf>
    <xf numFmtId="165" fontId="11" fillId="0" borderId="0" xfId="1" applyFont="1" applyFill="1" applyBorder="1" applyAlignment="1">
      <alignment horizontal="center" vertical="top"/>
    </xf>
    <xf numFmtId="165" fontId="10" fillId="0" borderId="0" xfId="1" applyFont="1" applyFill="1" applyBorder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165" fontId="10" fillId="0" borderId="0" xfId="0" applyNumberFormat="1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0" fontId="9" fillId="0" borderId="1" xfId="0" applyFont="1" applyFill="1" applyBorder="1" applyAlignment="1">
      <alignment horizontal="center" wrapText="1"/>
    </xf>
    <xf numFmtId="165" fontId="9" fillId="0" borderId="1" xfId="0" applyNumberFormat="1" applyFont="1" applyFill="1" applyBorder="1" applyAlignment="1">
      <alignment horizontal="center" wrapText="1"/>
    </xf>
    <xf numFmtId="165" fontId="9" fillId="0" borderId="1" xfId="1" applyFont="1" applyFill="1" applyBorder="1" applyAlignment="1">
      <alignment horizontal="center" wrapText="1"/>
    </xf>
    <xf numFmtId="0" fontId="9" fillId="0" borderId="0" xfId="0" applyFont="1" applyFill="1" applyAlignment="1">
      <alignment horizontal="righ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166" fontId="10" fillId="0" borderId="1" xfId="3" applyNumberFormat="1" applyFont="1" applyFill="1" applyBorder="1" applyAlignment="1">
      <alignment horizontal="center" vertical="top"/>
    </xf>
    <xf numFmtId="38" fontId="10" fillId="0" borderId="1" xfId="0" applyNumberFormat="1" applyFont="1" applyFill="1" applyBorder="1" applyAlignment="1">
      <alignment horizontal="center" vertical="top"/>
    </xf>
    <xf numFmtId="165" fontId="10" fillId="0" borderId="1" xfId="1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/>
    </xf>
    <xf numFmtId="40" fontId="9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165" fontId="9" fillId="0" borderId="1" xfId="1" applyFont="1" applyFill="1" applyBorder="1" applyAlignment="1">
      <alignment vertical="top"/>
    </xf>
    <xf numFmtId="164" fontId="9" fillId="0" borderId="1" xfId="2" applyFont="1" applyFill="1" applyBorder="1" applyAlignment="1">
      <alignment vertical="top"/>
    </xf>
    <xf numFmtId="164" fontId="9" fillId="0" borderId="0" xfId="2" applyFont="1" applyFill="1" applyAlignment="1">
      <alignment vertical="top"/>
    </xf>
    <xf numFmtId="0" fontId="9" fillId="0" borderId="1" xfId="0" applyFont="1" applyBorder="1" applyAlignment="1">
      <alignment horizontal="center" wrapText="1"/>
    </xf>
    <xf numFmtId="165" fontId="9" fillId="0" borderId="1" xfId="1" applyFont="1" applyBorder="1" applyAlignment="1">
      <alignment horizontal="center" wrapText="1"/>
    </xf>
    <xf numFmtId="0" fontId="9" fillId="6" borderId="0" xfId="0" applyFont="1" applyFill="1" applyAlignment="1">
      <alignment horizontal="left" vertical="top"/>
    </xf>
    <xf numFmtId="165" fontId="10" fillId="0" borderId="1" xfId="1" applyFont="1" applyBorder="1" applyAlignment="1">
      <alignment vertical="top"/>
    </xf>
    <xf numFmtId="164" fontId="10" fillId="0" borderId="1" xfId="2" applyFont="1" applyFill="1" applyBorder="1" applyAlignment="1">
      <alignment vertical="top"/>
    </xf>
    <xf numFmtId="171" fontId="10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171" fontId="10" fillId="0" borderId="0" xfId="0" applyNumberFormat="1" applyFont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167" fontId="9" fillId="0" borderId="0" xfId="0" applyNumberFormat="1" applyFont="1" applyBorder="1" applyAlignment="1">
      <alignment vertical="top"/>
    </xf>
    <xf numFmtId="40" fontId="9" fillId="0" borderId="0" xfId="0" applyNumberFormat="1" applyFont="1" applyFill="1" applyBorder="1" applyAlignment="1">
      <alignment vertical="top"/>
    </xf>
    <xf numFmtId="167" fontId="9" fillId="0" borderId="0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171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166" fontId="10" fillId="0" borderId="1" xfId="3" applyNumberFormat="1" applyFont="1" applyBorder="1" applyAlignment="1">
      <alignment horizontal="center" vertical="top"/>
    </xf>
    <xf numFmtId="40" fontId="10" fillId="0" borderId="1" xfId="0" applyNumberFormat="1" applyFont="1" applyBorder="1" applyAlignment="1">
      <alignment vertical="top"/>
    </xf>
    <xf numFmtId="38" fontId="10" fillId="0" borderId="1" xfId="0" applyNumberFormat="1" applyFont="1" applyBorder="1" applyAlignment="1">
      <alignment horizontal="center" vertical="top"/>
    </xf>
    <xf numFmtId="38" fontId="10" fillId="0" borderId="1" xfId="0" applyNumberFormat="1" applyFont="1" applyBorder="1" applyAlignment="1">
      <alignment vertical="top"/>
    </xf>
    <xf numFmtId="40" fontId="10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0" borderId="1" xfId="0" applyFont="1" applyFill="1" applyBorder="1" applyAlignment="1">
      <alignment vertical="top"/>
    </xf>
    <xf numFmtId="0" fontId="10" fillId="0" borderId="0" xfId="0" applyFont="1" applyFill="1"/>
    <xf numFmtId="0" fontId="10" fillId="0" borderId="1" xfId="0" applyFont="1" applyFill="1" applyBorder="1" applyAlignment="1">
      <alignment vertical="top" wrapText="1"/>
    </xf>
    <xf numFmtId="40" fontId="9" fillId="0" borderId="0" xfId="0" applyNumberFormat="1" applyFont="1" applyFill="1"/>
    <xf numFmtId="40" fontId="10" fillId="0" borderId="0" xfId="0" applyNumberFormat="1" applyFont="1" applyFill="1"/>
    <xf numFmtId="166" fontId="9" fillId="0" borderId="0" xfId="3" applyNumberFormat="1" applyFont="1" applyFill="1" applyAlignment="1">
      <alignment horizontal="right" vertical="top"/>
    </xf>
    <xf numFmtId="0" fontId="12" fillId="0" borderId="0" xfId="0" applyFont="1" applyFill="1" applyAlignment="1">
      <alignment horizontal="center" vertical="top"/>
    </xf>
    <xf numFmtId="165" fontId="10" fillId="0" borderId="1" xfId="0" applyNumberFormat="1" applyFont="1" applyBorder="1" applyAlignment="1">
      <alignment vertical="top"/>
    </xf>
    <xf numFmtId="165" fontId="10" fillId="0" borderId="1" xfId="0" applyNumberFormat="1" applyFont="1" applyFill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9" fillId="0" borderId="1" xfId="0" applyNumberFormat="1" applyFont="1" applyFill="1" applyBorder="1" applyAlignment="1">
      <alignment vertical="top"/>
    </xf>
    <xf numFmtId="164" fontId="9" fillId="0" borderId="1" xfId="0" applyNumberFormat="1" applyFont="1" applyFill="1" applyBorder="1" applyAlignment="1">
      <alignment horizontal="center" vertical="top"/>
    </xf>
    <xf numFmtId="164" fontId="9" fillId="0" borderId="0" xfId="0" applyNumberFormat="1" applyFont="1" applyFill="1" applyAlignment="1">
      <alignment vertical="top"/>
    </xf>
    <xf numFmtId="164" fontId="9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right" vertical="top"/>
    </xf>
    <xf numFmtId="2" fontId="10" fillId="0" borderId="1" xfId="0" applyNumberFormat="1" applyFont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vertical="top"/>
    </xf>
    <xf numFmtId="167" fontId="9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/>
    </xf>
    <xf numFmtId="171" fontId="10" fillId="0" borderId="1" xfId="0" quotePrefix="1" applyNumberFormat="1" applyFont="1" applyBorder="1" applyAlignment="1">
      <alignment horizontal="center" vertical="top"/>
    </xf>
    <xf numFmtId="167" fontId="9" fillId="0" borderId="1" xfId="0" applyNumberFormat="1" applyFont="1" applyBorder="1" applyAlignment="1">
      <alignment horizontal="center" vertical="top"/>
    </xf>
    <xf numFmtId="165" fontId="10" fillId="3" borderId="1" xfId="0" applyNumberFormat="1" applyFont="1" applyFill="1" applyBorder="1" applyAlignment="1">
      <alignment vertical="top"/>
    </xf>
    <xf numFmtId="165" fontId="9" fillId="0" borderId="1" xfId="0" applyNumberFormat="1" applyFont="1" applyBorder="1" applyAlignment="1">
      <alignment vertical="top"/>
    </xf>
    <xf numFmtId="165" fontId="10" fillId="5" borderId="1" xfId="0" applyNumberFormat="1" applyFont="1" applyFill="1" applyBorder="1" applyAlignment="1">
      <alignment vertical="top"/>
    </xf>
    <xf numFmtId="165" fontId="10" fillId="6" borderId="1" xfId="0" applyNumberFormat="1" applyFont="1" applyFill="1" applyBorder="1" applyAlignment="1">
      <alignment vertical="top"/>
    </xf>
    <xf numFmtId="165" fontId="10" fillId="4" borderId="1" xfId="0" applyNumberFormat="1" applyFont="1" applyFill="1" applyBorder="1" applyAlignment="1">
      <alignment vertical="top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165" fontId="9" fillId="5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right" vertical="top"/>
    </xf>
    <xf numFmtId="164" fontId="9" fillId="0" borderId="0" xfId="0" applyNumberFormat="1" applyFont="1" applyFill="1" applyBorder="1" applyAlignment="1">
      <alignment vertical="top"/>
    </xf>
    <xf numFmtId="165" fontId="9" fillId="7" borderId="1" xfId="0" applyNumberFormat="1" applyFont="1" applyFill="1" applyBorder="1" applyAlignment="1">
      <alignment vertical="top"/>
    </xf>
    <xf numFmtId="164" fontId="9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vertical="top"/>
    </xf>
    <xf numFmtId="170" fontId="10" fillId="0" borderId="0" xfId="0" applyNumberFormat="1" applyFont="1" applyAlignment="1">
      <alignment vertical="top"/>
    </xf>
    <xf numFmtId="171" fontId="9" fillId="0" borderId="0" xfId="0" applyNumberFormat="1" applyFont="1" applyAlignment="1">
      <alignment horizontal="center" vertical="top"/>
    </xf>
    <xf numFmtId="165" fontId="10" fillId="0" borderId="1" xfId="0" applyNumberFormat="1" applyFont="1" applyBorder="1" applyAlignment="1">
      <alignment horizontal="center" vertical="top"/>
    </xf>
    <xf numFmtId="171" fontId="9" fillId="0" borderId="1" xfId="0" applyNumberFormat="1" applyFont="1" applyFill="1" applyBorder="1" applyAlignment="1">
      <alignment horizontal="center" vertical="top"/>
    </xf>
    <xf numFmtId="171" fontId="9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164" fontId="10" fillId="0" borderId="0" xfId="0" applyNumberFormat="1" applyFont="1" applyFill="1" applyAlignment="1">
      <alignment vertical="top"/>
    </xf>
    <xf numFmtId="167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Fill="1" applyBorder="1" applyAlignment="1">
      <alignment vertical="top"/>
    </xf>
    <xf numFmtId="164" fontId="10" fillId="0" borderId="0" xfId="0" applyNumberFormat="1" applyFont="1" applyBorder="1" applyAlignment="1">
      <alignment horizontal="center" vertical="top"/>
    </xf>
    <xf numFmtId="164" fontId="0" fillId="0" borderId="0" xfId="0" applyNumberFormat="1"/>
    <xf numFmtId="0" fontId="0" fillId="0" borderId="1" xfId="0" applyBorder="1"/>
    <xf numFmtId="14" fontId="10" fillId="0" borderId="1" xfId="0" applyNumberFormat="1" applyFont="1" applyBorder="1" applyAlignment="1">
      <alignment horizontal="center" vertical="top"/>
    </xf>
    <xf numFmtId="38" fontId="10" fillId="0" borderId="1" xfId="0" applyNumberFormat="1" applyFont="1" applyFill="1" applyBorder="1" applyAlignment="1">
      <alignment vertical="top"/>
    </xf>
    <xf numFmtId="3" fontId="9" fillId="0" borderId="0" xfId="0" applyNumberFormat="1" applyFont="1" applyAlignment="1">
      <alignment vertical="top"/>
    </xf>
    <xf numFmtId="3" fontId="9" fillId="0" borderId="19" xfId="0" applyNumberFormat="1" applyFont="1" applyBorder="1" applyAlignment="1">
      <alignment vertical="top"/>
    </xf>
    <xf numFmtId="3" fontId="10" fillId="0" borderId="0" xfId="0" applyNumberFormat="1" applyFont="1" applyAlignment="1">
      <alignment vertical="top"/>
    </xf>
    <xf numFmtId="3" fontId="10" fillId="0" borderId="21" xfId="0" applyNumberFormat="1" applyFont="1" applyBorder="1" applyAlignment="1">
      <alignment vertical="top"/>
    </xf>
    <xf numFmtId="1" fontId="9" fillId="0" borderId="0" xfId="0" applyNumberFormat="1" applyFont="1" applyAlignment="1">
      <alignment vertical="top"/>
    </xf>
    <xf numFmtId="167" fontId="10" fillId="0" borderId="19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64" fontId="10" fillId="0" borderId="0" xfId="0" applyNumberFormat="1" applyFont="1" applyBorder="1" applyAlignment="1">
      <alignment horizontal="center" vertical="top" wrapText="1"/>
    </xf>
    <xf numFmtId="164" fontId="10" fillId="0" borderId="0" xfId="0" applyNumberFormat="1" applyFont="1" applyFill="1" applyAlignment="1">
      <alignment horizontal="center" vertical="top"/>
    </xf>
    <xf numFmtId="165" fontId="10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center" vertical="top" wrapText="1"/>
    </xf>
    <xf numFmtId="165" fontId="10" fillId="0" borderId="0" xfId="0" applyNumberFormat="1" applyFont="1" applyAlignment="1">
      <alignment vertical="top"/>
    </xf>
    <xf numFmtId="165" fontId="10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top"/>
    </xf>
    <xf numFmtId="40" fontId="9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1" fontId="9" fillId="0" borderId="0" xfId="0" applyNumberFormat="1" applyFont="1" applyFill="1" applyBorder="1" applyAlignment="1">
      <alignment horizontal="center" vertical="top"/>
    </xf>
    <xf numFmtId="166" fontId="10" fillId="0" borderId="0" xfId="3" applyNumberFormat="1" applyFont="1" applyFill="1" applyBorder="1" applyAlignment="1">
      <alignment horizontal="center" vertical="top"/>
    </xf>
    <xf numFmtId="38" fontId="10" fillId="0" borderId="0" xfId="0" applyNumberFormat="1" applyFont="1" applyFill="1" applyBorder="1" applyAlignment="1">
      <alignment horizontal="center" vertical="top"/>
    </xf>
    <xf numFmtId="40" fontId="10" fillId="0" borderId="0" xfId="0" applyNumberFormat="1" applyFont="1" applyFill="1" applyBorder="1" applyAlignment="1">
      <alignment vertical="top"/>
    </xf>
    <xf numFmtId="38" fontId="10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1" fontId="10" fillId="0" borderId="0" xfId="0" applyNumberFormat="1" applyFont="1" applyFill="1" applyBorder="1" applyAlignment="1">
      <alignment horizontal="center" vertical="top"/>
    </xf>
    <xf numFmtId="40" fontId="10" fillId="0" borderId="0" xfId="0" applyNumberFormat="1" applyFont="1" applyFill="1" applyBorder="1" applyAlignment="1">
      <alignment horizontal="center" vertical="top"/>
    </xf>
    <xf numFmtId="165" fontId="10" fillId="0" borderId="19" xfId="0" applyNumberFormat="1" applyFont="1" applyBorder="1" applyAlignment="1">
      <alignment vertical="top"/>
    </xf>
    <xf numFmtId="171" fontId="10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6" fontId="10" fillId="0" borderId="1" xfId="3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/>
    <xf numFmtId="0" fontId="10" fillId="0" borderId="0" xfId="0" applyFont="1" applyFill="1" applyBorder="1"/>
    <xf numFmtId="0" fontId="10" fillId="0" borderId="1" xfId="0" applyFont="1" applyBorder="1" applyAlignment="1"/>
    <xf numFmtId="17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6" fontId="10" fillId="0" borderId="1" xfId="3" applyNumberFormat="1" applyFont="1" applyBorder="1" applyAlignment="1">
      <alignment horizontal="center"/>
    </xf>
    <xf numFmtId="166" fontId="10" fillId="0" borderId="1" xfId="3" applyNumberFormat="1" applyFont="1" applyBorder="1" applyAlignment="1">
      <alignment horizontal="center" wrapText="1"/>
    </xf>
    <xf numFmtId="38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0" fontId="10" fillId="0" borderId="1" xfId="0" applyNumberFormat="1" applyFont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164" fontId="10" fillId="0" borderId="1" xfId="0" applyNumberFormat="1" applyFont="1" applyBorder="1"/>
    <xf numFmtId="164" fontId="10" fillId="0" borderId="0" xfId="0" applyNumberFormat="1" applyFont="1"/>
    <xf numFmtId="164" fontId="10" fillId="0" borderId="0" xfId="0" applyNumberFormat="1" applyFont="1" applyAlignment="1">
      <alignment horizontal="center"/>
    </xf>
    <xf numFmtId="164" fontId="9" fillId="0" borderId="0" xfId="0" applyNumberFormat="1" applyFont="1" applyFill="1" applyBorder="1"/>
    <xf numFmtId="164" fontId="9" fillId="0" borderId="0" xfId="0" applyNumberFormat="1" applyFont="1"/>
    <xf numFmtId="164" fontId="10" fillId="0" borderId="0" xfId="0" applyNumberFormat="1" applyFont="1" applyFill="1" applyBorder="1"/>
    <xf numFmtId="165" fontId="10" fillId="0" borderId="1" xfId="0" applyNumberFormat="1" applyFont="1" applyBorder="1"/>
    <xf numFmtId="0" fontId="9" fillId="0" borderId="1" xfId="0" applyFont="1" applyBorder="1" applyAlignment="1"/>
    <xf numFmtId="165" fontId="10" fillId="0" borderId="1" xfId="0" applyNumberFormat="1" applyFont="1" applyFill="1" applyBorder="1"/>
    <xf numFmtId="165" fontId="10" fillId="6" borderId="1" xfId="0" applyNumberFormat="1" applyFont="1" applyFill="1" applyBorder="1"/>
    <xf numFmtId="0" fontId="10" fillId="6" borderId="1" xfId="0" applyFont="1" applyFill="1" applyBorder="1" applyAlignment="1">
      <alignment horizontal="center"/>
    </xf>
    <xf numFmtId="166" fontId="10" fillId="6" borderId="1" xfId="3" applyNumberFormat="1" applyFont="1" applyFill="1" applyBorder="1" applyAlignment="1">
      <alignment horizontal="center"/>
    </xf>
    <xf numFmtId="0" fontId="10" fillId="6" borderId="0" xfId="0" applyFont="1" applyFill="1" applyAlignment="1">
      <alignment horizontal="center" vertical="top"/>
    </xf>
    <xf numFmtId="164" fontId="10" fillId="6" borderId="1" xfId="0" applyNumberFormat="1" applyFont="1" applyFill="1" applyBorder="1"/>
    <xf numFmtId="14" fontId="10" fillId="0" borderId="1" xfId="0" applyNumberFormat="1" applyFont="1" applyFill="1" applyBorder="1" applyAlignment="1">
      <alignment horizontal="center" vertical="top"/>
    </xf>
    <xf numFmtId="167" fontId="10" fillId="0" borderId="0" xfId="0" applyNumberFormat="1" applyFont="1" applyBorder="1" applyAlignment="1">
      <alignment vertical="top"/>
    </xf>
    <xf numFmtId="171" fontId="10" fillId="0" borderId="1" xfId="0" applyNumberFormat="1" applyFont="1" applyFill="1" applyBorder="1" applyAlignment="1">
      <alignment horizontal="right" vertical="top"/>
    </xf>
    <xf numFmtId="164" fontId="9" fillId="6" borderId="1" xfId="0" applyNumberFormat="1" applyFont="1" applyFill="1" applyBorder="1" applyAlignment="1">
      <alignment horizontal="right" vertical="top"/>
    </xf>
    <xf numFmtId="40" fontId="10" fillId="0" borderId="1" xfId="0" applyNumberFormat="1" applyFont="1" applyBorder="1" applyAlignment="1">
      <alignment horizontal="center" vertical="top" wrapText="1"/>
    </xf>
    <xf numFmtId="40" fontId="9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right" vertical="top"/>
    </xf>
    <xf numFmtId="40" fontId="10" fillId="0" borderId="1" xfId="0" applyNumberFormat="1" applyFont="1" applyFill="1" applyBorder="1" applyAlignment="1">
      <alignment horizontal="center" vertical="top"/>
    </xf>
    <xf numFmtId="165" fontId="10" fillId="0" borderId="1" xfId="0" applyNumberFormat="1" applyFont="1" applyFill="1" applyBorder="1" applyAlignment="1">
      <alignment horizontal="center" vertical="top"/>
    </xf>
    <xf numFmtId="166" fontId="9" fillId="0" borderId="0" xfId="3" applyNumberFormat="1" applyFont="1" applyAlignment="1">
      <alignment horizontal="center" vertical="top"/>
    </xf>
    <xf numFmtId="166" fontId="10" fillId="6" borderId="1" xfId="3" applyNumberFormat="1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164" fontId="9" fillId="0" borderId="0" xfId="2" applyFont="1" applyFill="1" applyAlignment="1">
      <alignment horizontal="center" vertical="top"/>
    </xf>
    <xf numFmtId="164" fontId="9" fillId="0" borderId="1" xfId="2" applyFont="1" applyFill="1" applyBorder="1" applyAlignment="1">
      <alignment horizontal="center" vertical="top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 vertical="top"/>
    </xf>
    <xf numFmtId="40" fontId="9" fillId="0" borderId="0" xfId="0" applyNumberFormat="1" applyFont="1" applyBorder="1" applyAlignment="1">
      <alignment vertical="top"/>
    </xf>
    <xf numFmtId="164" fontId="9" fillId="0" borderId="0" xfId="0" applyNumberFormat="1" applyFont="1" applyFill="1" applyBorder="1" applyAlignment="1">
      <alignment horizontal="center" vertical="top"/>
    </xf>
    <xf numFmtId="166" fontId="9" fillId="0" borderId="0" xfId="3" applyNumberFormat="1" applyFont="1" applyBorder="1" applyAlignment="1">
      <alignment horizontal="right" vertical="top"/>
    </xf>
    <xf numFmtId="167" fontId="10" fillId="0" borderId="0" xfId="0" applyNumberFormat="1" applyFont="1" applyFill="1" applyBorder="1" applyAlignment="1">
      <alignment vertical="top"/>
    </xf>
    <xf numFmtId="164" fontId="9" fillId="0" borderId="0" xfId="0" applyNumberFormat="1" applyFont="1" applyFill="1" applyAlignment="1">
      <alignment horizontal="left" vertical="top"/>
    </xf>
    <xf numFmtId="164" fontId="14" fillId="0" borderId="0" xfId="0" applyNumberFormat="1" applyFont="1" applyFill="1" applyAlignment="1">
      <alignment vertical="top"/>
    </xf>
    <xf numFmtId="0" fontId="10" fillId="0" borderId="22" xfId="0" applyFont="1" applyBorder="1" applyAlignment="1">
      <alignment vertical="top"/>
    </xf>
    <xf numFmtId="0" fontId="10" fillId="0" borderId="22" xfId="0" applyFont="1" applyBorder="1" applyAlignment="1">
      <alignment horizontal="center" vertical="top"/>
    </xf>
    <xf numFmtId="0" fontId="10" fillId="6" borderId="0" xfId="0" applyFont="1" applyFill="1" applyBorder="1" applyAlignment="1">
      <alignment vertical="top"/>
    </xf>
    <xf numFmtId="4" fontId="10" fillId="0" borderId="0" xfId="0" applyNumberFormat="1" applyFont="1" applyAlignment="1">
      <alignment horizontal="center" vertical="top"/>
    </xf>
    <xf numFmtId="4" fontId="10" fillId="0" borderId="0" xfId="0" applyNumberFormat="1" applyFont="1" applyFill="1" applyAlignment="1">
      <alignment horizontal="center" vertical="top"/>
    </xf>
    <xf numFmtId="0" fontId="9" fillId="0" borderId="17" xfId="0" applyFont="1" applyBorder="1" applyAlignment="1">
      <alignment horizontal="center" wrapText="1"/>
    </xf>
    <xf numFmtId="0" fontId="9" fillId="0" borderId="17" xfId="0" applyFont="1" applyFill="1" applyBorder="1" applyAlignment="1">
      <alignment horizontal="center" wrapText="1"/>
    </xf>
    <xf numFmtId="165" fontId="9" fillId="0" borderId="17" xfId="0" applyNumberFormat="1" applyFont="1" applyFill="1" applyBorder="1" applyAlignment="1">
      <alignment horizontal="center" wrapText="1"/>
    </xf>
    <xf numFmtId="165" fontId="9" fillId="0" borderId="17" xfId="1" applyFont="1" applyFill="1" applyBorder="1" applyAlignment="1">
      <alignment horizontal="center" wrapText="1"/>
    </xf>
    <xf numFmtId="165" fontId="9" fillId="0" borderId="17" xfId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vertical="top"/>
    </xf>
    <xf numFmtId="4" fontId="9" fillId="0" borderId="1" xfId="0" applyNumberFormat="1" applyFont="1" applyFill="1" applyBorder="1" applyAlignment="1">
      <alignment horizontal="center" vertical="top"/>
    </xf>
    <xf numFmtId="165" fontId="10" fillId="0" borderId="0" xfId="0" applyNumberFormat="1" applyFont="1"/>
    <xf numFmtId="164" fontId="9" fillId="6" borderId="1" xfId="2" applyFont="1" applyFill="1" applyBorder="1" applyAlignment="1">
      <alignment vertical="top"/>
    </xf>
    <xf numFmtId="164" fontId="10" fillId="0" borderId="21" xfId="0" applyNumberFormat="1" applyFont="1" applyBorder="1"/>
    <xf numFmtId="164" fontId="10" fillId="0" borderId="16" xfId="0" applyNumberFormat="1" applyFont="1" applyBorder="1"/>
    <xf numFmtId="167" fontId="10" fillId="0" borderId="0" xfId="0" applyNumberFormat="1" applyFont="1" applyFill="1"/>
    <xf numFmtId="0" fontId="9" fillId="0" borderId="0" xfId="0" applyFont="1" applyFill="1" applyAlignment="1">
      <alignment horizontal="left" vertical="top"/>
    </xf>
    <xf numFmtId="165" fontId="10" fillId="8" borderId="1" xfId="0" applyNumberFormat="1" applyFont="1" applyFill="1" applyBorder="1" applyAlignment="1">
      <alignment vertical="top"/>
    </xf>
    <xf numFmtId="164" fontId="10" fillId="0" borderId="1" xfId="2" applyFont="1" applyBorder="1" applyAlignment="1">
      <alignment vertical="top"/>
    </xf>
    <xf numFmtId="164" fontId="9" fillId="6" borderId="0" xfId="0" applyNumberFormat="1" applyFont="1" applyFill="1" applyAlignment="1">
      <alignment vertical="top"/>
    </xf>
    <xf numFmtId="38" fontId="10" fillId="6" borderId="1" xfId="0" applyNumberFormat="1" applyFont="1" applyFill="1" applyBorder="1" applyAlignment="1">
      <alignment horizontal="center" vertical="top"/>
    </xf>
    <xf numFmtId="164" fontId="10" fillId="6" borderId="1" xfId="0" applyNumberFormat="1" applyFont="1" applyFill="1" applyBorder="1" applyAlignment="1">
      <alignment vertical="top"/>
    </xf>
    <xf numFmtId="164" fontId="9" fillId="6" borderId="0" xfId="0" applyNumberFormat="1" applyFont="1" applyFill="1" applyBorder="1" applyAlignment="1">
      <alignment horizontal="right" vertical="top"/>
    </xf>
    <xf numFmtId="0" fontId="10" fillId="0" borderId="0" xfId="0" applyFont="1" applyFill="1" applyAlignment="1">
      <alignment horizontal="left" vertical="top"/>
    </xf>
    <xf numFmtId="164" fontId="9" fillId="6" borderId="0" xfId="0" applyNumberFormat="1" applyFont="1" applyFill="1"/>
    <xf numFmtId="0" fontId="10" fillId="0" borderId="0" xfId="0" applyFont="1" applyFill="1" applyAlignment="1">
      <alignment horizontal="center"/>
    </xf>
    <xf numFmtId="165" fontId="10" fillId="0" borderId="20" xfId="1" applyFont="1" applyBorder="1" applyAlignment="1">
      <alignment vertical="top"/>
    </xf>
    <xf numFmtId="165" fontId="10" fillId="0" borderId="0" xfId="1" applyFont="1" applyBorder="1" applyAlignment="1">
      <alignment vertical="top"/>
    </xf>
    <xf numFmtId="10" fontId="10" fillId="0" borderId="13" xfId="3" applyNumberFormat="1" applyFont="1" applyBorder="1" applyAlignment="1">
      <alignment vertical="top"/>
    </xf>
    <xf numFmtId="10" fontId="10" fillId="0" borderId="15" xfId="3" applyNumberFormat="1" applyFont="1" applyBorder="1" applyAlignment="1">
      <alignment vertical="top"/>
    </xf>
    <xf numFmtId="164" fontId="10" fillId="0" borderId="0" xfId="2" applyFont="1" applyBorder="1" applyAlignment="1">
      <alignment vertical="top"/>
    </xf>
    <xf numFmtId="164" fontId="10" fillId="0" borderId="16" xfId="2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6" borderId="0" xfId="0" applyFont="1" applyFill="1" applyAlignment="1">
      <alignment horizontal="left"/>
    </xf>
    <xf numFmtId="165" fontId="10" fillId="9" borderId="1" xfId="0" applyNumberFormat="1" applyFont="1" applyFill="1" applyBorder="1" applyAlignment="1">
      <alignment vertical="top"/>
    </xf>
    <xf numFmtId="165" fontId="10" fillId="10" borderId="1" xfId="0" applyNumberFormat="1" applyFont="1" applyFill="1" applyBorder="1" applyAlignment="1">
      <alignment vertical="top"/>
    </xf>
    <xf numFmtId="43" fontId="10" fillId="0" borderId="0" xfId="0" applyNumberFormat="1" applyFont="1" applyAlignment="1">
      <alignment vertical="top"/>
    </xf>
    <xf numFmtId="165" fontId="9" fillId="11" borderId="1" xfId="0" applyNumberFormat="1" applyFont="1" applyFill="1" applyBorder="1" applyAlignment="1">
      <alignment vertical="top"/>
    </xf>
    <xf numFmtId="165" fontId="10" fillId="11" borderId="1" xfId="0" applyNumberFormat="1" applyFont="1" applyFill="1" applyBorder="1" applyAlignment="1">
      <alignment vertical="top"/>
    </xf>
    <xf numFmtId="44" fontId="10" fillId="0" borderId="0" xfId="0" applyNumberFormat="1" applyFont="1" applyAlignment="1">
      <alignment vertical="top"/>
    </xf>
    <xf numFmtId="44" fontId="9" fillId="0" borderId="0" xfId="0" applyNumberFormat="1" applyFont="1" applyAlignment="1">
      <alignment vertical="top"/>
    </xf>
    <xf numFmtId="9" fontId="10" fillId="0" borderId="0" xfId="3" applyFont="1" applyAlignment="1">
      <alignment vertical="top"/>
    </xf>
    <xf numFmtId="166" fontId="10" fillId="0" borderId="0" xfId="3" applyNumberFormat="1" applyFont="1" applyAlignment="1">
      <alignment vertical="top"/>
    </xf>
    <xf numFmtId="38" fontId="9" fillId="0" borderId="0" xfId="0" applyNumberFormat="1" applyFont="1" applyAlignment="1">
      <alignment vertical="top"/>
    </xf>
    <xf numFmtId="0" fontId="2" fillId="0" borderId="0" xfId="0" applyFont="1"/>
    <xf numFmtId="172" fontId="10" fillId="0" borderId="0" xfId="1" applyNumberFormat="1" applyFont="1" applyAlignment="1">
      <alignment vertical="top"/>
    </xf>
    <xf numFmtId="172" fontId="10" fillId="0" borderId="0" xfId="0" applyNumberFormat="1" applyFont="1" applyAlignment="1">
      <alignment vertical="top"/>
    </xf>
    <xf numFmtId="43" fontId="9" fillId="0" borderId="0" xfId="0" applyNumberFormat="1" applyFont="1" applyAlignment="1">
      <alignment vertical="top"/>
    </xf>
    <xf numFmtId="166" fontId="0" fillId="0" borderId="0" xfId="3" applyNumberFormat="1" applyFont="1"/>
    <xf numFmtId="38" fontId="0" fillId="0" borderId="0" xfId="0" applyNumberFormat="1"/>
    <xf numFmtId="0" fontId="9" fillId="0" borderId="0" xfId="0" applyFont="1" applyFill="1" applyBorder="1" applyAlignment="1">
      <alignment horizontal="center" wrapText="1"/>
    </xf>
    <xf numFmtId="166" fontId="10" fillId="0" borderId="0" xfId="3" applyNumberFormat="1" applyFont="1" applyBorder="1" applyAlignment="1">
      <alignment horizontal="center" vertical="top"/>
    </xf>
    <xf numFmtId="38" fontId="10" fillId="0" borderId="0" xfId="0" applyNumberFormat="1" applyFont="1" applyBorder="1" applyAlignment="1">
      <alignment horizontal="center" vertical="top"/>
    </xf>
    <xf numFmtId="166" fontId="10" fillId="0" borderId="0" xfId="3" applyNumberFormat="1" applyFont="1"/>
    <xf numFmtId="166" fontId="10" fillId="0" borderId="0" xfId="0" applyNumberFormat="1" applyFont="1"/>
    <xf numFmtId="38" fontId="10" fillId="0" borderId="0" xfId="0" applyNumberFormat="1" applyFont="1"/>
    <xf numFmtId="166" fontId="10" fillId="0" borderId="0" xfId="0" applyNumberFormat="1" applyFont="1" applyAlignment="1">
      <alignment vertical="top"/>
    </xf>
    <xf numFmtId="164" fontId="9" fillId="0" borderId="0" xfId="0" applyNumberFormat="1" applyFont="1" applyAlignment="1">
      <alignment horizontal="center" vertical="top" wrapText="1"/>
    </xf>
    <xf numFmtId="165" fontId="0" fillId="0" borderId="0" xfId="1" applyFont="1"/>
    <xf numFmtId="165" fontId="0" fillId="0" borderId="0" xfId="0" applyNumberFormat="1"/>
    <xf numFmtId="165" fontId="10" fillId="0" borderId="0" xfId="1" applyFont="1" applyBorder="1" applyAlignment="1">
      <alignment horizontal="center" vertical="top"/>
    </xf>
    <xf numFmtId="173" fontId="10" fillId="0" borderId="0" xfId="0" applyNumberFormat="1" applyFont="1" applyBorder="1" applyAlignment="1">
      <alignment horizontal="center" vertical="top"/>
    </xf>
    <xf numFmtId="172" fontId="9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10" fontId="9" fillId="0" borderId="0" xfId="0" applyNumberFormat="1" applyFont="1" applyAlignment="1">
      <alignment vertical="top"/>
    </xf>
    <xf numFmtId="38" fontId="9" fillId="0" borderId="0" xfId="0" applyNumberFormat="1" applyFont="1" applyAlignment="1">
      <alignment horizontal="center" vertical="top"/>
    </xf>
    <xf numFmtId="165" fontId="9" fillId="0" borderId="0" xfId="1" applyFont="1" applyAlignment="1">
      <alignment vertical="top"/>
    </xf>
    <xf numFmtId="0" fontId="10" fillId="0" borderId="0" xfId="0" applyFont="1" applyFill="1" applyAlignment="1">
      <alignment horizontal="center" wrapText="1"/>
    </xf>
    <xf numFmtId="164" fontId="9" fillId="0" borderId="0" xfId="0" applyNumberFormat="1" applyFont="1" applyFill="1"/>
    <xf numFmtId="40" fontId="10" fillId="0" borderId="0" xfId="0" applyNumberFormat="1" applyFont="1" applyFill="1" applyAlignment="1">
      <alignment horizontal="left" vertical="top"/>
    </xf>
    <xf numFmtId="0" fontId="9" fillId="6" borderId="0" xfId="0" applyFont="1" applyFill="1" applyBorder="1" applyAlignment="1">
      <alignment horizontal="left" vertical="top"/>
    </xf>
    <xf numFmtId="9" fontId="10" fillId="0" borderId="1" xfId="3" applyFont="1" applyFill="1" applyBorder="1" applyAlignment="1">
      <alignment horizontal="center" vertical="top"/>
    </xf>
    <xf numFmtId="0" fontId="16" fillId="0" borderId="0" xfId="4" applyFont="1" applyAlignment="1">
      <alignment horizontal="left"/>
    </xf>
    <xf numFmtId="0" fontId="16" fillId="0" borderId="0" xfId="4" applyFont="1"/>
    <xf numFmtId="0" fontId="1" fillId="0" borderId="0" xfId="4"/>
    <xf numFmtId="49" fontId="1" fillId="0" borderId="0" xfId="4" applyNumberFormat="1" applyAlignment="1">
      <alignment horizontal="left"/>
    </xf>
    <xf numFmtId="174" fontId="1" fillId="0" borderId="0" xfId="4" applyNumberFormat="1"/>
    <xf numFmtId="1" fontId="1" fillId="6" borderId="0" xfId="4" applyNumberFormat="1" applyFill="1"/>
    <xf numFmtId="10" fontId="0" fillId="0" borderId="0" xfId="5" applyNumberFormat="1" applyFont="1"/>
    <xf numFmtId="1" fontId="16" fillId="0" borderId="0" xfId="4" applyNumberFormat="1" applyFont="1" applyAlignment="1">
      <alignment horizontal="center"/>
    </xf>
    <xf numFmtId="1" fontId="1" fillId="0" borderId="0" xfId="4" applyNumberFormat="1"/>
    <xf numFmtId="1" fontId="1" fillId="0" borderId="0" xfId="4" applyNumberFormat="1" applyAlignment="1">
      <alignment horizontal="center"/>
    </xf>
    <xf numFmtId="0" fontId="16" fillId="0" borderId="0" xfId="4" applyFont="1" applyAlignment="1">
      <alignment horizontal="left" wrapText="1"/>
    </xf>
    <xf numFmtId="1" fontId="17" fillId="0" borderId="0" xfId="4" applyNumberFormat="1" applyFont="1" applyAlignment="1">
      <alignment horizontal="center"/>
    </xf>
    <xf numFmtId="0" fontId="17" fillId="0" borderId="0" xfId="4" applyFont="1" applyAlignment="1">
      <alignment horizontal="left" wrapText="1"/>
    </xf>
    <xf numFmtId="1" fontId="17" fillId="0" borderId="0" xfId="4" applyNumberFormat="1" applyFont="1"/>
    <xf numFmtId="10" fontId="17" fillId="0" borderId="0" xfId="5" applyNumberFormat="1" applyFont="1"/>
    <xf numFmtId="174" fontId="17" fillId="0" borderId="0" xfId="4" applyNumberFormat="1" applyFont="1"/>
    <xf numFmtId="0" fontId="17" fillId="0" borderId="0" xfId="4" applyFont="1"/>
    <xf numFmtId="174" fontId="1" fillId="6" borderId="0" xfId="4" applyNumberFormat="1" applyFill="1"/>
    <xf numFmtId="43" fontId="0" fillId="0" borderId="0" xfId="6" applyFont="1"/>
    <xf numFmtId="43" fontId="1" fillId="0" borderId="0" xfId="4" applyNumberFormat="1"/>
    <xf numFmtId="164" fontId="10" fillId="0" borderId="0" xfId="2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/>
    <xf numFmtId="165" fontId="10" fillId="0" borderId="16" xfId="0" applyNumberFormat="1" applyFont="1" applyFill="1" applyBorder="1"/>
  </cellXfs>
  <cellStyles count="7">
    <cellStyle name="Comma" xfId="1" builtinId="3"/>
    <cellStyle name="Comma 2" xfId="6"/>
    <cellStyle name="Currency" xfId="2" builtinId="4"/>
    <cellStyle name="Normal" xfId="0" builtinId="0"/>
    <cellStyle name="Normal 2" xfId="4"/>
    <cellStyle name="Percent" xfId="3" builtinId="5"/>
    <cellStyle name="Percent 2" xfId="5"/>
  </cellStyles>
  <dxfs count="0"/>
  <tableStyles count="0" defaultTableStyle="TableStyleMedium9" defaultPivotStyle="PivotStyleLight16"/>
  <colors>
    <mruColors>
      <color rgb="FFCCFFCC"/>
      <color rgb="FF66CCFF"/>
      <color rgb="FFFFCCFF"/>
      <color rgb="FFFFCC99"/>
      <color rgb="FFCCECFF"/>
      <color rgb="FFFF99CC"/>
      <color rgb="FFFFFF99"/>
      <color rgb="FFFFFFCC"/>
      <color rgb="FFCC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topLeftCell="A16" zoomScaleNormal="100" workbookViewId="0">
      <selection activeCell="C39" sqref="C39"/>
    </sheetView>
  </sheetViews>
  <sheetFormatPr defaultColWidth="9.140625" defaultRowHeight="12.75" x14ac:dyDescent="0.2"/>
  <cols>
    <col min="1" max="1" width="33.140625" style="69" customWidth="1"/>
    <col min="2" max="2" width="20" style="69" bestFit="1" customWidth="1"/>
    <col min="3" max="3" width="13.28515625" style="70" bestFit="1" customWidth="1"/>
    <col min="4" max="4" width="11" style="69" bestFit="1" customWidth="1"/>
    <col min="5" max="5" width="9.7109375" style="69" bestFit="1" customWidth="1"/>
    <col min="6" max="7" width="10.7109375" style="69" bestFit="1" customWidth="1"/>
    <col min="8" max="16384" width="9.140625" style="69"/>
  </cols>
  <sheetData>
    <row r="1" spans="1:4" x14ac:dyDescent="0.2">
      <c r="A1" s="158" t="s">
        <v>102</v>
      </c>
      <c r="B1" s="68"/>
      <c r="C1" s="370"/>
    </row>
    <row r="2" spans="1:4" x14ac:dyDescent="0.2">
      <c r="A2" s="192" t="s">
        <v>147</v>
      </c>
    </row>
    <row r="3" spans="1:4" x14ac:dyDescent="0.2">
      <c r="A3" s="192">
        <v>2011</v>
      </c>
    </row>
    <row r="4" spans="1:4" x14ac:dyDescent="0.2">
      <c r="A4" s="192"/>
    </row>
    <row r="5" spans="1:4" x14ac:dyDescent="0.2">
      <c r="C5" s="71"/>
    </row>
    <row r="6" spans="1:4" x14ac:dyDescent="0.2">
      <c r="B6" s="72" t="s">
        <v>94</v>
      </c>
      <c r="C6" s="72" t="s">
        <v>298</v>
      </c>
    </row>
    <row r="7" spans="1:4" x14ac:dyDescent="0.2">
      <c r="B7" s="72" t="s">
        <v>93</v>
      </c>
      <c r="C7" s="73" t="s">
        <v>299</v>
      </c>
    </row>
    <row r="8" spans="1:4" x14ac:dyDescent="0.2">
      <c r="A8" s="69" t="str">
        <f>+'1806'!A3</f>
        <v>LAND RIGHTS/RIGHT OF WAY</v>
      </c>
      <c r="B8" s="301" t="str">
        <f>+'1806'!B4</f>
        <v>20.0100.1806.0000.000</v>
      </c>
      <c r="C8" s="448">
        <v>0</v>
      </c>
      <c r="D8" s="449"/>
    </row>
    <row r="9" spans="1:4" x14ac:dyDescent="0.2">
      <c r="A9" s="69" t="str">
        <f>+'1820'!A3</f>
        <v>DISTRIBUTION STATION EQUIPMENT</v>
      </c>
      <c r="B9" s="301" t="str">
        <f>+'1820'!B4</f>
        <v>20.0100.1820.1000.000</v>
      </c>
      <c r="C9" s="449">
        <f>+'1820'!L21</f>
        <v>4668.9426666666623</v>
      </c>
      <c r="D9" s="449"/>
    </row>
    <row r="10" spans="1:4" x14ac:dyDescent="0.2">
      <c r="A10" s="69" t="str">
        <f>+'1830'!A3</f>
        <v>POLES, TOWERS &amp; FIXTURES</v>
      </c>
      <c r="B10" s="301" t="str">
        <f>+'1830'!B4</f>
        <v>20.0100.1830.0000.000</v>
      </c>
      <c r="C10" s="449">
        <f>+'1830'!K48</f>
        <v>307976.05861106614</v>
      </c>
      <c r="D10" s="449"/>
    </row>
    <row r="11" spans="1:4" x14ac:dyDescent="0.2">
      <c r="A11" s="69" t="str">
        <f>+'1835'!A3</f>
        <v>OVERHEAD CONDUCTORS &amp; DEVICES</v>
      </c>
      <c r="B11" s="301" t="str">
        <f>+'1835'!B4</f>
        <v>20.0100.1835.0000.000</v>
      </c>
      <c r="C11" s="449">
        <f>+'1835'!K24</f>
        <v>287474.97753904603</v>
      </c>
      <c r="D11" s="449"/>
    </row>
    <row r="12" spans="1:4" x14ac:dyDescent="0.2">
      <c r="A12" s="69" t="str">
        <f>+'1840'!A3</f>
        <v>UNDERGROUND CONDUIT</v>
      </c>
      <c r="B12" s="301" t="str">
        <f>+'1840'!B4</f>
        <v>20.0100.1840.0000.000</v>
      </c>
      <c r="C12" s="449">
        <f>+'1840'!K49</f>
        <v>148543.90059999996</v>
      </c>
      <c r="D12" s="449"/>
    </row>
    <row r="13" spans="1:4" x14ac:dyDescent="0.2">
      <c r="A13" s="69" t="str">
        <f>+'1845'!A3</f>
        <v>UNDERGROUND CONDUCTORS &amp; DEVICES</v>
      </c>
      <c r="B13" s="301" t="str">
        <f>+'1845'!B4</f>
        <v>20.0100.1845.0000.000</v>
      </c>
      <c r="C13" s="449">
        <f>+'1845'!K26</f>
        <v>314817.60419999994</v>
      </c>
      <c r="D13" s="449"/>
    </row>
    <row r="14" spans="1:4" x14ac:dyDescent="0.2">
      <c r="A14" s="69" t="str">
        <f>+'1850.1000'!A3</f>
        <v>UNDERGROUND TRANSFORMERS</v>
      </c>
      <c r="B14" s="301" t="str">
        <f>+'1850.1000'!B4</f>
        <v>20.0100.1850.1000.000</v>
      </c>
      <c r="C14" s="449">
        <f>+'1850.1000'!K17</f>
        <v>74110.394799999995</v>
      </c>
      <c r="D14" s="449"/>
    </row>
    <row r="15" spans="1:4" x14ac:dyDescent="0.2">
      <c r="A15" s="69" t="str">
        <f>+'1850.2000'!A3</f>
        <v>OVERHEAD TRANSFORMERS</v>
      </c>
      <c r="B15" s="301" t="str">
        <f>+'1850.2000'!B4</f>
        <v>20.0100.1850.2000.000</v>
      </c>
      <c r="C15" s="449">
        <f>+'1850.2000'!K44</f>
        <v>260750.16160000002</v>
      </c>
      <c r="D15" s="449"/>
    </row>
    <row r="16" spans="1:4" x14ac:dyDescent="0.2">
      <c r="A16" s="69" t="str">
        <f>+'1855.1000'!A3</f>
        <v>OVERHEAD SERVICES</v>
      </c>
      <c r="B16" s="301" t="str">
        <f>+'1855.1000'!B4</f>
        <v>20.0100.1855.1000.000</v>
      </c>
      <c r="C16" s="449">
        <f>+'1855.1000'!K24</f>
        <v>150211.1998030442</v>
      </c>
      <c r="D16" s="449"/>
    </row>
    <row r="17" spans="1:7" x14ac:dyDescent="0.2">
      <c r="A17" s="69" t="str">
        <f>+'1855.2000'!A3</f>
        <v>UNDERGROUND SERVICES</v>
      </c>
      <c r="B17" s="301" t="str">
        <f>+'1855.2000'!B4</f>
        <v>20.0100.1855.2000.000</v>
      </c>
      <c r="C17" s="450">
        <f>+'1855.2000'!K17</f>
        <v>47343.047200000001</v>
      </c>
      <c r="D17" s="449"/>
    </row>
    <row r="18" spans="1:7" x14ac:dyDescent="0.2">
      <c r="A18" s="69" t="str">
        <f>+'1860.1000'!A3</f>
        <v>METERS - STRANDED</v>
      </c>
      <c r="B18" s="301" t="str">
        <f>+'1860.1000'!B4</f>
        <v>20.0100.1860.1000.000</v>
      </c>
      <c r="C18" s="450">
        <f>+'1860.1000'!K44</f>
        <v>66603.376800000013</v>
      </c>
      <c r="D18" s="449"/>
      <c r="E18" s="74"/>
      <c r="F18" s="74"/>
      <c r="G18" s="74"/>
    </row>
    <row r="19" spans="1:7" x14ac:dyDescent="0.2">
      <c r="A19" s="69" t="s">
        <v>316</v>
      </c>
      <c r="B19" s="301" t="s">
        <v>317</v>
      </c>
      <c r="C19" s="450">
        <f>+'1860.1500'!L12</f>
        <v>571776.51466666674</v>
      </c>
      <c r="D19" s="449"/>
      <c r="E19" s="74"/>
      <c r="F19" s="74"/>
      <c r="G19" s="74"/>
    </row>
    <row r="20" spans="1:7" x14ac:dyDescent="0.2">
      <c r="A20" s="69" t="str">
        <f>+'1860.2000'!A3</f>
        <v>METERS - INTERVAL</v>
      </c>
      <c r="B20" s="301" t="str">
        <f>+'1860.2000'!B4</f>
        <v>20.0100.1860.2000.000</v>
      </c>
      <c r="C20" s="450">
        <f>+'1860.2000'!K17</f>
        <v>3750.2143999999998</v>
      </c>
      <c r="D20" s="449"/>
      <c r="E20" s="74"/>
      <c r="F20" s="74"/>
      <c r="G20" s="74"/>
    </row>
    <row r="21" spans="1:7" x14ac:dyDescent="0.2">
      <c r="A21" s="69" t="str">
        <f>+'1860.3000'!A3</f>
        <v>METERS - WHOLESALE</v>
      </c>
      <c r="B21" s="301" t="str">
        <f>+'1860.3000'!B4</f>
        <v>20.0100.1860.3000.000</v>
      </c>
      <c r="C21" s="450">
        <f>+'1860.3000'!K14</f>
        <v>2944.7511999999997</v>
      </c>
      <c r="D21" s="449"/>
      <c r="E21" s="74"/>
      <c r="F21" s="74"/>
      <c r="G21" s="74"/>
    </row>
    <row r="22" spans="1:7" x14ac:dyDescent="0.2">
      <c r="A22" s="69" t="str">
        <f>+'1905'!A3</f>
        <v>LAND - GENERAL PLANT</v>
      </c>
      <c r="B22" s="301" t="str">
        <f>+'1905'!B4</f>
        <v>20.0100.1905.0000.000</v>
      </c>
      <c r="C22" s="450">
        <v>0</v>
      </c>
      <c r="D22" s="449"/>
      <c r="E22" s="74"/>
      <c r="F22" s="74"/>
      <c r="G22" s="74"/>
    </row>
    <row r="23" spans="1:7" x14ac:dyDescent="0.2">
      <c r="A23" s="69" t="str">
        <f>+'1908'!A3</f>
        <v>BUILDING &amp; FIXTURES - GENERAL PLANT</v>
      </c>
      <c r="B23" s="301" t="str">
        <f>+'1908'!B4</f>
        <v>20.0100.1908.0000.000</v>
      </c>
      <c r="C23" s="450">
        <f>+'1908'!L19</f>
        <v>49632.806266666659</v>
      </c>
      <c r="D23" s="449"/>
    </row>
    <row r="24" spans="1:7" x14ac:dyDescent="0.2">
      <c r="A24" s="69" t="str">
        <f>+'1908.1000'!A3</f>
        <v>SECURITY SYSTEM - GENERAL PLANT</v>
      </c>
      <c r="B24" s="301" t="str">
        <f>+'1908.1000'!B4</f>
        <v>20.0100.1908.1000.000</v>
      </c>
      <c r="C24" s="450">
        <f>+'1908.1000'!L12</f>
        <v>1549.3240000000001</v>
      </c>
      <c r="D24" s="449"/>
    </row>
    <row r="25" spans="1:7" x14ac:dyDescent="0.2">
      <c r="A25" s="69" t="str">
        <f>+'1915'!A3</f>
        <v>OFFICE FURNITURE &amp; EQUIPMENT</v>
      </c>
      <c r="B25" s="301" t="str">
        <f>+'1915'!B4</f>
        <v>20.0100.1915.0000.000</v>
      </c>
      <c r="C25" s="450">
        <f>+'1915'!N11</f>
        <v>7193.6289999999999</v>
      </c>
      <c r="D25" s="449"/>
    </row>
    <row r="26" spans="1:7" x14ac:dyDescent="0.2">
      <c r="A26" s="69" t="str">
        <f>+'1920'!A3</f>
        <v>COMPUTER HARDWARE</v>
      </c>
      <c r="B26" s="301" t="str">
        <f>+'1920'!B4</f>
        <v>20.0100.1920.0000.000</v>
      </c>
      <c r="C26" s="450">
        <f>+'1920'!O29</f>
        <v>40378.550000000003</v>
      </c>
      <c r="D26" s="449"/>
    </row>
    <row r="27" spans="1:7" x14ac:dyDescent="0.2">
      <c r="A27" s="69" t="str">
        <f>+'1925'!A3</f>
        <v>COMPUTER SOFTWARE</v>
      </c>
      <c r="B27" s="301" t="str">
        <f>+'1925'!B4</f>
        <v>20.0100.1925.0000.000</v>
      </c>
      <c r="C27" s="450">
        <f>+'1925'!N18</f>
        <v>97936.069999999992</v>
      </c>
      <c r="D27" s="449"/>
    </row>
    <row r="28" spans="1:7" x14ac:dyDescent="0.2">
      <c r="A28" s="69" t="str">
        <f>+'1930'!A1</f>
        <v>Transportation Equipment</v>
      </c>
      <c r="B28" s="301" t="s">
        <v>114</v>
      </c>
      <c r="C28" s="450">
        <f>+'1930'!U14</f>
        <v>136811.04</v>
      </c>
      <c r="D28" s="449"/>
    </row>
    <row r="29" spans="1:7" x14ac:dyDescent="0.2">
      <c r="A29" s="69" t="str">
        <f>+'1940'!A3</f>
        <v>TOOLS &amp; EQUIPMENT</v>
      </c>
      <c r="B29" s="301" t="str">
        <f>+'1940'!B4</f>
        <v>20.0100.1940.0000.000</v>
      </c>
      <c r="C29" s="450">
        <f>+'1940'!N23</f>
        <v>43345.890000000007</v>
      </c>
      <c r="D29" s="449"/>
    </row>
    <row r="30" spans="1:7" x14ac:dyDescent="0.2">
      <c r="A30" s="69" t="str">
        <f>+'1955'!A3</f>
        <v>COMMUNICATIONS EQUIPMENT</v>
      </c>
      <c r="B30" s="301" t="str">
        <f>+'1955'!B4</f>
        <v>20.0100.1955.0000.000</v>
      </c>
      <c r="C30" s="450">
        <f>+'1955'!M23</f>
        <v>2493.1540000000005</v>
      </c>
      <c r="D30" s="449"/>
    </row>
    <row r="31" spans="1:7" x14ac:dyDescent="0.2">
      <c r="A31" s="69" t="str">
        <f>+'1960.1000'!A3</f>
        <v>MOBILE SUBSTATION</v>
      </c>
      <c r="B31" s="301" t="str">
        <f>+'1960.1000'!B4</f>
        <v>20.0100.1960.1000.000</v>
      </c>
      <c r="C31" s="450">
        <f>+'1960.1000'!N13</f>
        <v>13333.333333333334</v>
      </c>
      <c r="D31" s="449"/>
    </row>
    <row r="32" spans="1:7" x14ac:dyDescent="0.2">
      <c r="A32" s="69" t="str">
        <f>+'1980'!A3</f>
        <v>SYSTEM SUPERVISORY EQUIPMENT</v>
      </c>
      <c r="B32" s="301" t="str">
        <f>+'1980'!B4</f>
        <v>20.0100.1980.0000.000</v>
      </c>
      <c r="C32" s="450">
        <f>+'1980'!L17</f>
        <v>5261.3160000000007</v>
      </c>
      <c r="D32" s="449"/>
    </row>
    <row r="33" spans="1:4" x14ac:dyDescent="0.2">
      <c r="A33" s="69" t="str">
        <f>+'1980-b'!A3</f>
        <v>SYSTEM SUPERVISORY EQUIPMENT</v>
      </c>
      <c r="B33" s="301" t="str">
        <f>+'1980-b'!B4</f>
        <v>20.0100.1980.1000.000</v>
      </c>
      <c r="C33" s="451">
        <f>+'1980-b'!K17</f>
        <v>26527.168000000001</v>
      </c>
      <c r="D33" s="449"/>
    </row>
    <row r="34" spans="1:4" x14ac:dyDescent="0.2">
      <c r="B34" s="301"/>
      <c r="C34" s="366"/>
    </row>
    <row r="35" spans="1:4" x14ac:dyDescent="0.2">
      <c r="A35" s="69" t="s">
        <v>100</v>
      </c>
      <c r="B35" s="301" t="str">
        <f>+'1820'!M2</f>
        <v>20.0900.5705.0000.000</v>
      </c>
      <c r="C35" s="319">
        <f>SUM(C8:C34)</f>
        <v>2665433.4246864901</v>
      </c>
    </row>
    <row r="36" spans="1:4" x14ac:dyDescent="0.2">
      <c r="B36" s="301"/>
      <c r="C36" s="366"/>
    </row>
    <row r="37" spans="1:4" x14ac:dyDescent="0.2">
      <c r="A37" s="69" t="str">
        <f>+'1995'!A3</f>
        <v>CONTRIBUTED CAPITAL</v>
      </c>
      <c r="B37" s="301" t="str">
        <f>+'1995'!B4</f>
        <v>20.0100.1995.0000.000</v>
      </c>
      <c r="C37" s="369">
        <f>-'1995'!K23</f>
        <v>-300061.63960000005</v>
      </c>
    </row>
    <row r="38" spans="1:4" x14ac:dyDescent="0.2">
      <c r="B38" s="301"/>
      <c r="C38" s="366"/>
    </row>
    <row r="39" spans="1:4" ht="13.5" thickBot="1" x14ac:dyDescent="0.25">
      <c r="A39" s="69" t="s">
        <v>297</v>
      </c>
      <c r="B39" s="301"/>
      <c r="C39" s="368">
        <f>SUM(C35:C38)</f>
        <v>2365371.7850864902</v>
      </c>
    </row>
    <row r="40" spans="1:4" ht="13.5" thickTop="1" x14ac:dyDescent="0.2">
      <c r="B40" s="301"/>
    </row>
    <row r="41" spans="1:4" x14ac:dyDescent="0.2">
      <c r="B41" s="301"/>
    </row>
    <row r="42" spans="1:4" x14ac:dyDescent="0.2">
      <c r="B42" s="301"/>
    </row>
    <row r="43" spans="1:4" x14ac:dyDescent="0.2">
      <c r="B43" s="301"/>
    </row>
  </sheetData>
  <phoneticPr fontId="8" type="noConversion"/>
  <printOptions horizontalCentered="1"/>
  <pageMargins left="0.39370078740157483" right="0.39370078740157483" top="0.78740157480314965" bottom="0.78740157480314965" header="0" footer="0.39370078740157483"/>
  <pageSetup scale="97" orientation="landscape" r:id="rId1"/>
  <headerFooter alignWithMargins="0">
    <oddFooter>&amp;L&amp;"Calibri,Regular"&amp;D&amp;C&amp;"Calibri,Regular"Page &amp;P of &amp;N&amp;R&amp;"Calibri,Regular"&amp;F
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opLeftCell="A9" workbookViewId="0">
      <selection activeCell="D26" sqref="D26:H32"/>
    </sheetView>
  </sheetViews>
  <sheetFormatPr defaultRowHeight="12.75" x14ac:dyDescent="0.2"/>
  <cols>
    <col min="1" max="1" width="19.85546875" customWidth="1"/>
    <col min="2" max="2" width="10.42578125" customWidth="1"/>
    <col min="3" max="3" width="9" bestFit="1" customWidth="1"/>
    <col min="4" max="4" width="5.85546875" customWidth="1"/>
    <col min="5" max="5" width="10.140625" customWidth="1"/>
    <col min="6" max="6" width="7.28515625" bestFit="1" customWidth="1"/>
    <col min="7" max="7" width="13.5703125" bestFit="1" customWidth="1"/>
    <col min="8" max="8" width="7.42578125" bestFit="1" customWidth="1"/>
    <col min="9" max="9" width="10.140625" bestFit="1" customWidth="1"/>
    <col min="10" max="10" width="10.42578125" customWidth="1"/>
    <col min="11" max="11" width="12" bestFit="1" customWidth="1"/>
    <col min="12" max="12" width="13.5703125" bestFit="1" customWidth="1"/>
    <col min="13" max="13" width="12.7109375" customWidth="1"/>
    <col min="14" max="14" width="10.5703125" bestFit="1" customWidth="1"/>
    <col min="19" max="19" width="14" bestFit="1" customWidth="1"/>
  </cols>
  <sheetData>
    <row r="1" spans="1:19" x14ac:dyDescent="0.2">
      <c r="A1" s="147" t="s">
        <v>102</v>
      </c>
    </row>
    <row r="2" spans="1:19" x14ac:dyDescent="0.2">
      <c r="A2" s="81" t="s">
        <v>0</v>
      </c>
      <c r="J2" s="97" t="s">
        <v>103</v>
      </c>
      <c r="K2" s="77"/>
      <c r="L2" s="77"/>
      <c r="M2" s="371" t="s">
        <v>104</v>
      </c>
      <c r="N2" s="79"/>
    </row>
    <row r="3" spans="1:19" x14ac:dyDescent="0.2">
      <c r="A3" s="81" t="s">
        <v>164</v>
      </c>
      <c r="J3" s="97"/>
      <c r="K3" s="77"/>
      <c r="L3" s="77"/>
      <c r="M3" s="77"/>
      <c r="N3" s="79"/>
    </row>
    <row r="4" spans="1:19" x14ac:dyDescent="0.2">
      <c r="A4" s="192" t="s">
        <v>113</v>
      </c>
      <c r="B4" s="371" t="s">
        <v>165</v>
      </c>
      <c r="J4" s="194" t="s">
        <v>92</v>
      </c>
      <c r="K4" s="77"/>
      <c r="L4" s="77"/>
      <c r="M4" s="371" t="s">
        <v>167</v>
      </c>
      <c r="N4" s="79"/>
    </row>
    <row r="5" spans="1:19" x14ac:dyDescent="0.2">
      <c r="A5" s="81"/>
      <c r="B5" s="76"/>
    </row>
    <row r="6" spans="1:19" x14ac:dyDescent="0.2">
      <c r="A6" s="81" t="s">
        <v>1</v>
      </c>
      <c r="B6" s="188">
        <v>2012</v>
      </c>
      <c r="R6" t="s">
        <v>308</v>
      </c>
      <c r="S6" t="s">
        <v>297</v>
      </c>
    </row>
    <row r="7" spans="1:19" x14ac:dyDescent="0.2">
      <c r="R7">
        <v>-432590</v>
      </c>
      <c r="S7" s="263">
        <f>+M24+R7</f>
        <v>1517876.7949969568</v>
      </c>
    </row>
    <row r="8" spans="1:19" ht="63.75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P8">
        <v>40</v>
      </c>
    </row>
    <row r="9" spans="1:19" x14ac:dyDescent="0.2">
      <c r="A9" s="203" t="s">
        <v>166</v>
      </c>
      <c r="B9" s="205">
        <v>36891</v>
      </c>
      <c r="C9" s="206">
        <f>+'1835'!C9</f>
        <v>2000</v>
      </c>
      <c r="D9" s="206">
        <v>25</v>
      </c>
      <c r="E9" s="206">
        <f t="shared" ref="E9:E15" si="0">+C9+D9-1</f>
        <v>2024</v>
      </c>
      <c r="F9" s="207">
        <f t="shared" ref="F9:F15" si="1">IF(D9&gt;0,1/D9,0)</f>
        <v>0.04</v>
      </c>
      <c r="G9" s="222">
        <v>89663.65</v>
      </c>
      <c r="H9" s="209">
        <f>IF(+G9&gt;0,IF(+$B$6-C9+1&gt;D9,D9,$B$6-C9+1),0)</f>
        <v>13</v>
      </c>
      <c r="I9" s="209">
        <f>IF(E9&gt;=$B$6,+D9-H9,0)</f>
        <v>12</v>
      </c>
      <c r="J9" s="222">
        <f t="shared" ref="J9:J14" si="2">+G9*F9</f>
        <v>3586.5459999999998</v>
      </c>
      <c r="K9" s="222">
        <f>IF(E9&gt;=$B$6,+J9,0)</f>
        <v>3586.5459999999998</v>
      </c>
      <c r="L9" s="222">
        <f t="shared" ref="L9:L14" si="3">+J9*H9</f>
        <v>46625.097999999998</v>
      </c>
      <c r="M9" s="222">
        <f t="shared" ref="M9:M22" si="4">+G9-L9</f>
        <v>43038.551999999996</v>
      </c>
      <c r="N9" s="206"/>
      <c r="O9" s="404">
        <f>+M9/$M$24</f>
        <v>2.2065770158403105E-2</v>
      </c>
      <c r="P9" s="405">
        <f>+$P$8-H9</f>
        <v>27</v>
      </c>
      <c r="Q9">
        <f>+O9*P9</f>
        <v>0.59577579427688387</v>
      </c>
      <c r="S9" s="414">
        <f>+$S$7*O9</f>
        <v>33493.120487176398</v>
      </c>
    </row>
    <row r="10" spans="1:19" x14ac:dyDescent="0.2">
      <c r="A10" s="203" t="s">
        <v>166</v>
      </c>
      <c r="B10" s="233">
        <v>37256</v>
      </c>
      <c r="C10" s="206">
        <v>2001</v>
      </c>
      <c r="D10" s="206">
        <v>25</v>
      </c>
      <c r="E10" s="206">
        <f t="shared" si="0"/>
        <v>2025</v>
      </c>
      <c r="F10" s="207">
        <f t="shared" si="1"/>
        <v>0.04</v>
      </c>
      <c r="G10" s="220">
        <f>2408387.24-2187851.76</f>
        <v>220535.48000000045</v>
      </c>
      <c r="H10" s="209">
        <f t="shared" ref="H10:H14" si="5">IF(+G10&gt;0,IF(+$B$6-C10+1&gt;D10,D10,$B$6-C10+1),0)</f>
        <v>12</v>
      </c>
      <c r="I10" s="209">
        <f t="shared" ref="I10:I14" si="6">IF(E10&gt;=$B$6,+D10-H10,0)</f>
        <v>13</v>
      </c>
      <c r="J10" s="220">
        <f t="shared" si="2"/>
        <v>8821.4192000000185</v>
      </c>
      <c r="K10" s="220">
        <f>IF(E10&gt;=$B$6,+J10,0)</f>
        <v>8821.4192000000185</v>
      </c>
      <c r="L10" s="220">
        <f t="shared" si="3"/>
        <v>105857.03040000022</v>
      </c>
      <c r="M10" s="220">
        <f t="shared" si="4"/>
        <v>114678.44960000023</v>
      </c>
      <c r="N10" s="206"/>
      <c r="O10" s="404">
        <f t="shared" ref="O10:O22" si="7">+M10/$M$24</f>
        <v>5.8795386773133528E-2</v>
      </c>
      <c r="P10" s="405">
        <f t="shared" ref="P10:P22" si="8">+$P$8-H10</f>
        <v>28</v>
      </c>
      <c r="Q10">
        <f t="shared" ref="Q10:Q22" si="9">+O10*P10</f>
        <v>1.6462708296477389</v>
      </c>
      <c r="S10" s="414">
        <f t="shared" ref="S10:S22" si="10">+$S$7*O10</f>
        <v>89244.153235810387</v>
      </c>
    </row>
    <row r="11" spans="1:19" x14ac:dyDescent="0.2">
      <c r="A11" s="203" t="s">
        <v>166</v>
      </c>
      <c r="B11" s="233">
        <v>37621</v>
      </c>
      <c r="C11" s="206">
        <v>2002</v>
      </c>
      <c r="D11" s="206">
        <v>25</v>
      </c>
      <c r="E11" s="206">
        <f t="shared" si="0"/>
        <v>2026</v>
      </c>
      <c r="F11" s="207">
        <f t="shared" si="1"/>
        <v>0.04</v>
      </c>
      <c r="G11" s="220">
        <v>241986.38</v>
      </c>
      <c r="H11" s="209">
        <f t="shared" si="5"/>
        <v>11</v>
      </c>
      <c r="I11" s="209">
        <f t="shared" si="6"/>
        <v>14</v>
      </c>
      <c r="J11" s="220">
        <f t="shared" si="2"/>
        <v>9679.4552000000003</v>
      </c>
      <c r="K11" s="220">
        <f t="shared" ref="K11:K14" si="11">IF(E11&gt;=$B$6,+J11,0)</f>
        <v>9679.4552000000003</v>
      </c>
      <c r="L11" s="220">
        <f t="shared" si="3"/>
        <v>106474.00720000001</v>
      </c>
      <c r="M11" s="220">
        <f t="shared" si="4"/>
        <v>135512.37280000001</v>
      </c>
      <c r="N11" s="206"/>
      <c r="O11" s="404">
        <f t="shared" si="7"/>
        <v>6.9476892991767875E-2</v>
      </c>
      <c r="P11" s="405">
        <f t="shared" si="8"/>
        <v>29</v>
      </c>
      <c r="Q11">
        <f t="shared" si="9"/>
        <v>2.0148298967612686</v>
      </c>
      <c r="S11" s="414">
        <f t="shared" si="10"/>
        <v>105457.36366069115</v>
      </c>
    </row>
    <row r="12" spans="1:19" x14ac:dyDescent="0.2">
      <c r="A12" s="203" t="s">
        <v>166</v>
      </c>
      <c r="B12" s="233">
        <v>37986</v>
      </c>
      <c r="C12" s="206">
        <v>2003</v>
      </c>
      <c r="D12" s="206">
        <v>25</v>
      </c>
      <c r="E12" s="206">
        <f t="shared" si="0"/>
        <v>2027</v>
      </c>
      <c r="F12" s="207">
        <f t="shared" si="1"/>
        <v>0.04</v>
      </c>
      <c r="G12" s="220">
        <v>261893.76000000001</v>
      </c>
      <c r="H12" s="209">
        <f t="shared" si="5"/>
        <v>10</v>
      </c>
      <c r="I12" s="209">
        <f t="shared" si="6"/>
        <v>15</v>
      </c>
      <c r="J12" s="220">
        <f t="shared" si="2"/>
        <v>10475.750400000001</v>
      </c>
      <c r="K12" s="220">
        <f t="shared" si="11"/>
        <v>10475.750400000001</v>
      </c>
      <c r="L12" s="220">
        <f t="shared" si="3"/>
        <v>104757.50400000002</v>
      </c>
      <c r="M12" s="220">
        <f t="shared" si="4"/>
        <v>157136.25599999999</v>
      </c>
      <c r="N12" s="206"/>
      <c r="O12" s="404">
        <f t="shared" si="7"/>
        <v>8.0563409950408907E-2</v>
      </c>
      <c r="P12" s="405">
        <f t="shared" si="8"/>
        <v>30</v>
      </c>
      <c r="Q12">
        <f t="shared" si="9"/>
        <v>2.4169022985122672</v>
      </c>
      <c r="S12" s="414">
        <f t="shared" si="10"/>
        <v>122285.33048955261</v>
      </c>
    </row>
    <row r="13" spans="1:19" x14ac:dyDescent="0.2">
      <c r="A13" s="203" t="s">
        <v>166</v>
      </c>
      <c r="B13" s="205">
        <v>38352</v>
      </c>
      <c r="C13" s="206">
        <v>2004</v>
      </c>
      <c r="D13" s="206">
        <v>25</v>
      </c>
      <c r="E13" s="206">
        <f t="shared" si="0"/>
        <v>2028</v>
      </c>
      <c r="F13" s="207">
        <f t="shared" si="1"/>
        <v>0.04</v>
      </c>
      <c r="G13" s="220">
        <v>231819.39</v>
      </c>
      <c r="H13" s="209">
        <f t="shared" si="5"/>
        <v>9</v>
      </c>
      <c r="I13" s="209">
        <f t="shared" si="6"/>
        <v>16</v>
      </c>
      <c r="J13" s="220">
        <f t="shared" si="2"/>
        <v>9272.7756000000008</v>
      </c>
      <c r="K13" s="220">
        <f t="shared" si="11"/>
        <v>9272.7756000000008</v>
      </c>
      <c r="L13" s="220">
        <f t="shared" si="3"/>
        <v>83454.9804</v>
      </c>
      <c r="M13" s="220">
        <f t="shared" si="4"/>
        <v>148364.40960000001</v>
      </c>
      <c r="N13" s="206"/>
      <c r="O13" s="404">
        <f t="shared" si="7"/>
        <v>7.6066103755553297E-2</v>
      </c>
      <c r="P13" s="405">
        <f t="shared" si="8"/>
        <v>31</v>
      </c>
      <c r="Q13">
        <f t="shared" si="9"/>
        <v>2.358049216422152</v>
      </c>
      <c r="S13" s="414">
        <f t="shared" si="10"/>
        <v>115458.97377638522</v>
      </c>
    </row>
    <row r="14" spans="1:19" x14ac:dyDescent="0.2">
      <c r="A14" s="203" t="s">
        <v>166</v>
      </c>
      <c r="B14" s="205">
        <v>38717</v>
      </c>
      <c r="C14" s="206">
        <v>2005</v>
      </c>
      <c r="D14" s="206">
        <v>25</v>
      </c>
      <c r="E14" s="206">
        <f t="shared" si="0"/>
        <v>2029</v>
      </c>
      <c r="F14" s="207">
        <f t="shared" si="1"/>
        <v>0.04</v>
      </c>
      <c r="G14" s="220">
        <v>149582.04</v>
      </c>
      <c r="H14" s="209">
        <f t="shared" si="5"/>
        <v>8</v>
      </c>
      <c r="I14" s="209">
        <f t="shared" si="6"/>
        <v>17</v>
      </c>
      <c r="J14" s="220">
        <f t="shared" si="2"/>
        <v>5983.2816000000003</v>
      </c>
      <c r="K14" s="220">
        <f t="shared" si="11"/>
        <v>5983.2816000000003</v>
      </c>
      <c r="L14" s="220">
        <f t="shared" si="3"/>
        <v>47866.252800000002</v>
      </c>
      <c r="M14" s="220">
        <f t="shared" si="4"/>
        <v>101715.78720000001</v>
      </c>
      <c r="N14" s="206"/>
      <c r="O14" s="404">
        <f t="shared" si="7"/>
        <v>5.2149458509576273E-2</v>
      </c>
      <c r="P14" s="405">
        <f t="shared" si="8"/>
        <v>32</v>
      </c>
      <c r="Q14">
        <f t="shared" si="9"/>
        <v>1.6687826723064407</v>
      </c>
      <c r="S14" s="414">
        <f t="shared" si="10"/>
        <v>79156.452943342403</v>
      </c>
    </row>
    <row r="15" spans="1:19" x14ac:dyDescent="0.2">
      <c r="A15" s="203" t="s">
        <v>293</v>
      </c>
      <c r="B15" s="205"/>
      <c r="C15" s="206">
        <v>2006</v>
      </c>
      <c r="D15" s="206">
        <v>25</v>
      </c>
      <c r="E15" s="206">
        <f t="shared" si="0"/>
        <v>2030</v>
      </c>
      <c r="F15" s="207">
        <f t="shared" si="1"/>
        <v>0.04</v>
      </c>
      <c r="G15" s="390">
        <f>+'1830'!L57-1195480.7</f>
        <v>2098188.1100000003</v>
      </c>
      <c r="H15" s="209"/>
      <c r="I15" s="209"/>
      <c r="J15" s="220">
        <f>+G15*F15</f>
        <v>83927.524400000009</v>
      </c>
      <c r="K15" s="238"/>
      <c r="L15" s="391">
        <f>ROUND(-'1830'!L29*'1830'!M57,2)</f>
        <v>1137979.8899999999</v>
      </c>
      <c r="M15" s="372">
        <f t="shared" si="4"/>
        <v>960208.22000000044</v>
      </c>
      <c r="N15" s="206"/>
      <c r="O15" s="404">
        <f t="shared" si="7"/>
        <v>0.49229662481975173</v>
      </c>
      <c r="P15" s="405">
        <v>34</v>
      </c>
      <c r="Q15">
        <f t="shared" si="9"/>
        <v>16.738085243871559</v>
      </c>
      <c r="S15" s="414">
        <f t="shared" si="10"/>
        <v>747245.62306922406</v>
      </c>
    </row>
    <row r="16" spans="1:19" x14ac:dyDescent="0.2">
      <c r="A16" s="203" t="s">
        <v>294</v>
      </c>
      <c r="B16" s="205"/>
      <c r="C16" s="206">
        <v>2006</v>
      </c>
      <c r="D16" s="206"/>
      <c r="E16" s="206"/>
      <c r="F16" s="207">
        <v>0.04</v>
      </c>
      <c r="G16" s="220"/>
      <c r="H16" s="209"/>
      <c r="I16" s="209"/>
      <c r="J16" s="237">
        <f>1137979.89/5135941.33*'1830'!$K$30</f>
        <v>66946.117003044172</v>
      </c>
      <c r="K16" s="238">
        <f>+J16</f>
        <v>66946.117003044172</v>
      </c>
      <c r="L16" s="239">
        <f>+K16+80479.76-0.01+78608.18+76054.61+73261.91+71787.2</f>
        <v>447137.7670030442</v>
      </c>
      <c r="M16" s="394">
        <f t="shared" si="4"/>
        <v>-447137.7670030442</v>
      </c>
      <c r="N16" s="206"/>
      <c r="O16" s="404">
        <f t="shared" si="7"/>
        <v>-0.22924654146893172</v>
      </c>
      <c r="P16" s="405">
        <v>34</v>
      </c>
      <c r="Q16">
        <f t="shared" si="9"/>
        <v>-7.7943824099436787</v>
      </c>
      <c r="S16" s="414">
        <f t="shared" si="10"/>
        <v>-347968.00562899903</v>
      </c>
    </row>
    <row r="17" spans="1:19" x14ac:dyDescent="0.2">
      <c r="A17" s="203" t="s">
        <v>166</v>
      </c>
      <c r="B17" s="205">
        <v>39082</v>
      </c>
      <c r="C17" s="206">
        <v>2006</v>
      </c>
      <c r="D17" s="206">
        <v>25</v>
      </c>
      <c r="E17" s="206">
        <f t="shared" ref="E17:E22" si="12">+C17+D17-1</f>
        <v>2030</v>
      </c>
      <c r="F17" s="207">
        <f t="shared" ref="F17:F22" si="13">IF(D17&gt;0,1/D17,0)</f>
        <v>0.04</v>
      </c>
      <c r="G17" s="220">
        <v>147810.48000000001</v>
      </c>
      <c r="H17" s="209">
        <f t="shared" ref="H17:H22" si="14">IF(+G17&gt;0,IF(+$B$6-C17+1&gt;D17,D17,$B$6-C17+1),0)</f>
        <v>7</v>
      </c>
      <c r="I17" s="209">
        <f t="shared" ref="I17:I22" si="15">IF(E17&gt;=$B$6,+D17-H17,0)</f>
        <v>18</v>
      </c>
      <c r="J17" s="220">
        <f t="shared" ref="J17:J22" si="16">+G17*F17</f>
        <v>5912.4192000000003</v>
      </c>
      <c r="K17" s="220">
        <f>IF(E17&gt;=$B$6,+J17,0)</f>
        <v>5912.4192000000003</v>
      </c>
      <c r="L17" s="220">
        <f t="shared" ref="L17:L22" si="17">+J17*H17</f>
        <v>41386.934399999998</v>
      </c>
      <c r="M17" s="220">
        <f t="shared" si="4"/>
        <v>106423.54560000001</v>
      </c>
      <c r="N17" s="206"/>
      <c r="O17" s="404">
        <f t="shared" si="7"/>
        <v>5.4563115800269776E-2</v>
      </c>
      <c r="P17" s="405">
        <f t="shared" si="8"/>
        <v>33</v>
      </c>
      <c r="Q17">
        <f t="shared" si="9"/>
        <v>1.8005828214089026</v>
      </c>
      <c r="S17" s="414">
        <f t="shared" si="10"/>
        <v>82820.087335961303</v>
      </c>
    </row>
    <row r="18" spans="1:19" x14ac:dyDescent="0.2">
      <c r="A18" s="203" t="s">
        <v>166</v>
      </c>
      <c r="B18" s="205">
        <v>39447</v>
      </c>
      <c r="C18" s="206">
        <v>2007</v>
      </c>
      <c r="D18" s="206">
        <v>25</v>
      </c>
      <c r="E18" s="206">
        <f t="shared" si="12"/>
        <v>2031</v>
      </c>
      <c r="F18" s="207">
        <f t="shared" si="13"/>
        <v>0.04</v>
      </c>
      <c r="G18" s="220">
        <f>3598.59+2311.98+2779.06+28774.53+1612.23+6530.96+9212.41+18454.77+7262.63+7438.29+7158.86+8139.79</f>
        <v>103274.09999999999</v>
      </c>
      <c r="H18" s="209">
        <f t="shared" si="14"/>
        <v>6</v>
      </c>
      <c r="I18" s="209">
        <f t="shared" si="15"/>
        <v>19</v>
      </c>
      <c r="J18" s="220">
        <f t="shared" si="16"/>
        <v>4130.9639999999999</v>
      </c>
      <c r="K18" s="220">
        <f t="shared" ref="K18:K22" si="18">IF(E18&gt;=$B$6,+J18,0)</f>
        <v>4130.9639999999999</v>
      </c>
      <c r="L18" s="220">
        <f t="shared" si="17"/>
        <v>24785.784</v>
      </c>
      <c r="M18" s="220">
        <f t="shared" si="4"/>
        <v>78488.315999999992</v>
      </c>
      <c r="N18" s="206"/>
      <c r="O18" s="404">
        <f t="shared" si="7"/>
        <v>4.0240785539813535E-2</v>
      </c>
      <c r="P18" s="405">
        <f t="shared" si="8"/>
        <v>34</v>
      </c>
      <c r="Q18">
        <f t="shared" si="9"/>
        <v>1.3681867083536603</v>
      </c>
      <c r="S18" s="414">
        <f t="shared" si="10"/>
        <v>61080.554583332058</v>
      </c>
    </row>
    <row r="19" spans="1:19" x14ac:dyDescent="0.2">
      <c r="A19" s="203" t="s">
        <v>166</v>
      </c>
      <c r="B19" s="205">
        <v>39813</v>
      </c>
      <c r="C19" s="206">
        <v>2008</v>
      </c>
      <c r="D19" s="206">
        <v>25</v>
      </c>
      <c r="E19" s="206">
        <f t="shared" si="12"/>
        <v>2032</v>
      </c>
      <c r="F19" s="207">
        <f t="shared" si="13"/>
        <v>0.04</v>
      </c>
      <c r="G19" s="221">
        <f>20599.12+7765.47+7663.92+28895.09+14944.88+17999.9+8133.76+9530.38+9252.92+7526.32+18930.11+13124.87</f>
        <v>164366.74</v>
      </c>
      <c r="H19" s="209">
        <f t="shared" si="14"/>
        <v>5</v>
      </c>
      <c r="I19" s="209">
        <f t="shared" si="15"/>
        <v>20</v>
      </c>
      <c r="J19" s="220">
        <f t="shared" si="16"/>
        <v>6574.6696000000002</v>
      </c>
      <c r="K19" s="220">
        <f t="shared" si="18"/>
        <v>6574.6696000000002</v>
      </c>
      <c r="L19" s="220">
        <f t="shared" si="17"/>
        <v>32873.347999999998</v>
      </c>
      <c r="M19" s="220">
        <f t="shared" si="4"/>
        <v>131493.39199999999</v>
      </c>
      <c r="N19" s="206"/>
      <c r="O19" s="404">
        <f t="shared" si="7"/>
        <v>6.741637044900585E-2</v>
      </c>
      <c r="P19" s="405">
        <f t="shared" si="8"/>
        <v>35</v>
      </c>
      <c r="Q19">
        <f t="shared" si="9"/>
        <v>2.3595729657152047</v>
      </c>
      <c r="S19" s="414">
        <f t="shared" si="10"/>
        <v>102329.74430746456</v>
      </c>
    </row>
    <row r="20" spans="1:19" x14ac:dyDescent="0.2">
      <c r="A20" s="203" t="s">
        <v>166</v>
      </c>
      <c r="B20" s="205">
        <v>40178</v>
      </c>
      <c r="C20" s="206">
        <v>2009</v>
      </c>
      <c r="D20" s="206">
        <v>25</v>
      </c>
      <c r="E20" s="206">
        <f t="shared" si="12"/>
        <v>2033</v>
      </c>
      <c r="F20" s="207">
        <f t="shared" si="13"/>
        <v>0.04</v>
      </c>
      <c r="G20" s="221">
        <f>13823.05+8675.31+16021.44+23922.5+10002.14+14706.89+3290.39+14384.75+6214.68+2772.04+1951.11+7072.87</f>
        <v>122837.16999999998</v>
      </c>
      <c r="H20" s="209">
        <f t="shared" si="14"/>
        <v>4</v>
      </c>
      <c r="I20" s="209">
        <f t="shared" si="15"/>
        <v>21</v>
      </c>
      <c r="J20" s="220">
        <f t="shared" si="16"/>
        <v>4913.4867999999997</v>
      </c>
      <c r="K20" s="220">
        <f t="shared" si="18"/>
        <v>4913.4867999999997</v>
      </c>
      <c r="L20" s="220">
        <f t="shared" si="17"/>
        <v>19653.947199999999</v>
      </c>
      <c r="M20" s="220">
        <f t="shared" si="4"/>
        <v>103183.22279999999</v>
      </c>
      <c r="N20" s="206"/>
      <c r="O20" s="404">
        <f t="shared" si="7"/>
        <v>5.2901809487180207E-2</v>
      </c>
      <c r="P20" s="405">
        <f t="shared" si="8"/>
        <v>36</v>
      </c>
      <c r="Q20">
        <f t="shared" si="9"/>
        <v>1.9044651415384874</v>
      </c>
      <c r="S20" s="414">
        <f t="shared" si="10"/>
        <v>80298.429033940702</v>
      </c>
    </row>
    <row r="21" spans="1:19" x14ac:dyDescent="0.2">
      <c r="A21" s="203" t="s">
        <v>166</v>
      </c>
      <c r="B21" s="205">
        <v>40543</v>
      </c>
      <c r="C21" s="206">
        <v>2010</v>
      </c>
      <c r="D21" s="206">
        <v>25</v>
      </c>
      <c r="E21" s="206">
        <f t="shared" si="12"/>
        <v>2034</v>
      </c>
      <c r="F21" s="207">
        <f t="shared" si="13"/>
        <v>0.04</v>
      </c>
      <c r="G21" s="221">
        <f>19998.5+5416.82+3763.45+10164.35+7594.04+20908.34+5899.21+9775.19+17073.86+8913.09+14155.92+25556.34</f>
        <v>149219.11000000002</v>
      </c>
      <c r="H21" s="209">
        <f t="shared" si="14"/>
        <v>3</v>
      </c>
      <c r="I21" s="209">
        <f t="shared" si="15"/>
        <v>22</v>
      </c>
      <c r="J21" s="220">
        <f t="shared" si="16"/>
        <v>5968.7644000000009</v>
      </c>
      <c r="K21" s="220">
        <f t="shared" si="18"/>
        <v>5968.7644000000009</v>
      </c>
      <c r="L21" s="220">
        <f t="shared" si="17"/>
        <v>17906.293200000004</v>
      </c>
      <c r="M21" s="220">
        <f t="shared" si="4"/>
        <v>131312.8168</v>
      </c>
      <c r="N21" s="206"/>
      <c r="O21" s="404">
        <f t="shared" si="7"/>
        <v>6.7323789944450138E-2</v>
      </c>
      <c r="P21" s="405">
        <f t="shared" si="8"/>
        <v>37</v>
      </c>
      <c r="Q21">
        <f t="shared" si="9"/>
        <v>2.4909802279446551</v>
      </c>
      <c r="S21" s="414">
        <f t="shared" si="10"/>
        <v>102189.21850793033</v>
      </c>
    </row>
    <row r="22" spans="1:19" x14ac:dyDescent="0.2">
      <c r="A22" s="203" t="s">
        <v>166</v>
      </c>
      <c r="B22" s="205">
        <v>40908</v>
      </c>
      <c r="C22" s="206">
        <v>2011</v>
      </c>
      <c r="D22" s="206">
        <v>25</v>
      </c>
      <c r="E22" s="206">
        <f t="shared" si="12"/>
        <v>2035</v>
      </c>
      <c r="F22" s="207">
        <f t="shared" si="13"/>
        <v>0.04</v>
      </c>
      <c r="G22" s="221">
        <f>26900.58+1993.15+542.95+4478.98+3022.23+18553.35+2616.03+1751.07+3153.22+23694.77+8853.66+5551.18+14988.77</f>
        <v>116099.94000000002</v>
      </c>
      <c r="H22" s="209">
        <f t="shared" si="14"/>
        <v>2</v>
      </c>
      <c r="I22" s="209">
        <f t="shared" si="15"/>
        <v>23</v>
      </c>
      <c r="J22" s="220">
        <f t="shared" si="16"/>
        <v>4643.9976000000006</v>
      </c>
      <c r="K22" s="220">
        <f t="shared" si="18"/>
        <v>4643.9976000000006</v>
      </c>
      <c r="L22" s="220">
        <f t="shared" si="17"/>
        <v>9287.9952000000012</v>
      </c>
      <c r="M22" s="220">
        <f t="shared" si="4"/>
        <v>106811.94480000001</v>
      </c>
      <c r="N22" s="206"/>
      <c r="O22" s="404">
        <f t="shared" si="7"/>
        <v>5.4762247208708141E-2</v>
      </c>
      <c r="P22" s="405">
        <f t="shared" si="8"/>
        <v>38</v>
      </c>
      <c r="Q22">
        <f t="shared" si="9"/>
        <v>2.0809653939309092</v>
      </c>
      <c r="S22" s="414">
        <f t="shared" si="10"/>
        <v>83122.344279984958</v>
      </c>
    </row>
    <row r="23" spans="1:19" x14ac:dyDescent="0.2">
      <c r="A23" s="203" t="s">
        <v>166</v>
      </c>
      <c r="B23" s="205">
        <v>41274</v>
      </c>
      <c r="C23" s="206">
        <v>2012</v>
      </c>
      <c r="D23" s="206">
        <v>25</v>
      </c>
      <c r="E23" s="206">
        <f t="shared" ref="E23" si="19">+C23+D23-1</f>
        <v>2036</v>
      </c>
      <c r="F23" s="207">
        <f t="shared" ref="F23" si="20">IF(D23&gt;0,1/D23,0)</f>
        <v>0.04</v>
      </c>
      <c r="G23" s="221">
        <v>82538.83</v>
      </c>
      <c r="H23" s="209">
        <f t="shared" ref="H23" si="21">IF(+G23&gt;0,IF(+$B$6-C23+1&gt;D23,D23,$B$6-C23+1),0)</f>
        <v>1</v>
      </c>
      <c r="I23" s="209">
        <f t="shared" ref="I23" si="22">IF(E23&gt;=$B$6,+D23-H23,0)</f>
        <v>24</v>
      </c>
      <c r="J23" s="220">
        <f t="shared" ref="J23" si="23">+G23*F23</f>
        <v>3301.5532000000003</v>
      </c>
      <c r="K23" s="220">
        <f t="shared" ref="K23" si="24">IF(E23&gt;=$B$6,+J23,0)</f>
        <v>3301.5532000000003</v>
      </c>
      <c r="L23" s="220">
        <f t="shared" ref="L23" si="25">+J23*H23</f>
        <v>3301.5532000000003</v>
      </c>
      <c r="M23" s="220">
        <f t="shared" ref="M23" si="26">+G23-L23</f>
        <v>79237.276800000007</v>
      </c>
      <c r="N23" s="206"/>
    </row>
    <row r="24" spans="1:19" x14ac:dyDescent="0.2">
      <c r="A24" s="148" t="s">
        <v>100</v>
      </c>
      <c r="B24" s="205"/>
      <c r="C24" s="212"/>
      <c r="D24" s="206"/>
      <c r="E24" s="206"/>
      <c r="F24" s="207"/>
      <c r="G24" s="223">
        <f>SUM(G9:G23)</f>
        <v>4179815.1800000006</v>
      </c>
      <c r="H24" s="209"/>
      <c r="I24" s="210"/>
      <c r="J24" s="208"/>
      <c r="K24" s="230">
        <f>SUM(K9:K23)</f>
        <v>150211.1998030442</v>
      </c>
      <c r="L24" s="223">
        <f>SUM(L9:L23)</f>
        <v>2229348.3850030438</v>
      </c>
      <c r="M24" s="242">
        <f>SUM(M9:M23)</f>
        <v>1950466.7949969568</v>
      </c>
      <c r="N24" s="234"/>
      <c r="Q24">
        <f>SUM(Q9:Q23)</f>
        <v>31.64906680074645</v>
      </c>
      <c r="S24" s="415">
        <f>SUM(S9:S23)</f>
        <v>1456213.390081797</v>
      </c>
    </row>
    <row r="25" spans="1:19" x14ac:dyDescent="0.2">
      <c r="A25" s="81"/>
      <c r="B25" s="79"/>
      <c r="C25" s="92"/>
      <c r="D25" s="79"/>
      <c r="E25" s="79"/>
      <c r="F25" s="84"/>
      <c r="G25" s="99"/>
      <c r="H25" s="87"/>
      <c r="I25" s="88"/>
      <c r="J25" s="86"/>
      <c r="K25" s="86"/>
      <c r="L25" s="86"/>
      <c r="M25" s="86"/>
      <c r="N25" s="79"/>
    </row>
    <row r="26" spans="1:19" x14ac:dyDescent="0.2">
      <c r="F26" s="100"/>
      <c r="G26" s="250"/>
      <c r="H26" s="258"/>
      <c r="I26" s="250"/>
      <c r="J26" s="250"/>
      <c r="K26" s="250"/>
      <c r="L26" s="250">
        <v>2148914.09</v>
      </c>
      <c r="M26" s="263"/>
    </row>
    <row r="27" spans="1:19" x14ac:dyDescent="0.2">
      <c r="F27" s="247"/>
      <c r="G27" s="250"/>
      <c r="H27" s="258"/>
      <c r="I27" s="250"/>
      <c r="J27" s="250"/>
      <c r="K27" s="250"/>
      <c r="L27" s="250"/>
      <c r="M27" s="263"/>
    </row>
    <row r="28" spans="1:19" x14ac:dyDescent="0.2">
      <c r="F28" s="247"/>
      <c r="G28" s="250"/>
      <c r="H28" s="258"/>
      <c r="I28" s="250"/>
      <c r="J28" s="250"/>
      <c r="K28" s="250"/>
      <c r="L28" s="250">
        <f>+L24-L26</f>
        <v>80434.295003043953</v>
      </c>
      <c r="M28" s="263"/>
    </row>
    <row r="29" spans="1:19" x14ac:dyDescent="0.2">
      <c r="F29" s="79"/>
      <c r="G29" s="252"/>
      <c r="H29" s="251"/>
      <c r="I29" s="252"/>
      <c r="J29" s="252"/>
      <c r="K29" s="252"/>
      <c r="L29" s="252"/>
      <c r="M29" s="263"/>
    </row>
    <row r="30" spans="1:19" x14ac:dyDescent="0.2">
      <c r="F30" s="79"/>
      <c r="G30" s="77"/>
      <c r="H30" s="79"/>
      <c r="I30" s="77"/>
      <c r="J30" s="77"/>
      <c r="K30" s="77"/>
      <c r="L30" s="77"/>
    </row>
    <row r="31" spans="1:19" x14ac:dyDescent="0.2">
      <c r="F31" s="79"/>
      <c r="G31" s="77"/>
      <c r="H31" s="79"/>
      <c r="I31" s="77"/>
      <c r="J31" s="77"/>
      <c r="K31" s="77"/>
      <c r="L31" s="77"/>
    </row>
    <row r="32" spans="1:19" x14ac:dyDescent="0.2">
      <c r="F32" s="378"/>
      <c r="G32" s="112"/>
      <c r="H32" s="111"/>
      <c r="I32" s="112"/>
      <c r="J32" s="77"/>
      <c r="K32" s="77"/>
      <c r="L32" s="77"/>
    </row>
  </sheetData>
  <printOptions horizontalCentered="1"/>
  <pageMargins left="0.39370078740157483" right="0.39370078740157483" top="0.39370078740157483" bottom="0.78740157480314965" header="0" footer="0.59055118110236227"/>
  <pageSetup scale="65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workbookViewId="0">
      <selection activeCell="D19" sqref="D19:G22"/>
    </sheetView>
  </sheetViews>
  <sheetFormatPr defaultRowHeight="12.75" x14ac:dyDescent="0.2"/>
  <cols>
    <col min="1" max="1" width="19.42578125" customWidth="1"/>
    <col min="2" max="2" width="10.140625" customWidth="1"/>
    <col min="4" max="4" width="5.85546875" customWidth="1"/>
    <col min="5" max="5" width="9.85546875" customWidth="1"/>
    <col min="6" max="6" width="7.28515625" bestFit="1" customWidth="1"/>
    <col min="7" max="7" width="13.5703125" bestFit="1" customWidth="1"/>
    <col min="8" max="8" width="7.42578125" bestFit="1" customWidth="1"/>
    <col min="9" max="9" width="10" customWidth="1"/>
    <col min="10" max="10" width="11.42578125" customWidth="1"/>
    <col min="11" max="11" width="11" bestFit="1" customWidth="1"/>
    <col min="12" max="12" width="12" bestFit="1" customWidth="1"/>
    <col min="13" max="13" width="12.28515625" customWidth="1"/>
    <col min="14" max="14" width="8.42578125" bestFit="1" customWidth="1"/>
    <col min="19" max="19" width="12.28515625" bestFit="1" customWidth="1"/>
  </cols>
  <sheetData>
    <row r="1" spans="1:19" x14ac:dyDescent="0.2">
      <c r="A1" s="147" t="s">
        <v>102</v>
      </c>
    </row>
    <row r="2" spans="1:19" x14ac:dyDescent="0.2">
      <c r="A2" s="81" t="s">
        <v>0</v>
      </c>
      <c r="J2" s="97" t="s">
        <v>103</v>
      </c>
      <c r="K2" s="77"/>
      <c r="L2" s="77"/>
      <c r="M2" s="371" t="s">
        <v>104</v>
      </c>
      <c r="N2" s="79"/>
    </row>
    <row r="3" spans="1:19" x14ac:dyDescent="0.2">
      <c r="A3" s="81" t="s">
        <v>168</v>
      </c>
      <c r="J3" s="97"/>
      <c r="K3" s="77"/>
      <c r="L3" s="77"/>
      <c r="M3" s="371"/>
      <c r="N3" s="79"/>
    </row>
    <row r="4" spans="1:19" x14ac:dyDescent="0.2">
      <c r="A4" s="192" t="s">
        <v>113</v>
      </c>
      <c r="B4" s="371" t="s">
        <v>169</v>
      </c>
      <c r="J4" s="194" t="s">
        <v>92</v>
      </c>
      <c r="K4" s="77"/>
      <c r="L4" s="77"/>
      <c r="M4" s="371" t="s">
        <v>171</v>
      </c>
      <c r="N4" s="79"/>
    </row>
    <row r="5" spans="1:19" x14ac:dyDescent="0.2">
      <c r="A5" s="81"/>
      <c r="B5" s="76"/>
    </row>
    <row r="6" spans="1:19" x14ac:dyDescent="0.2">
      <c r="A6" s="81" t="s">
        <v>1</v>
      </c>
      <c r="B6" s="188">
        <v>2012</v>
      </c>
      <c r="R6" t="s">
        <v>308</v>
      </c>
      <c r="S6" t="s">
        <v>297</v>
      </c>
    </row>
    <row r="7" spans="1:19" x14ac:dyDescent="0.2">
      <c r="R7">
        <v>-292157</v>
      </c>
      <c r="S7" s="263">
        <f>+M17+R7</f>
        <v>657424.0247999999</v>
      </c>
    </row>
    <row r="8" spans="1:19" ht="63.75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P8">
        <v>40</v>
      </c>
    </row>
    <row r="9" spans="1:19" x14ac:dyDescent="0.2">
      <c r="A9" s="203" t="s">
        <v>170</v>
      </c>
      <c r="B9" s="205">
        <v>38717</v>
      </c>
      <c r="C9" s="206">
        <v>2005</v>
      </c>
      <c r="D9" s="209">
        <v>25</v>
      </c>
      <c r="E9" s="206">
        <f t="shared" ref="E9:E15" si="0">+C9+D9-1</f>
        <v>2029</v>
      </c>
      <c r="F9" s="207">
        <f t="shared" ref="F9:F15" si="1">IF(D9&gt;0,1/D9,0)</f>
        <v>0.04</v>
      </c>
      <c r="G9" s="222">
        <v>62052.36</v>
      </c>
      <c r="H9" s="209">
        <f t="shared" ref="H9:H14" si="2">IF(+G9&gt;0,IF($B$6-C9+1&gt;D9,D9,+$B$6-C9+1),0)</f>
        <v>8</v>
      </c>
      <c r="I9" s="209">
        <f>IF(E9&gt;=$B$6,+D9-H9,0)</f>
        <v>17</v>
      </c>
      <c r="J9" s="222">
        <f t="shared" ref="J9:J15" si="3">+G9*F9</f>
        <v>2482.0944</v>
      </c>
      <c r="K9" s="222">
        <f>IF(E9&gt;=$B$6,+J9,0)</f>
        <v>2482.0944</v>
      </c>
      <c r="L9" s="222">
        <f t="shared" ref="L9:L15" si="4">+J9*H9</f>
        <v>19856.7552</v>
      </c>
      <c r="M9" s="222">
        <f t="shared" ref="M9:M15" si="5">+G9-L9</f>
        <v>42195.604800000001</v>
      </c>
      <c r="N9" s="264"/>
      <c r="O9" s="404">
        <f>+M9/$M$17</f>
        <v>4.4436023570381698E-2</v>
      </c>
      <c r="P9" s="405">
        <f>+$P$8-H9</f>
        <v>32</v>
      </c>
      <c r="Q9">
        <f>+O9*P9</f>
        <v>1.4219527542522143</v>
      </c>
      <c r="S9" s="414">
        <f t="shared" ref="S9:S15" si="6">+$S$7*O9</f>
        <v>29213.309461747998</v>
      </c>
    </row>
    <row r="10" spans="1:19" x14ac:dyDescent="0.2">
      <c r="A10" s="203" t="s">
        <v>170</v>
      </c>
      <c r="B10" s="205">
        <v>39082</v>
      </c>
      <c r="C10" s="206">
        <v>2006</v>
      </c>
      <c r="D10" s="209">
        <v>25</v>
      </c>
      <c r="E10" s="206">
        <f t="shared" si="0"/>
        <v>2030</v>
      </c>
      <c r="F10" s="207">
        <f t="shared" si="1"/>
        <v>0.04</v>
      </c>
      <c r="G10" s="220">
        <v>98306.63</v>
      </c>
      <c r="H10" s="209">
        <f t="shared" si="2"/>
        <v>7</v>
      </c>
      <c r="I10" s="209">
        <f>IF(E10&gt;=$B$6,+D10-H10,0)</f>
        <v>18</v>
      </c>
      <c r="J10" s="220">
        <f t="shared" si="3"/>
        <v>3932.2652000000003</v>
      </c>
      <c r="K10" s="189">
        <f t="shared" ref="K10:K15" si="7">IF(E10&gt;=$B$6,+J10,0)</f>
        <v>3932.2652000000003</v>
      </c>
      <c r="L10" s="220">
        <f t="shared" si="4"/>
        <v>27525.856400000001</v>
      </c>
      <c r="M10" s="220">
        <f t="shared" si="5"/>
        <v>70780.7736</v>
      </c>
      <c r="N10" s="264"/>
      <c r="O10" s="404">
        <f t="shared" ref="O10:O15" si="8">+M10/$M$17</f>
        <v>7.4538951128375594E-2</v>
      </c>
      <c r="P10" s="405">
        <f t="shared" ref="P10:P15" si="9">+$P$8-H10</f>
        <v>33</v>
      </c>
      <c r="Q10">
        <f t="shared" ref="Q10:Q15" si="10">+O10*P10</f>
        <v>2.4597853872363946</v>
      </c>
      <c r="S10" s="414">
        <f t="shared" si="6"/>
        <v>49003.69725518718</v>
      </c>
    </row>
    <row r="11" spans="1:19" x14ac:dyDescent="0.2">
      <c r="A11" s="203" t="s">
        <v>170</v>
      </c>
      <c r="B11" s="205">
        <v>39447</v>
      </c>
      <c r="C11" s="206">
        <v>2007</v>
      </c>
      <c r="D11" s="209">
        <v>25</v>
      </c>
      <c r="E11" s="206">
        <f t="shared" si="0"/>
        <v>2031</v>
      </c>
      <c r="F11" s="207">
        <f t="shared" si="1"/>
        <v>0.04</v>
      </c>
      <c r="G11" s="220">
        <f>5646.95+93446.72+70718.56+7048.92+37864.3+11450.19+7379.91+13594.03+7001.64+34615.57+7703.11+60529.36</f>
        <v>356999.26</v>
      </c>
      <c r="H11" s="209">
        <f t="shared" si="2"/>
        <v>6</v>
      </c>
      <c r="I11" s="209">
        <f>IF(E11&gt;=$B$6,+D11-H11,0)</f>
        <v>19</v>
      </c>
      <c r="J11" s="220">
        <f t="shared" si="3"/>
        <v>14279.9704</v>
      </c>
      <c r="K11" s="189">
        <f t="shared" si="7"/>
        <v>14279.9704</v>
      </c>
      <c r="L11" s="220">
        <f t="shared" si="4"/>
        <v>85679.822400000005</v>
      </c>
      <c r="M11" s="220">
        <f t="shared" si="5"/>
        <v>271319.4376</v>
      </c>
      <c r="N11" s="264"/>
      <c r="O11" s="404">
        <f t="shared" si="8"/>
        <v>0.28572542048967869</v>
      </c>
      <c r="P11" s="405">
        <f t="shared" si="9"/>
        <v>34</v>
      </c>
      <c r="Q11">
        <f t="shared" si="10"/>
        <v>9.7146642966490759</v>
      </c>
      <c r="S11" s="414">
        <f t="shared" si="6"/>
        <v>187842.75592599693</v>
      </c>
    </row>
    <row r="12" spans="1:19" x14ac:dyDescent="0.2">
      <c r="A12" s="203" t="s">
        <v>170</v>
      </c>
      <c r="B12" s="205">
        <v>39813</v>
      </c>
      <c r="C12" s="206">
        <v>2008</v>
      </c>
      <c r="D12" s="209">
        <v>25</v>
      </c>
      <c r="E12" s="206">
        <f t="shared" si="0"/>
        <v>2032</v>
      </c>
      <c r="F12" s="207">
        <f t="shared" si="1"/>
        <v>0.04</v>
      </c>
      <c r="G12" s="221">
        <f>6710.1+33773.71+43742.32+16129.05+69997.45+68489.22+10001.78+8559.73+6420.2+55304.25+4636.81+2441</f>
        <v>326205.62</v>
      </c>
      <c r="H12" s="209">
        <f t="shared" si="2"/>
        <v>5</v>
      </c>
      <c r="I12" s="209">
        <f t="shared" ref="I12:I15" si="11">IF(E12&gt;=$B$6,+D12-H12,0)</f>
        <v>20</v>
      </c>
      <c r="J12" s="220">
        <f t="shared" si="3"/>
        <v>13048.2248</v>
      </c>
      <c r="K12" s="189">
        <f t="shared" si="7"/>
        <v>13048.2248</v>
      </c>
      <c r="L12" s="220">
        <f t="shared" si="4"/>
        <v>65241.123999999996</v>
      </c>
      <c r="M12" s="220">
        <f t="shared" si="5"/>
        <v>260964.49599999998</v>
      </c>
      <c r="N12" s="264"/>
      <c r="O12" s="404">
        <f t="shared" si="8"/>
        <v>0.27482067268031618</v>
      </c>
      <c r="P12" s="405">
        <f t="shared" si="9"/>
        <v>35</v>
      </c>
      <c r="Q12">
        <f t="shared" si="10"/>
        <v>9.6187235438110665</v>
      </c>
      <c r="S12" s="414">
        <f t="shared" si="6"/>
        <v>180673.71273173683</v>
      </c>
    </row>
    <row r="13" spans="1:19" x14ac:dyDescent="0.2">
      <c r="A13" s="203" t="s">
        <v>170</v>
      </c>
      <c r="B13" s="205">
        <v>40178</v>
      </c>
      <c r="C13" s="206">
        <v>2009</v>
      </c>
      <c r="D13" s="209">
        <v>25</v>
      </c>
      <c r="E13" s="206">
        <f t="shared" si="0"/>
        <v>2033</v>
      </c>
      <c r="F13" s="207">
        <f t="shared" si="1"/>
        <v>0.04</v>
      </c>
      <c r="G13" s="221">
        <f>1466.08+1915.59+7341.72+4089.56+8070.58+6935.81+6615.25+13408.32+12901.54+13997.11+9470.41+16075.84</f>
        <v>102287.81</v>
      </c>
      <c r="H13" s="209">
        <f t="shared" si="2"/>
        <v>4</v>
      </c>
      <c r="I13" s="209">
        <f t="shared" si="11"/>
        <v>21</v>
      </c>
      <c r="J13" s="220">
        <f t="shared" si="3"/>
        <v>4091.5124000000001</v>
      </c>
      <c r="K13" s="189">
        <f t="shared" si="7"/>
        <v>4091.5124000000001</v>
      </c>
      <c r="L13" s="220">
        <f t="shared" si="4"/>
        <v>16366.0496</v>
      </c>
      <c r="M13" s="220">
        <f t="shared" si="5"/>
        <v>85921.760399999999</v>
      </c>
      <c r="N13" s="264"/>
      <c r="O13" s="404">
        <f t="shared" si="8"/>
        <v>9.0483864100061165E-2</v>
      </c>
      <c r="P13" s="405">
        <f t="shared" si="9"/>
        <v>36</v>
      </c>
      <c r="Q13">
        <f t="shared" si="10"/>
        <v>3.2574191076022019</v>
      </c>
      <c r="S13" s="414">
        <f t="shared" si="6"/>
        <v>59486.26611611843</v>
      </c>
    </row>
    <row r="14" spans="1:19" x14ac:dyDescent="0.2">
      <c r="A14" s="203" t="s">
        <v>170</v>
      </c>
      <c r="B14" s="205">
        <v>40543</v>
      </c>
      <c r="C14" s="206">
        <v>2010</v>
      </c>
      <c r="D14" s="209">
        <v>25</v>
      </c>
      <c r="E14" s="206">
        <f t="shared" si="0"/>
        <v>2034</v>
      </c>
      <c r="F14" s="207">
        <f t="shared" si="1"/>
        <v>0.04</v>
      </c>
      <c r="G14" s="221">
        <f>7118.07+8456.95+5441.48+5962.23+6502.16+6102.2+4800.06+3932.48+4300.3+4469.28+9074.02+17542.41</f>
        <v>83701.64</v>
      </c>
      <c r="H14" s="209">
        <f t="shared" si="2"/>
        <v>3</v>
      </c>
      <c r="I14" s="209">
        <f t="shared" si="11"/>
        <v>22</v>
      </c>
      <c r="J14" s="220">
        <f t="shared" si="3"/>
        <v>3348.0655999999999</v>
      </c>
      <c r="K14" s="189">
        <f t="shared" si="7"/>
        <v>3348.0655999999999</v>
      </c>
      <c r="L14" s="220">
        <f t="shared" si="4"/>
        <v>10044.1968</v>
      </c>
      <c r="M14" s="220">
        <f t="shared" si="5"/>
        <v>73657.443199999994</v>
      </c>
      <c r="N14" s="264"/>
      <c r="O14" s="404">
        <f t="shared" si="8"/>
        <v>7.7568360441399586E-2</v>
      </c>
      <c r="P14" s="405">
        <f t="shared" si="9"/>
        <v>37</v>
      </c>
      <c r="Q14">
        <f t="shared" si="10"/>
        <v>2.8700293363317848</v>
      </c>
      <c r="S14" s="414">
        <f t="shared" si="6"/>
        <v>50995.303718522009</v>
      </c>
    </row>
    <row r="15" spans="1:19" x14ac:dyDescent="0.2">
      <c r="A15" s="203" t="s">
        <v>170</v>
      </c>
      <c r="B15" s="205">
        <v>40908</v>
      </c>
      <c r="C15" s="206">
        <v>2011</v>
      </c>
      <c r="D15" s="209">
        <v>25</v>
      </c>
      <c r="E15" s="206">
        <f t="shared" si="0"/>
        <v>2035</v>
      </c>
      <c r="F15" s="207">
        <f t="shared" si="1"/>
        <v>0.04</v>
      </c>
      <c r="G15" s="221">
        <f>2500.25+7170.55+4675.88+9180.3+4005.36+6108.42+4894.1+16326.23+343.18+5178.39+3614.41+4939.86+9073.98</f>
        <v>78010.909999999989</v>
      </c>
      <c r="H15" s="176">
        <f>IF(+G15&gt;0,IF(+$B$6-C15+1&gt;D15,D15,+$B$6-C15+1),0)</f>
        <v>2</v>
      </c>
      <c r="I15" s="209">
        <f t="shared" si="11"/>
        <v>23</v>
      </c>
      <c r="J15" s="221">
        <f t="shared" si="3"/>
        <v>3120.4363999999996</v>
      </c>
      <c r="K15" s="189">
        <f t="shared" si="7"/>
        <v>3120.4363999999996</v>
      </c>
      <c r="L15" s="221">
        <f t="shared" si="4"/>
        <v>6240.8727999999992</v>
      </c>
      <c r="M15" s="220">
        <f t="shared" si="5"/>
        <v>71770.037199999992</v>
      </c>
      <c r="N15" s="264"/>
      <c r="O15" s="404">
        <f t="shared" si="8"/>
        <v>7.5580740690470466E-2</v>
      </c>
      <c r="P15" s="405">
        <f t="shared" si="9"/>
        <v>38</v>
      </c>
      <c r="Q15">
        <f t="shared" si="10"/>
        <v>2.8720681462378779</v>
      </c>
      <c r="S15" s="414">
        <f t="shared" si="6"/>
        <v>49688.594742094218</v>
      </c>
    </row>
    <row r="16" spans="1:19" x14ac:dyDescent="0.2">
      <c r="A16" s="203" t="s">
        <v>170</v>
      </c>
      <c r="B16" s="205">
        <v>41274</v>
      </c>
      <c r="C16" s="206">
        <v>2012</v>
      </c>
      <c r="D16" s="209">
        <v>25</v>
      </c>
      <c r="E16" s="206">
        <f t="shared" ref="E16" si="12">+C16+D16-1</f>
        <v>2036</v>
      </c>
      <c r="F16" s="207">
        <f t="shared" ref="F16" si="13">IF(D16&gt;0,1/D16,0)</f>
        <v>0.04</v>
      </c>
      <c r="G16" s="221">
        <v>76011.95</v>
      </c>
      <c r="H16" s="176">
        <f>IF(+G16&gt;0,IF(+$B$6-C16+1&gt;D16,D16,+$B$6-C16+1),0)</f>
        <v>1</v>
      </c>
      <c r="I16" s="209">
        <f t="shared" ref="I16" si="14">IF(E16&gt;=$B$6,+D16-H16,0)</f>
        <v>24</v>
      </c>
      <c r="J16" s="221">
        <f t="shared" ref="J16" si="15">+G16*F16</f>
        <v>3040.4780000000001</v>
      </c>
      <c r="K16" s="189">
        <f t="shared" ref="K16" si="16">IF(E16&gt;=$B$6,+J16,0)</f>
        <v>3040.4780000000001</v>
      </c>
      <c r="L16" s="221">
        <f t="shared" ref="L16" si="17">+J16*H16</f>
        <v>3040.4780000000001</v>
      </c>
      <c r="M16" s="220">
        <f t="shared" ref="M16" si="18">+G16-L16</f>
        <v>72971.471999999994</v>
      </c>
      <c r="N16" s="264"/>
    </row>
    <row r="17" spans="1:19" x14ac:dyDescent="0.2">
      <c r="A17" s="148" t="s">
        <v>100</v>
      </c>
      <c r="B17" s="265"/>
      <c r="C17" s="206"/>
      <c r="D17" s="203"/>
      <c r="E17" s="206"/>
      <c r="F17" s="207"/>
      <c r="G17" s="223">
        <f>SUM(G9:G16)</f>
        <v>1183576.18</v>
      </c>
      <c r="H17" s="241"/>
      <c r="I17" s="261"/>
      <c r="J17" s="261"/>
      <c r="K17" s="230">
        <f>SUM(K9:K16)</f>
        <v>47343.047200000001</v>
      </c>
      <c r="L17" s="223">
        <f>SUM(L9:L16)</f>
        <v>233995.15520000004</v>
      </c>
      <c r="M17" s="242">
        <f>SUM(M9:M16)</f>
        <v>949581.0247999999</v>
      </c>
      <c r="N17" s="264"/>
      <c r="Q17">
        <f>SUM(Q9:Q16)</f>
        <v>32.214642572120617</v>
      </c>
      <c r="S17" s="414">
        <f>SUM(S9:S16)</f>
        <v>606903.63995140349</v>
      </c>
    </row>
    <row r="18" spans="1:19" x14ac:dyDescent="0.2">
      <c r="A18" s="77"/>
      <c r="B18" s="79"/>
      <c r="C18" s="79"/>
      <c r="D18" s="79"/>
      <c r="E18" s="79"/>
      <c r="F18" s="79"/>
      <c r="G18" s="252"/>
      <c r="H18" s="251"/>
      <c r="I18" s="252"/>
      <c r="J18" s="252"/>
      <c r="K18" s="252"/>
      <c r="L18" s="252"/>
      <c r="M18" s="252"/>
    </row>
    <row r="19" spans="1:19" x14ac:dyDescent="0.2">
      <c r="F19" s="100"/>
      <c r="G19" s="250"/>
      <c r="H19" s="258"/>
      <c r="I19" s="250"/>
      <c r="J19" s="250"/>
      <c r="K19" s="250"/>
      <c r="L19" s="250">
        <v>186652.1</v>
      </c>
      <c r="M19" s="263"/>
    </row>
    <row r="20" spans="1:19" x14ac:dyDescent="0.2">
      <c r="F20" s="247"/>
      <c r="G20" s="250"/>
      <c r="H20" s="258"/>
      <c r="I20" s="250"/>
      <c r="J20" s="250"/>
      <c r="K20" s="250"/>
      <c r="L20" s="250"/>
      <c r="M20" s="263"/>
    </row>
    <row r="21" spans="1:19" x14ac:dyDescent="0.2">
      <c r="F21" s="247"/>
      <c r="G21" s="250"/>
      <c r="H21" s="258"/>
      <c r="I21" s="250"/>
      <c r="J21" s="250"/>
      <c r="K21" s="250"/>
      <c r="L21" s="374">
        <f>+L17-L19</f>
        <v>47343.055200000032</v>
      </c>
      <c r="M21" s="263"/>
    </row>
    <row r="22" spans="1:19" x14ac:dyDescent="0.2">
      <c r="F22" s="79"/>
      <c r="G22" s="252"/>
      <c r="H22" s="251"/>
      <c r="I22" s="252"/>
      <c r="J22" s="252"/>
      <c r="K22" s="252"/>
      <c r="L22" s="252"/>
    </row>
    <row r="23" spans="1:19" x14ac:dyDescent="0.2">
      <c r="F23" s="79"/>
      <c r="G23" s="77"/>
      <c r="H23" s="79"/>
      <c r="I23" s="77"/>
      <c r="J23" s="77"/>
      <c r="K23" s="77"/>
      <c r="L23" s="77"/>
    </row>
    <row r="24" spans="1:19" x14ac:dyDescent="0.2">
      <c r="F24" s="79"/>
      <c r="G24" s="77"/>
      <c r="H24" s="79"/>
      <c r="I24" s="77"/>
      <c r="J24" s="77"/>
      <c r="K24" s="77"/>
      <c r="L24" s="77"/>
    </row>
    <row r="25" spans="1:19" x14ac:dyDescent="0.2">
      <c r="F25" s="378"/>
      <c r="G25" s="112"/>
      <c r="H25" s="111"/>
      <c r="I25" s="112"/>
      <c r="J25" s="77"/>
      <c r="K25" s="77"/>
      <c r="L25" s="77"/>
    </row>
  </sheetData>
  <printOptions horizontalCentered="1"/>
  <pageMargins left="0.39370078740157483" right="0.39370078740157483" top="0.39370078740157483" bottom="0.78740157480314965" header="0" footer="0.59055118110236227"/>
  <pageSetup scale="76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32"/>
  <sheetViews>
    <sheetView topLeftCell="A23" workbookViewId="0">
      <selection activeCell="D46" sqref="D46:G50"/>
    </sheetView>
  </sheetViews>
  <sheetFormatPr defaultColWidth="9.140625" defaultRowHeight="12.75" x14ac:dyDescent="0.2"/>
  <cols>
    <col min="1" max="1" width="14.5703125" style="77" customWidth="1"/>
    <col min="2" max="2" width="10.5703125" style="79" customWidth="1"/>
    <col min="3" max="3" width="9.28515625" style="79" customWidth="1"/>
    <col min="4" max="4" width="6.85546875" style="79" customWidth="1"/>
    <col min="5" max="5" width="10.140625" style="79" bestFit="1" customWidth="1"/>
    <col min="6" max="6" width="9.140625" style="79"/>
    <col min="7" max="7" width="13.5703125" style="77" bestFit="1" customWidth="1"/>
    <col min="8" max="8" width="9.85546875" style="79" customWidth="1"/>
    <col min="9" max="10" width="10.42578125" style="77" customWidth="1"/>
    <col min="11" max="11" width="11" style="77" bestFit="1" customWidth="1"/>
    <col min="12" max="12" width="12.7109375" style="77" customWidth="1"/>
    <col min="13" max="13" width="12.42578125" style="77" customWidth="1"/>
    <col min="14" max="17" width="10.5703125" style="79" customWidth="1"/>
    <col min="18" max="18" width="12.5703125" style="79" bestFit="1" customWidth="1"/>
    <col min="19" max="19" width="12.42578125" style="77" bestFit="1" customWidth="1"/>
    <col min="20" max="20" width="13.5703125" style="77" bestFit="1" customWidth="1"/>
    <col min="21" max="21" width="15.140625" style="77" bestFit="1" customWidth="1"/>
    <col min="22" max="22" width="26.7109375" style="77" bestFit="1" customWidth="1"/>
    <col min="23" max="25" width="12.5703125" style="77" customWidth="1"/>
    <col min="26" max="26" width="6.5703125" style="77" customWidth="1"/>
    <col min="27" max="253" width="9.140625" style="77"/>
    <col min="254" max="255" width="10" style="77" customWidth="1"/>
    <col min="256" max="256" width="7" style="77" customWidth="1"/>
    <col min="257" max="257" width="24" style="77" customWidth="1"/>
    <col min="258" max="258" width="12.85546875" style="77" customWidth="1"/>
    <col min="259" max="260" width="13.140625" style="77" customWidth="1"/>
    <col min="261" max="261" width="9.140625" style="77"/>
    <col min="262" max="262" width="12.85546875" style="77" customWidth="1"/>
    <col min="263" max="263" width="9.140625" style="77"/>
    <col min="264" max="264" width="12.140625" style="77" customWidth="1"/>
    <col min="265" max="265" width="13" style="77" customWidth="1"/>
    <col min="266" max="266" width="11.7109375" style="77" customWidth="1"/>
    <col min="267" max="267" width="11.28515625" style="77" customWidth="1"/>
    <col min="268" max="268" width="14.85546875" style="77" customWidth="1"/>
    <col min="269" max="269" width="16.42578125" style="77" customWidth="1"/>
    <col min="270" max="270" width="14.85546875" style="77" customWidth="1"/>
    <col min="271" max="271" width="13.42578125" style="77" bestFit="1" customWidth="1"/>
    <col min="272" max="272" width="14.85546875" style="77" customWidth="1"/>
    <col min="273" max="273" width="16.5703125" style="77" customWidth="1"/>
    <col min="274" max="274" width="10.5703125" style="77" customWidth="1"/>
    <col min="275" max="275" width="12.42578125" style="77" bestFit="1" customWidth="1"/>
    <col min="276" max="276" width="15" style="77" bestFit="1" customWidth="1"/>
    <col min="277" max="278" width="18.28515625" style="77" bestFit="1" customWidth="1"/>
    <col min="279" max="279" width="17.42578125" style="77" bestFit="1" customWidth="1"/>
    <col min="280" max="280" width="12.85546875" style="77" bestFit="1" customWidth="1"/>
    <col min="281" max="281" width="12.28515625" style="77" bestFit="1" customWidth="1"/>
    <col min="282" max="509" width="9.140625" style="77"/>
    <col min="510" max="511" width="10" style="77" customWidth="1"/>
    <col min="512" max="512" width="7" style="77" customWidth="1"/>
    <col min="513" max="513" width="24" style="77" customWidth="1"/>
    <col min="514" max="514" width="12.85546875" style="77" customWidth="1"/>
    <col min="515" max="516" width="13.140625" style="77" customWidth="1"/>
    <col min="517" max="517" width="9.140625" style="77"/>
    <col min="518" max="518" width="12.85546875" style="77" customWidth="1"/>
    <col min="519" max="519" width="9.140625" style="77"/>
    <col min="520" max="520" width="12.140625" style="77" customWidth="1"/>
    <col min="521" max="521" width="13" style="77" customWidth="1"/>
    <col min="522" max="522" width="11.7109375" style="77" customWidth="1"/>
    <col min="523" max="523" width="11.28515625" style="77" customWidth="1"/>
    <col min="524" max="524" width="14.85546875" style="77" customWidth="1"/>
    <col min="525" max="525" width="16.42578125" style="77" customWidth="1"/>
    <col min="526" max="526" width="14.85546875" style="77" customWidth="1"/>
    <col min="527" max="527" width="13.42578125" style="77" bestFit="1" customWidth="1"/>
    <col min="528" max="528" width="14.85546875" style="77" customWidth="1"/>
    <col min="529" max="529" width="16.5703125" style="77" customWidth="1"/>
    <col min="530" max="530" width="10.5703125" style="77" customWidth="1"/>
    <col min="531" max="531" width="12.42578125" style="77" bestFit="1" customWidth="1"/>
    <col min="532" max="532" width="15" style="77" bestFit="1" customWidth="1"/>
    <col min="533" max="534" width="18.28515625" style="77" bestFit="1" customWidth="1"/>
    <col min="535" max="535" width="17.42578125" style="77" bestFit="1" customWidth="1"/>
    <col min="536" max="536" width="12.85546875" style="77" bestFit="1" customWidth="1"/>
    <col min="537" max="537" width="12.28515625" style="77" bestFit="1" customWidth="1"/>
    <col min="538" max="765" width="9.140625" style="77"/>
    <col min="766" max="767" width="10" style="77" customWidth="1"/>
    <col min="768" max="768" width="7" style="77" customWidth="1"/>
    <col min="769" max="769" width="24" style="77" customWidth="1"/>
    <col min="770" max="770" width="12.85546875" style="77" customWidth="1"/>
    <col min="771" max="772" width="13.140625" style="77" customWidth="1"/>
    <col min="773" max="773" width="9.140625" style="77"/>
    <col min="774" max="774" width="12.85546875" style="77" customWidth="1"/>
    <col min="775" max="775" width="9.140625" style="77"/>
    <col min="776" max="776" width="12.140625" style="77" customWidth="1"/>
    <col min="777" max="777" width="13" style="77" customWidth="1"/>
    <col min="778" max="778" width="11.7109375" style="77" customWidth="1"/>
    <col min="779" max="779" width="11.28515625" style="77" customWidth="1"/>
    <col min="780" max="780" width="14.85546875" style="77" customWidth="1"/>
    <col min="781" max="781" width="16.42578125" style="77" customWidth="1"/>
    <col min="782" max="782" width="14.85546875" style="77" customWidth="1"/>
    <col min="783" max="783" width="13.42578125" style="77" bestFit="1" customWidth="1"/>
    <col min="784" max="784" width="14.85546875" style="77" customWidth="1"/>
    <col min="785" max="785" width="16.5703125" style="77" customWidth="1"/>
    <col min="786" max="786" width="10.5703125" style="77" customWidth="1"/>
    <col min="787" max="787" width="12.42578125" style="77" bestFit="1" customWidth="1"/>
    <col min="788" max="788" width="15" style="77" bestFit="1" customWidth="1"/>
    <col min="789" max="790" width="18.28515625" style="77" bestFit="1" customWidth="1"/>
    <col min="791" max="791" width="17.42578125" style="77" bestFit="1" customWidth="1"/>
    <col min="792" max="792" width="12.85546875" style="77" bestFit="1" customWidth="1"/>
    <col min="793" max="793" width="12.28515625" style="77" bestFit="1" customWidth="1"/>
    <col min="794" max="1021" width="9.140625" style="77"/>
    <col min="1022" max="1023" width="10" style="77" customWidth="1"/>
    <col min="1024" max="1024" width="7" style="77" customWidth="1"/>
    <col min="1025" max="1025" width="24" style="77" customWidth="1"/>
    <col min="1026" max="1026" width="12.85546875" style="77" customWidth="1"/>
    <col min="1027" max="1028" width="13.140625" style="77" customWidth="1"/>
    <col min="1029" max="1029" width="9.140625" style="77"/>
    <col min="1030" max="1030" width="12.85546875" style="77" customWidth="1"/>
    <col min="1031" max="1031" width="9.140625" style="77"/>
    <col min="1032" max="1032" width="12.140625" style="77" customWidth="1"/>
    <col min="1033" max="1033" width="13" style="77" customWidth="1"/>
    <col min="1034" max="1034" width="11.7109375" style="77" customWidth="1"/>
    <col min="1035" max="1035" width="11.28515625" style="77" customWidth="1"/>
    <col min="1036" max="1036" width="14.85546875" style="77" customWidth="1"/>
    <col min="1037" max="1037" width="16.42578125" style="77" customWidth="1"/>
    <col min="1038" max="1038" width="14.85546875" style="77" customWidth="1"/>
    <col min="1039" max="1039" width="13.42578125" style="77" bestFit="1" customWidth="1"/>
    <col min="1040" max="1040" width="14.85546875" style="77" customWidth="1"/>
    <col min="1041" max="1041" width="16.5703125" style="77" customWidth="1"/>
    <col min="1042" max="1042" width="10.5703125" style="77" customWidth="1"/>
    <col min="1043" max="1043" width="12.42578125" style="77" bestFit="1" customWidth="1"/>
    <col min="1044" max="1044" width="15" style="77" bestFit="1" customWidth="1"/>
    <col min="1045" max="1046" width="18.28515625" style="77" bestFit="1" customWidth="1"/>
    <col min="1047" max="1047" width="17.42578125" style="77" bestFit="1" customWidth="1"/>
    <col min="1048" max="1048" width="12.85546875" style="77" bestFit="1" customWidth="1"/>
    <col min="1049" max="1049" width="12.28515625" style="77" bestFit="1" customWidth="1"/>
    <col min="1050" max="1277" width="9.140625" style="77"/>
    <col min="1278" max="1279" width="10" style="77" customWidth="1"/>
    <col min="1280" max="1280" width="7" style="77" customWidth="1"/>
    <col min="1281" max="1281" width="24" style="77" customWidth="1"/>
    <col min="1282" max="1282" width="12.85546875" style="77" customWidth="1"/>
    <col min="1283" max="1284" width="13.140625" style="77" customWidth="1"/>
    <col min="1285" max="1285" width="9.140625" style="77"/>
    <col min="1286" max="1286" width="12.85546875" style="77" customWidth="1"/>
    <col min="1287" max="1287" width="9.140625" style="77"/>
    <col min="1288" max="1288" width="12.140625" style="77" customWidth="1"/>
    <col min="1289" max="1289" width="13" style="77" customWidth="1"/>
    <col min="1290" max="1290" width="11.7109375" style="77" customWidth="1"/>
    <col min="1291" max="1291" width="11.28515625" style="77" customWidth="1"/>
    <col min="1292" max="1292" width="14.85546875" style="77" customWidth="1"/>
    <col min="1293" max="1293" width="16.42578125" style="77" customWidth="1"/>
    <col min="1294" max="1294" width="14.85546875" style="77" customWidth="1"/>
    <col min="1295" max="1295" width="13.42578125" style="77" bestFit="1" customWidth="1"/>
    <col min="1296" max="1296" width="14.85546875" style="77" customWidth="1"/>
    <col min="1297" max="1297" width="16.5703125" style="77" customWidth="1"/>
    <col min="1298" max="1298" width="10.5703125" style="77" customWidth="1"/>
    <col min="1299" max="1299" width="12.42578125" style="77" bestFit="1" customWidth="1"/>
    <col min="1300" max="1300" width="15" style="77" bestFit="1" customWidth="1"/>
    <col min="1301" max="1302" width="18.28515625" style="77" bestFit="1" customWidth="1"/>
    <col min="1303" max="1303" width="17.42578125" style="77" bestFit="1" customWidth="1"/>
    <col min="1304" max="1304" width="12.85546875" style="77" bestFit="1" customWidth="1"/>
    <col min="1305" max="1305" width="12.28515625" style="77" bestFit="1" customWidth="1"/>
    <col min="1306" max="1533" width="9.140625" style="77"/>
    <col min="1534" max="1535" width="10" style="77" customWidth="1"/>
    <col min="1536" max="1536" width="7" style="77" customWidth="1"/>
    <col min="1537" max="1537" width="24" style="77" customWidth="1"/>
    <col min="1538" max="1538" width="12.85546875" style="77" customWidth="1"/>
    <col min="1539" max="1540" width="13.140625" style="77" customWidth="1"/>
    <col min="1541" max="1541" width="9.140625" style="77"/>
    <col min="1542" max="1542" width="12.85546875" style="77" customWidth="1"/>
    <col min="1543" max="1543" width="9.140625" style="77"/>
    <col min="1544" max="1544" width="12.140625" style="77" customWidth="1"/>
    <col min="1545" max="1545" width="13" style="77" customWidth="1"/>
    <col min="1546" max="1546" width="11.7109375" style="77" customWidth="1"/>
    <col min="1547" max="1547" width="11.28515625" style="77" customWidth="1"/>
    <col min="1548" max="1548" width="14.85546875" style="77" customWidth="1"/>
    <col min="1549" max="1549" width="16.42578125" style="77" customWidth="1"/>
    <col min="1550" max="1550" width="14.85546875" style="77" customWidth="1"/>
    <col min="1551" max="1551" width="13.42578125" style="77" bestFit="1" customWidth="1"/>
    <col min="1552" max="1552" width="14.85546875" style="77" customWidth="1"/>
    <col min="1553" max="1553" width="16.5703125" style="77" customWidth="1"/>
    <col min="1554" max="1554" width="10.5703125" style="77" customWidth="1"/>
    <col min="1555" max="1555" width="12.42578125" style="77" bestFit="1" customWidth="1"/>
    <col min="1556" max="1556" width="15" style="77" bestFit="1" customWidth="1"/>
    <col min="1557" max="1558" width="18.28515625" style="77" bestFit="1" customWidth="1"/>
    <col min="1559" max="1559" width="17.42578125" style="77" bestFit="1" customWidth="1"/>
    <col min="1560" max="1560" width="12.85546875" style="77" bestFit="1" customWidth="1"/>
    <col min="1561" max="1561" width="12.28515625" style="77" bestFit="1" customWidth="1"/>
    <col min="1562" max="1789" width="9.140625" style="77"/>
    <col min="1790" max="1791" width="10" style="77" customWidth="1"/>
    <col min="1792" max="1792" width="7" style="77" customWidth="1"/>
    <col min="1793" max="1793" width="24" style="77" customWidth="1"/>
    <col min="1794" max="1794" width="12.85546875" style="77" customWidth="1"/>
    <col min="1795" max="1796" width="13.140625" style="77" customWidth="1"/>
    <col min="1797" max="1797" width="9.140625" style="77"/>
    <col min="1798" max="1798" width="12.85546875" style="77" customWidth="1"/>
    <col min="1799" max="1799" width="9.140625" style="77"/>
    <col min="1800" max="1800" width="12.140625" style="77" customWidth="1"/>
    <col min="1801" max="1801" width="13" style="77" customWidth="1"/>
    <col min="1802" max="1802" width="11.7109375" style="77" customWidth="1"/>
    <col min="1803" max="1803" width="11.28515625" style="77" customWidth="1"/>
    <col min="1804" max="1804" width="14.85546875" style="77" customWidth="1"/>
    <col min="1805" max="1805" width="16.42578125" style="77" customWidth="1"/>
    <col min="1806" max="1806" width="14.85546875" style="77" customWidth="1"/>
    <col min="1807" max="1807" width="13.42578125" style="77" bestFit="1" customWidth="1"/>
    <col min="1808" max="1808" width="14.85546875" style="77" customWidth="1"/>
    <col min="1809" max="1809" width="16.5703125" style="77" customWidth="1"/>
    <col min="1810" max="1810" width="10.5703125" style="77" customWidth="1"/>
    <col min="1811" max="1811" width="12.42578125" style="77" bestFit="1" customWidth="1"/>
    <col min="1812" max="1812" width="15" style="77" bestFit="1" customWidth="1"/>
    <col min="1813" max="1814" width="18.28515625" style="77" bestFit="1" customWidth="1"/>
    <col min="1815" max="1815" width="17.42578125" style="77" bestFit="1" customWidth="1"/>
    <col min="1816" max="1816" width="12.85546875" style="77" bestFit="1" customWidth="1"/>
    <col min="1817" max="1817" width="12.28515625" style="77" bestFit="1" customWidth="1"/>
    <col min="1818" max="2045" width="9.140625" style="77"/>
    <col min="2046" max="2047" width="10" style="77" customWidth="1"/>
    <col min="2048" max="2048" width="7" style="77" customWidth="1"/>
    <col min="2049" max="2049" width="24" style="77" customWidth="1"/>
    <col min="2050" max="2050" width="12.85546875" style="77" customWidth="1"/>
    <col min="2051" max="2052" width="13.140625" style="77" customWidth="1"/>
    <col min="2053" max="2053" width="9.140625" style="77"/>
    <col min="2054" max="2054" width="12.85546875" style="77" customWidth="1"/>
    <col min="2055" max="2055" width="9.140625" style="77"/>
    <col min="2056" max="2056" width="12.140625" style="77" customWidth="1"/>
    <col min="2057" max="2057" width="13" style="77" customWidth="1"/>
    <col min="2058" max="2058" width="11.7109375" style="77" customWidth="1"/>
    <col min="2059" max="2059" width="11.28515625" style="77" customWidth="1"/>
    <col min="2060" max="2060" width="14.85546875" style="77" customWidth="1"/>
    <col min="2061" max="2061" width="16.42578125" style="77" customWidth="1"/>
    <col min="2062" max="2062" width="14.85546875" style="77" customWidth="1"/>
    <col min="2063" max="2063" width="13.42578125" style="77" bestFit="1" customWidth="1"/>
    <col min="2064" max="2064" width="14.85546875" style="77" customWidth="1"/>
    <col min="2065" max="2065" width="16.5703125" style="77" customWidth="1"/>
    <col min="2066" max="2066" width="10.5703125" style="77" customWidth="1"/>
    <col min="2067" max="2067" width="12.42578125" style="77" bestFit="1" customWidth="1"/>
    <col min="2068" max="2068" width="15" style="77" bestFit="1" customWidth="1"/>
    <col min="2069" max="2070" width="18.28515625" style="77" bestFit="1" customWidth="1"/>
    <col min="2071" max="2071" width="17.42578125" style="77" bestFit="1" customWidth="1"/>
    <col min="2072" max="2072" width="12.85546875" style="77" bestFit="1" customWidth="1"/>
    <col min="2073" max="2073" width="12.28515625" style="77" bestFit="1" customWidth="1"/>
    <col min="2074" max="2301" width="9.140625" style="77"/>
    <col min="2302" max="2303" width="10" style="77" customWidth="1"/>
    <col min="2304" max="2304" width="7" style="77" customWidth="1"/>
    <col min="2305" max="2305" width="24" style="77" customWidth="1"/>
    <col min="2306" max="2306" width="12.85546875" style="77" customWidth="1"/>
    <col min="2307" max="2308" width="13.140625" style="77" customWidth="1"/>
    <col min="2309" max="2309" width="9.140625" style="77"/>
    <col min="2310" max="2310" width="12.85546875" style="77" customWidth="1"/>
    <col min="2311" max="2311" width="9.140625" style="77"/>
    <col min="2312" max="2312" width="12.140625" style="77" customWidth="1"/>
    <col min="2313" max="2313" width="13" style="77" customWidth="1"/>
    <col min="2314" max="2314" width="11.7109375" style="77" customWidth="1"/>
    <col min="2315" max="2315" width="11.28515625" style="77" customWidth="1"/>
    <col min="2316" max="2316" width="14.85546875" style="77" customWidth="1"/>
    <col min="2317" max="2317" width="16.42578125" style="77" customWidth="1"/>
    <col min="2318" max="2318" width="14.85546875" style="77" customWidth="1"/>
    <col min="2319" max="2319" width="13.42578125" style="77" bestFit="1" customWidth="1"/>
    <col min="2320" max="2320" width="14.85546875" style="77" customWidth="1"/>
    <col min="2321" max="2321" width="16.5703125" style="77" customWidth="1"/>
    <col min="2322" max="2322" width="10.5703125" style="77" customWidth="1"/>
    <col min="2323" max="2323" width="12.42578125" style="77" bestFit="1" customWidth="1"/>
    <col min="2324" max="2324" width="15" style="77" bestFit="1" customWidth="1"/>
    <col min="2325" max="2326" width="18.28515625" style="77" bestFit="1" customWidth="1"/>
    <col min="2327" max="2327" width="17.42578125" style="77" bestFit="1" customWidth="1"/>
    <col min="2328" max="2328" width="12.85546875" style="77" bestFit="1" customWidth="1"/>
    <col min="2329" max="2329" width="12.28515625" style="77" bestFit="1" customWidth="1"/>
    <col min="2330" max="2557" width="9.140625" style="77"/>
    <col min="2558" max="2559" width="10" style="77" customWidth="1"/>
    <col min="2560" max="2560" width="7" style="77" customWidth="1"/>
    <col min="2561" max="2561" width="24" style="77" customWidth="1"/>
    <col min="2562" max="2562" width="12.85546875" style="77" customWidth="1"/>
    <col min="2563" max="2564" width="13.140625" style="77" customWidth="1"/>
    <col min="2565" max="2565" width="9.140625" style="77"/>
    <col min="2566" max="2566" width="12.85546875" style="77" customWidth="1"/>
    <col min="2567" max="2567" width="9.140625" style="77"/>
    <col min="2568" max="2568" width="12.140625" style="77" customWidth="1"/>
    <col min="2569" max="2569" width="13" style="77" customWidth="1"/>
    <col min="2570" max="2570" width="11.7109375" style="77" customWidth="1"/>
    <col min="2571" max="2571" width="11.28515625" style="77" customWidth="1"/>
    <col min="2572" max="2572" width="14.85546875" style="77" customWidth="1"/>
    <col min="2573" max="2573" width="16.42578125" style="77" customWidth="1"/>
    <col min="2574" max="2574" width="14.85546875" style="77" customWidth="1"/>
    <col min="2575" max="2575" width="13.42578125" style="77" bestFit="1" customWidth="1"/>
    <col min="2576" max="2576" width="14.85546875" style="77" customWidth="1"/>
    <col min="2577" max="2577" width="16.5703125" style="77" customWidth="1"/>
    <col min="2578" max="2578" width="10.5703125" style="77" customWidth="1"/>
    <col min="2579" max="2579" width="12.42578125" style="77" bestFit="1" customWidth="1"/>
    <col min="2580" max="2580" width="15" style="77" bestFit="1" customWidth="1"/>
    <col min="2581" max="2582" width="18.28515625" style="77" bestFit="1" customWidth="1"/>
    <col min="2583" max="2583" width="17.42578125" style="77" bestFit="1" customWidth="1"/>
    <col min="2584" max="2584" width="12.85546875" style="77" bestFit="1" customWidth="1"/>
    <col min="2585" max="2585" width="12.28515625" style="77" bestFit="1" customWidth="1"/>
    <col min="2586" max="2813" width="9.140625" style="77"/>
    <col min="2814" max="2815" width="10" style="77" customWidth="1"/>
    <col min="2816" max="2816" width="7" style="77" customWidth="1"/>
    <col min="2817" max="2817" width="24" style="77" customWidth="1"/>
    <col min="2818" max="2818" width="12.85546875" style="77" customWidth="1"/>
    <col min="2819" max="2820" width="13.140625" style="77" customWidth="1"/>
    <col min="2821" max="2821" width="9.140625" style="77"/>
    <col min="2822" max="2822" width="12.85546875" style="77" customWidth="1"/>
    <col min="2823" max="2823" width="9.140625" style="77"/>
    <col min="2824" max="2824" width="12.140625" style="77" customWidth="1"/>
    <col min="2825" max="2825" width="13" style="77" customWidth="1"/>
    <col min="2826" max="2826" width="11.7109375" style="77" customWidth="1"/>
    <col min="2827" max="2827" width="11.28515625" style="77" customWidth="1"/>
    <col min="2828" max="2828" width="14.85546875" style="77" customWidth="1"/>
    <col min="2829" max="2829" width="16.42578125" style="77" customWidth="1"/>
    <col min="2830" max="2830" width="14.85546875" style="77" customWidth="1"/>
    <col min="2831" max="2831" width="13.42578125" style="77" bestFit="1" customWidth="1"/>
    <col min="2832" max="2832" width="14.85546875" style="77" customWidth="1"/>
    <col min="2833" max="2833" width="16.5703125" style="77" customWidth="1"/>
    <col min="2834" max="2834" width="10.5703125" style="77" customWidth="1"/>
    <col min="2835" max="2835" width="12.42578125" style="77" bestFit="1" customWidth="1"/>
    <col min="2836" max="2836" width="15" style="77" bestFit="1" customWidth="1"/>
    <col min="2837" max="2838" width="18.28515625" style="77" bestFit="1" customWidth="1"/>
    <col min="2839" max="2839" width="17.42578125" style="77" bestFit="1" customWidth="1"/>
    <col min="2840" max="2840" width="12.85546875" style="77" bestFit="1" customWidth="1"/>
    <col min="2841" max="2841" width="12.28515625" style="77" bestFit="1" customWidth="1"/>
    <col min="2842" max="3069" width="9.140625" style="77"/>
    <col min="3070" max="3071" width="10" style="77" customWidth="1"/>
    <col min="3072" max="3072" width="7" style="77" customWidth="1"/>
    <col min="3073" max="3073" width="24" style="77" customWidth="1"/>
    <col min="3074" max="3074" width="12.85546875" style="77" customWidth="1"/>
    <col min="3075" max="3076" width="13.140625" style="77" customWidth="1"/>
    <col min="3077" max="3077" width="9.140625" style="77"/>
    <col min="3078" max="3078" width="12.85546875" style="77" customWidth="1"/>
    <col min="3079" max="3079" width="9.140625" style="77"/>
    <col min="3080" max="3080" width="12.140625" style="77" customWidth="1"/>
    <col min="3081" max="3081" width="13" style="77" customWidth="1"/>
    <col min="3082" max="3082" width="11.7109375" style="77" customWidth="1"/>
    <col min="3083" max="3083" width="11.28515625" style="77" customWidth="1"/>
    <col min="3084" max="3084" width="14.85546875" style="77" customWidth="1"/>
    <col min="3085" max="3085" width="16.42578125" style="77" customWidth="1"/>
    <col min="3086" max="3086" width="14.85546875" style="77" customWidth="1"/>
    <col min="3087" max="3087" width="13.42578125" style="77" bestFit="1" customWidth="1"/>
    <col min="3088" max="3088" width="14.85546875" style="77" customWidth="1"/>
    <col min="3089" max="3089" width="16.5703125" style="77" customWidth="1"/>
    <col min="3090" max="3090" width="10.5703125" style="77" customWidth="1"/>
    <col min="3091" max="3091" width="12.42578125" style="77" bestFit="1" customWidth="1"/>
    <col min="3092" max="3092" width="15" style="77" bestFit="1" customWidth="1"/>
    <col min="3093" max="3094" width="18.28515625" style="77" bestFit="1" customWidth="1"/>
    <col min="3095" max="3095" width="17.42578125" style="77" bestFit="1" customWidth="1"/>
    <col min="3096" max="3096" width="12.85546875" style="77" bestFit="1" customWidth="1"/>
    <col min="3097" max="3097" width="12.28515625" style="77" bestFit="1" customWidth="1"/>
    <col min="3098" max="3325" width="9.140625" style="77"/>
    <col min="3326" max="3327" width="10" style="77" customWidth="1"/>
    <col min="3328" max="3328" width="7" style="77" customWidth="1"/>
    <col min="3329" max="3329" width="24" style="77" customWidth="1"/>
    <col min="3330" max="3330" width="12.85546875" style="77" customWidth="1"/>
    <col min="3331" max="3332" width="13.140625" style="77" customWidth="1"/>
    <col min="3333" max="3333" width="9.140625" style="77"/>
    <col min="3334" max="3334" width="12.85546875" style="77" customWidth="1"/>
    <col min="3335" max="3335" width="9.140625" style="77"/>
    <col min="3336" max="3336" width="12.140625" style="77" customWidth="1"/>
    <col min="3337" max="3337" width="13" style="77" customWidth="1"/>
    <col min="3338" max="3338" width="11.7109375" style="77" customWidth="1"/>
    <col min="3339" max="3339" width="11.28515625" style="77" customWidth="1"/>
    <col min="3340" max="3340" width="14.85546875" style="77" customWidth="1"/>
    <col min="3341" max="3341" width="16.42578125" style="77" customWidth="1"/>
    <col min="3342" max="3342" width="14.85546875" style="77" customWidth="1"/>
    <col min="3343" max="3343" width="13.42578125" style="77" bestFit="1" customWidth="1"/>
    <col min="3344" max="3344" width="14.85546875" style="77" customWidth="1"/>
    <col min="3345" max="3345" width="16.5703125" style="77" customWidth="1"/>
    <col min="3346" max="3346" width="10.5703125" style="77" customWidth="1"/>
    <col min="3347" max="3347" width="12.42578125" style="77" bestFit="1" customWidth="1"/>
    <col min="3348" max="3348" width="15" style="77" bestFit="1" customWidth="1"/>
    <col min="3349" max="3350" width="18.28515625" style="77" bestFit="1" customWidth="1"/>
    <col min="3351" max="3351" width="17.42578125" style="77" bestFit="1" customWidth="1"/>
    <col min="3352" max="3352" width="12.85546875" style="77" bestFit="1" customWidth="1"/>
    <col min="3353" max="3353" width="12.28515625" style="77" bestFit="1" customWidth="1"/>
    <col min="3354" max="3581" width="9.140625" style="77"/>
    <col min="3582" max="3583" width="10" style="77" customWidth="1"/>
    <col min="3584" max="3584" width="7" style="77" customWidth="1"/>
    <col min="3585" max="3585" width="24" style="77" customWidth="1"/>
    <col min="3586" max="3586" width="12.85546875" style="77" customWidth="1"/>
    <col min="3587" max="3588" width="13.140625" style="77" customWidth="1"/>
    <col min="3589" max="3589" width="9.140625" style="77"/>
    <col min="3590" max="3590" width="12.85546875" style="77" customWidth="1"/>
    <col min="3591" max="3591" width="9.140625" style="77"/>
    <col min="3592" max="3592" width="12.140625" style="77" customWidth="1"/>
    <col min="3593" max="3593" width="13" style="77" customWidth="1"/>
    <col min="3594" max="3594" width="11.7109375" style="77" customWidth="1"/>
    <col min="3595" max="3595" width="11.28515625" style="77" customWidth="1"/>
    <col min="3596" max="3596" width="14.85546875" style="77" customWidth="1"/>
    <col min="3597" max="3597" width="16.42578125" style="77" customWidth="1"/>
    <col min="3598" max="3598" width="14.85546875" style="77" customWidth="1"/>
    <col min="3599" max="3599" width="13.42578125" style="77" bestFit="1" customWidth="1"/>
    <col min="3600" max="3600" width="14.85546875" style="77" customWidth="1"/>
    <col min="3601" max="3601" width="16.5703125" style="77" customWidth="1"/>
    <col min="3602" max="3602" width="10.5703125" style="77" customWidth="1"/>
    <col min="3603" max="3603" width="12.42578125" style="77" bestFit="1" customWidth="1"/>
    <col min="3604" max="3604" width="15" style="77" bestFit="1" customWidth="1"/>
    <col min="3605" max="3606" width="18.28515625" style="77" bestFit="1" customWidth="1"/>
    <col min="3607" max="3607" width="17.42578125" style="77" bestFit="1" customWidth="1"/>
    <col min="3608" max="3608" width="12.85546875" style="77" bestFit="1" customWidth="1"/>
    <col min="3609" max="3609" width="12.28515625" style="77" bestFit="1" customWidth="1"/>
    <col min="3610" max="3837" width="9.140625" style="77"/>
    <col min="3838" max="3839" width="10" style="77" customWidth="1"/>
    <col min="3840" max="3840" width="7" style="77" customWidth="1"/>
    <col min="3841" max="3841" width="24" style="77" customWidth="1"/>
    <col min="3842" max="3842" width="12.85546875" style="77" customWidth="1"/>
    <col min="3843" max="3844" width="13.140625" style="77" customWidth="1"/>
    <col min="3845" max="3845" width="9.140625" style="77"/>
    <col min="3846" max="3846" width="12.85546875" style="77" customWidth="1"/>
    <col min="3847" max="3847" width="9.140625" style="77"/>
    <col min="3848" max="3848" width="12.140625" style="77" customWidth="1"/>
    <col min="3849" max="3849" width="13" style="77" customWidth="1"/>
    <col min="3850" max="3850" width="11.7109375" style="77" customWidth="1"/>
    <col min="3851" max="3851" width="11.28515625" style="77" customWidth="1"/>
    <col min="3852" max="3852" width="14.85546875" style="77" customWidth="1"/>
    <col min="3853" max="3853" width="16.42578125" style="77" customWidth="1"/>
    <col min="3854" max="3854" width="14.85546875" style="77" customWidth="1"/>
    <col min="3855" max="3855" width="13.42578125" style="77" bestFit="1" customWidth="1"/>
    <col min="3856" max="3856" width="14.85546875" style="77" customWidth="1"/>
    <col min="3857" max="3857" width="16.5703125" style="77" customWidth="1"/>
    <col min="3858" max="3858" width="10.5703125" style="77" customWidth="1"/>
    <col min="3859" max="3859" width="12.42578125" style="77" bestFit="1" customWidth="1"/>
    <col min="3860" max="3860" width="15" style="77" bestFit="1" customWidth="1"/>
    <col min="3861" max="3862" width="18.28515625" style="77" bestFit="1" customWidth="1"/>
    <col min="3863" max="3863" width="17.42578125" style="77" bestFit="1" customWidth="1"/>
    <col min="3864" max="3864" width="12.85546875" style="77" bestFit="1" customWidth="1"/>
    <col min="3865" max="3865" width="12.28515625" style="77" bestFit="1" customWidth="1"/>
    <col min="3866" max="4093" width="9.140625" style="77"/>
    <col min="4094" max="4095" width="10" style="77" customWidth="1"/>
    <col min="4096" max="4096" width="7" style="77" customWidth="1"/>
    <col min="4097" max="4097" width="24" style="77" customWidth="1"/>
    <col min="4098" max="4098" width="12.85546875" style="77" customWidth="1"/>
    <col min="4099" max="4100" width="13.140625" style="77" customWidth="1"/>
    <col min="4101" max="4101" width="9.140625" style="77"/>
    <col min="4102" max="4102" width="12.85546875" style="77" customWidth="1"/>
    <col min="4103" max="4103" width="9.140625" style="77"/>
    <col min="4104" max="4104" width="12.140625" style="77" customWidth="1"/>
    <col min="4105" max="4105" width="13" style="77" customWidth="1"/>
    <col min="4106" max="4106" width="11.7109375" style="77" customWidth="1"/>
    <col min="4107" max="4107" width="11.28515625" style="77" customWidth="1"/>
    <col min="4108" max="4108" width="14.85546875" style="77" customWidth="1"/>
    <col min="4109" max="4109" width="16.42578125" style="77" customWidth="1"/>
    <col min="4110" max="4110" width="14.85546875" style="77" customWidth="1"/>
    <col min="4111" max="4111" width="13.42578125" style="77" bestFit="1" customWidth="1"/>
    <col min="4112" max="4112" width="14.85546875" style="77" customWidth="1"/>
    <col min="4113" max="4113" width="16.5703125" style="77" customWidth="1"/>
    <col min="4114" max="4114" width="10.5703125" style="77" customWidth="1"/>
    <col min="4115" max="4115" width="12.42578125" style="77" bestFit="1" customWidth="1"/>
    <col min="4116" max="4116" width="15" style="77" bestFit="1" customWidth="1"/>
    <col min="4117" max="4118" width="18.28515625" style="77" bestFit="1" customWidth="1"/>
    <col min="4119" max="4119" width="17.42578125" style="77" bestFit="1" customWidth="1"/>
    <col min="4120" max="4120" width="12.85546875" style="77" bestFit="1" customWidth="1"/>
    <col min="4121" max="4121" width="12.28515625" style="77" bestFit="1" customWidth="1"/>
    <col min="4122" max="4349" width="9.140625" style="77"/>
    <col min="4350" max="4351" width="10" style="77" customWidth="1"/>
    <col min="4352" max="4352" width="7" style="77" customWidth="1"/>
    <col min="4353" max="4353" width="24" style="77" customWidth="1"/>
    <col min="4354" max="4354" width="12.85546875" style="77" customWidth="1"/>
    <col min="4355" max="4356" width="13.140625" style="77" customWidth="1"/>
    <col min="4357" max="4357" width="9.140625" style="77"/>
    <col min="4358" max="4358" width="12.85546875" style="77" customWidth="1"/>
    <col min="4359" max="4359" width="9.140625" style="77"/>
    <col min="4360" max="4360" width="12.140625" style="77" customWidth="1"/>
    <col min="4361" max="4361" width="13" style="77" customWidth="1"/>
    <col min="4362" max="4362" width="11.7109375" style="77" customWidth="1"/>
    <col min="4363" max="4363" width="11.28515625" style="77" customWidth="1"/>
    <col min="4364" max="4364" width="14.85546875" style="77" customWidth="1"/>
    <col min="4365" max="4365" width="16.42578125" style="77" customWidth="1"/>
    <col min="4366" max="4366" width="14.85546875" style="77" customWidth="1"/>
    <col min="4367" max="4367" width="13.42578125" style="77" bestFit="1" customWidth="1"/>
    <col min="4368" max="4368" width="14.85546875" style="77" customWidth="1"/>
    <col min="4369" max="4369" width="16.5703125" style="77" customWidth="1"/>
    <col min="4370" max="4370" width="10.5703125" style="77" customWidth="1"/>
    <col min="4371" max="4371" width="12.42578125" style="77" bestFit="1" customWidth="1"/>
    <col min="4372" max="4372" width="15" style="77" bestFit="1" customWidth="1"/>
    <col min="4373" max="4374" width="18.28515625" style="77" bestFit="1" customWidth="1"/>
    <col min="4375" max="4375" width="17.42578125" style="77" bestFit="1" customWidth="1"/>
    <col min="4376" max="4376" width="12.85546875" style="77" bestFit="1" customWidth="1"/>
    <col min="4377" max="4377" width="12.28515625" style="77" bestFit="1" customWidth="1"/>
    <col min="4378" max="4605" width="9.140625" style="77"/>
    <col min="4606" max="4607" width="10" style="77" customWidth="1"/>
    <col min="4608" max="4608" width="7" style="77" customWidth="1"/>
    <col min="4609" max="4609" width="24" style="77" customWidth="1"/>
    <col min="4610" max="4610" width="12.85546875" style="77" customWidth="1"/>
    <col min="4611" max="4612" width="13.140625" style="77" customWidth="1"/>
    <col min="4613" max="4613" width="9.140625" style="77"/>
    <col min="4614" max="4614" width="12.85546875" style="77" customWidth="1"/>
    <col min="4615" max="4615" width="9.140625" style="77"/>
    <col min="4616" max="4616" width="12.140625" style="77" customWidth="1"/>
    <col min="4617" max="4617" width="13" style="77" customWidth="1"/>
    <col min="4618" max="4618" width="11.7109375" style="77" customWidth="1"/>
    <col min="4619" max="4619" width="11.28515625" style="77" customWidth="1"/>
    <col min="4620" max="4620" width="14.85546875" style="77" customWidth="1"/>
    <col min="4621" max="4621" width="16.42578125" style="77" customWidth="1"/>
    <col min="4622" max="4622" width="14.85546875" style="77" customWidth="1"/>
    <col min="4623" max="4623" width="13.42578125" style="77" bestFit="1" customWidth="1"/>
    <col min="4624" max="4624" width="14.85546875" style="77" customWidth="1"/>
    <col min="4625" max="4625" width="16.5703125" style="77" customWidth="1"/>
    <col min="4626" max="4626" width="10.5703125" style="77" customWidth="1"/>
    <col min="4627" max="4627" width="12.42578125" style="77" bestFit="1" customWidth="1"/>
    <col min="4628" max="4628" width="15" style="77" bestFit="1" customWidth="1"/>
    <col min="4629" max="4630" width="18.28515625" style="77" bestFit="1" customWidth="1"/>
    <col min="4631" max="4631" width="17.42578125" style="77" bestFit="1" customWidth="1"/>
    <col min="4632" max="4632" width="12.85546875" style="77" bestFit="1" customWidth="1"/>
    <col min="4633" max="4633" width="12.28515625" style="77" bestFit="1" customWidth="1"/>
    <col min="4634" max="4861" width="9.140625" style="77"/>
    <col min="4862" max="4863" width="10" style="77" customWidth="1"/>
    <col min="4864" max="4864" width="7" style="77" customWidth="1"/>
    <col min="4865" max="4865" width="24" style="77" customWidth="1"/>
    <col min="4866" max="4866" width="12.85546875" style="77" customWidth="1"/>
    <col min="4867" max="4868" width="13.140625" style="77" customWidth="1"/>
    <col min="4869" max="4869" width="9.140625" style="77"/>
    <col min="4870" max="4870" width="12.85546875" style="77" customWidth="1"/>
    <col min="4871" max="4871" width="9.140625" style="77"/>
    <col min="4872" max="4872" width="12.140625" style="77" customWidth="1"/>
    <col min="4873" max="4873" width="13" style="77" customWidth="1"/>
    <col min="4874" max="4874" width="11.7109375" style="77" customWidth="1"/>
    <col min="4875" max="4875" width="11.28515625" style="77" customWidth="1"/>
    <col min="4876" max="4876" width="14.85546875" style="77" customWidth="1"/>
    <col min="4877" max="4877" width="16.42578125" style="77" customWidth="1"/>
    <col min="4878" max="4878" width="14.85546875" style="77" customWidth="1"/>
    <col min="4879" max="4879" width="13.42578125" style="77" bestFit="1" customWidth="1"/>
    <col min="4880" max="4880" width="14.85546875" style="77" customWidth="1"/>
    <col min="4881" max="4881" width="16.5703125" style="77" customWidth="1"/>
    <col min="4882" max="4882" width="10.5703125" style="77" customWidth="1"/>
    <col min="4883" max="4883" width="12.42578125" style="77" bestFit="1" customWidth="1"/>
    <col min="4884" max="4884" width="15" style="77" bestFit="1" customWidth="1"/>
    <col min="4885" max="4886" width="18.28515625" style="77" bestFit="1" customWidth="1"/>
    <col min="4887" max="4887" width="17.42578125" style="77" bestFit="1" customWidth="1"/>
    <col min="4888" max="4888" width="12.85546875" style="77" bestFit="1" customWidth="1"/>
    <col min="4889" max="4889" width="12.28515625" style="77" bestFit="1" customWidth="1"/>
    <col min="4890" max="5117" width="9.140625" style="77"/>
    <col min="5118" max="5119" width="10" style="77" customWidth="1"/>
    <col min="5120" max="5120" width="7" style="77" customWidth="1"/>
    <col min="5121" max="5121" width="24" style="77" customWidth="1"/>
    <col min="5122" max="5122" width="12.85546875" style="77" customWidth="1"/>
    <col min="5123" max="5124" width="13.140625" style="77" customWidth="1"/>
    <col min="5125" max="5125" width="9.140625" style="77"/>
    <col min="5126" max="5126" width="12.85546875" style="77" customWidth="1"/>
    <col min="5127" max="5127" width="9.140625" style="77"/>
    <col min="5128" max="5128" width="12.140625" style="77" customWidth="1"/>
    <col min="5129" max="5129" width="13" style="77" customWidth="1"/>
    <col min="5130" max="5130" width="11.7109375" style="77" customWidth="1"/>
    <col min="5131" max="5131" width="11.28515625" style="77" customWidth="1"/>
    <col min="5132" max="5132" width="14.85546875" style="77" customWidth="1"/>
    <col min="5133" max="5133" width="16.42578125" style="77" customWidth="1"/>
    <col min="5134" max="5134" width="14.85546875" style="77" customWidth="1"/>
    <col min="5135" max="5135" width="13.42578125" style="77" bestFit="1" customWidth="1"/>
    <col min="5136" max="5136" width="14.85546875" style="77" customWidth="1"/>
    <col min="5137" max="5137" width="16.5703125" style="77" customWidth="1"/>
    <col min="5138" max="5138" width="10.5703125" style="77" customWidth="1"/>
    <col min="5139" max="5139" width="12.42578125" style="77" bestFit="1" customWidth="1"/>
    <col min="5140" max="5140" width="15" style="77" bestFit="1" customWidth="1"/>
    <col min="5141" max="5142" width="18.28515625" style="77" bestFit="1" customWidth="1"/>
    <col min="5143" max="5143" width="17.42578125" style="77" bestFit="1" customWidth="1"/>
    <col min="5144" max="5144" width="12.85546875" style="77" bestFit="1" customWidth="1"/>
    <col min="5145" max="5145" width="12.28515625" style="77" bestFit="1" customWidth="1"/>
    <col min="5146" max="5373" width="9.140625" style="77"/>
    <col min="5374" max="5375" width="10" style="77" customWidth="1"/>
    <col min="5376" max="5376" width="7" style="77" customWidth="1"/>
    <col min="5377" max="5377" width="24" style="77" customWidth="1"/>
    <col min="5378" max="5378" width="12.85546875" style="77" customWidth="1"/>
    <col min="5379" max="5380" width="13.140625" style="77" customWidth="1"/>
    <col min="5381" max="5381" width="9.140625" style="77"/>
    <col min="5382" max="5382" width="12.85546875" style="77" customWidth="1"/>
    <col min="5383" max="5383" width="9.140625" style="77"/>
    <col min="5384" max="5384" width="12.140625" style="77" customWidth="1"/>
    <col min="5385" max="5385" width="13" style="77" customWidth="1"/>
    <col min="5386" max="5386" width="11.7109375" style="77" customWidth="1"/>
    <col min="5387" max="5387" width="11.28515625" style="77" customWidth="1"/>
    <col min="5388" max="5388" width="14.85546875" style="77" customWidth="1"/>
    <col min="5389" max="5389" width="16.42578125" style="77" customWidth="1"/>
    <col min="5390" max="5390" width="14.85546875" style="77" customWidth="1"/>
    <col min="5391" max="5391" width="13.42578125" style="77" bestFit="1" customWidth="1"/>
    <col min="5392" max="5392" width="14.85546875" style="77" customWidth="1"/>
    <col min="5393" max="5393" width="16.5703125" style="77" customWidth="1"/>
    <col min="5394" max="5394" width="10.5703125" style="77" customWidth="1"/>
    <col min="5395" max="5395" width="12.42578125" style="77" bestFit="1" customWidth="1"/>
    <col min="5396" max="5396" width="15" style="77" bestFit="1" customWidth="1"/>
    <col min="5397" max="5398" width="18.28515625" style="77" bestFit="1" customWidth="1"/>
    <col min="5399" max="5399" width="17.42578125" style="77" bestFit="1" customWidth="1"/>
    <col min="5400" max="5400" width="12.85546875" style="77" bestFit="1" customWidth="1"/>
    <col min="5401" max="5401" width="12.28515625" style="77" bestFit="1" customWidth="1"/>
    <col min="5402" max="5629" width="9.140625" style="77"/>
    <col min="5630" max="5631" width="10" style="77" customWidth="1"/>
    <col min="5632" max="5632" width="7" style="77" customWidth="1"/>
    <col min="5633" max="5633" width="24" style="77" customWidth="1"/>
    <col min="5634" max="5634" width="12.85546875" style="77" customWidth="1"/>
    <col min="5635" max="5636" width="13.140625" style="77" customWidth="1"/>
    <col min="5637" max="5637" width="9.140625" style="77"/>
    <col min="5638" max="5638" width="12.85546875" style="77" customWidth="1"/>
    <col min="5639" max="5639" width="9.140625" style="77"/>
    <col min="5640" max="5640" width="12.140625" style="77" customWidth="1"/>
    <col min="5641" max="5641" width="13" style="77" customWidth="1"/>
    <col min="5642" max="5642" width="11.7109375" style="77" customWidth="1"/>
    <col min="5643" max="5643" width="11.28515625" style="77" customWidth="1"/>
    <col min="5644" max="5644" width="14.85546875" style="77" customWidth="1"/>
    <col min="5645" max="5645" width="16.42578125" style="77" customWidth="1"/>
    <col min="5646" max="5646" width="14.85546875" style="77" customWidth="1"/>
    <col min="5647" max="5647" width="13.42578125" style="77" bestFit="1" customWidth="1"/>
    <col min="5648" max="5648" width="14.85546875" style="77" customWidth="1"/>
    <col min="5649" max="5649" width="16.5703125" style="77" customWidth="1"/>
    <col min="5650" max="5650" width="10.5703125" style="77" customWidth="1"/>
    <col min="5651" max="5651" width="12.42578125" style="77" bestFit="1" customWidth="1"/>
    <col min="5652" max="5652" width="15" style="77" bestFit="1" customWidth="1"/>
    <col min="5653" max="5654" width="18.28515625" style="77" bestFit="1" customWidth="1"/>
    <col min="5655" max="5655" width="17.42578125" style="77" bestFit="1" customWidth="1"/>
    <col min="5656" max="5656" width="12.85546875" style="77" bestFit="1" customWidth="1"/>
    <col min="5657" max="5657" width="12.28515625" style="77" bestFit="1" customWidth="1"/>
    <col min="5658" max="5885" width="9.140625" style="77"/>
    <col min="5886" max="5887" width="10" style="77" customWidth="1"/>
    <col min="5888" max="5888" width="7" style="77" customWidth="1"/>
    <col min="5889" max="5889" width="24" style="77" customWidth="1"/>
    <col min="5890" max="5890" width="12.85546875" style="77" customWidth="1"/>
    <col min="5891" max="5892" width="13.140625" style="77" customWidth="1"/>
    <col min="5893" max="5893" width="9.140625" style="77"/>
    <col min="5894" max="5894" width="12.85546875" style="77" customWidth="1"/>
    <col min="5895" max="5895" width="9.140625" style="77"/>
    <col min="5896" max="5896" width="12.140625" style="77" customWidth="1"/>
    <col min="5897" max="5897" width="13" style="77" customWidth="1"/>
    <col min="5898" max="5898" width="11.7109375" style="77" customWidth="1"/>
    <col min="5899" max="5899" width="11.28515625" style="77" customWidth="1"/>
    <col min="5900" max="5900" width="14.85546875" style="77" customWidth="1"/>
    <col min="5901" max="5901" width="16.42578125" style="77" customWidth="1"/>
    <col min="5902" max="5902" width="14.85546875" style="77" customWidth="1"/>
    <col min="5903" max="5903" width="13.42578125" style="77" bestFit="1" customWidth="1"/>
    <col min="5904" max="5904" width="14.85546875" style="77" customWidth="1"/>
    <col min="5905" max="5905" width="16.5703125" style="77" customWidth="1"/>
    <col min="5906" max="5906" width="10.5703125" style="77" customWidth="1"/>
    <col min="5907" max="5907" width="12.42578125" style="77" bestFit="1" customWidth="1"/>
    <col min="5908" max="5908" width="15" style="77" bestFit="1" customWidth="1"/>
    <col min="5909" max="5910" width="18.28515625" style="77" bestFit="1" customWidth="1"/>
    <col min="5911" max="5911" width="17.42578125" style="77" bestFit="1" customWidth="1"/>
    <col min="5912" max="5912" width="12.85546875" style="77" bestFit="1" customWidth="1"/>
    <col min="5913" max="5913" width="12.28515625" style="77" bestFit="1" customWidth="1"/>
    <col min="5914" max="6141" width="9.140625" style="77"/>
    <col min="6142" max="6143" width="10" style="77" customWidth="1"/>
    <col min="6144" max="6144" width="7" style="77" customWidth="1"/>
    <col min="6145" max="6145" width="24" style="77" customWidth="1"/>
    <col min="6146" max="6146" width="12.85546875" style="77" customWidth="1"/>
    <col min="6147" max="6148" width="13.140625" style="77" customWidth="1"/>
    <col min="6149" max="6149" width="9.140625" style="77"/>
    <col min="6150" max="6150" width="12.85546875" style="77" customWidth="1"/>
    <col min="6151" max="6151" width="9.140625" style="77"/>
    <col min="6152" max="6152" width="12.140625" style="77" customWidth="1"/>
    <col min="6153" max="6153" width="13" style="77" customWidth="1"/>
    <col min="6154" max="6154" width="11.7109375" style="77" customWidth="1"/>
    <col min="6155" max="6155" width="11.28515625" style="77" customWidth="1"/>
    <col min="6156" max="6156" width="14.85546875" style="77" customWidth="1"/>
    <col min="6157" max="6157" width="16.42578125" style="77" customWidth="1"/>
    <col min="6158" max="6158" width="14.85546875" style="77" customWidth="1"/>
    <col min="6159" max="6159" width="13.42578125" style="77" bestFit="1" customWidth="1"/>
    <col min="6160" max="6160" width="14.85546875" style="77" customWidth="1"/>
    <col min="6161" max="6161" width="16.5703125" style="77" customWidth="1"/>
    <col min="6162" max="6162" width="10.5703125" style="77" customWidth="1"/>
    <col min="6163" max="6163" width="12.42578125" style="77" bestFit="1" customWidth="1"/>
    <col min="6164" max="6164" width="15" style="77" bestFit="1" customWidth="1"/>
    <col min="6165" max="6166" width="18.28515625" style="77" bestFit="1" customWidth="1"/>
    <col min="6167" max="6167" width="17.42578125" style="77" bestFit="1" customWidth="1"/>
    <col min="6168" max="6168" width="12.85546875" style="77" bestFit="1" customWidth="1"/>
    <col min="6169" max="6169" width="12.28515625" style="77" bestFit="1" customWidth="1"/>
    <col min="6170" max="6397" width="9.140625" style="77"/>
    <col min="6398" max="6399" width="10" style="77" customWidth="1"/>
    <col min="6400" max="6400" width="7" style="77" customWidth="1"/>
    <col min="6401" max="6401" width="24" style="77" customWidth="1"/>
    <col min="6402" max="6402" width="12.85546875" style="77" customWidth="1"/>
    <col min="6403" max="6404" width="13.140625" style="77" customWidth="1"/>
    <col min="6405" max="6405" width="9.140625" style="77"/>
    <col min="6406" max="6406" width="12.85546875" style="77" customWidth="1"/>
    <col min="6407" max="6407" width="9.140625" style="77"/>
    <col min="6408" max="6408" width="12.140625" style="77" customWidth="1"/>
    <col min="6409" max="6409" width="13" style="77" customWidth="1"/>
    <col min="6410" max="6410" width="11.7109375" style="77" customWidth="1"/>
    <col min="6411" max="6411" width="11.28515625" style="77" customWidth="1"/>
    <col min="6412" max="6412" width="14.85546875" style="77" customWidth="1"/>
    <col min="6413" max="6413" width="16.42578125" style="77" customWidth="1"/>
    <col min="6414" max="6414" width="14.85546875" style="77" customWidth="1"/>
    <col min="6415" max="6415" width="13.42578125" style="77" bestFit="1" customWidth="1"/>
    <col min="6416" max="6416" width="14.85546875" style="77" customWidth="1"/>
    <col min="6417" max="6417" width="16.5703125" style="77" customWidth="1"/>
    <col min="6418" max="6418" width="10.5703125" style="77" customWidth="1"/>
    <col min="6419" max="6419" width="12.42578125" style="77" bestFit="1" customWidth="1"/>
    <col min="6420" max="6420" width="15" style="77" bestFit="1" customWidth="1"/>
    <col min="6421" max="6422" width="18.28515625" style="77" bestFit="1" customWidth="1"/>
    <col min="6423" max="6423" width="17.42578125" style="77" bestFit="1" customWidth="1"/>
    <col min="6424" max="6424" width="12.85546875" style="77" bestFit="1" customWidth="1"/>
    <col min="6425" max="6425" width="12.28515625" style="77" bestFit="1" customWidth="1"/>
    <col min="6426" max="6653" width="9.140625" style="77"/>
    <col min="6654" max="6655" width="10" style="77" customWidth="1"/>
    <col min="6656" max="6656" width="7" style="77" customWidth="1"/>
    <col min="6657" max="6657" width="24" style="77" customWidth="1"/>
    <col min="6658" max="6658" width="12.85546875" style="77" customWidth="1"/>
    <col min="6659" max="6660" width="13.140625" style="77" customWidth="1"/>
    <col min="6661" max="6661" width="9.140625" style="77"/>
    <col min="6662" max="6662" width="12.85546875" style="77" customWidth="1"/>
    <col min="6663" max="6663" width="9.140625" style="77"/>
    <col min="6664" max="6664" width="12.140625" style="77" customWidth="1"/>
    <col min="6665" max="6665" width="13" style="77" customWidth="1"/>
    <col min="6666" max="6666" width="11.7109375" style="77" customWidth="1"/>
    <col min="6667" max="6667" width="11.28515625" style="77" customWidth="1"/>
    <col min="6668" max="6668" width="14.85546875" style="77" customWidth="1"/>
    <col min="6669" max="6669" width="16.42578125" style="77" customWidth="1"/>
    <col min="6670" max="6670" width="14.85546875" style="77" customWidth="1"/>
    <col min="6671" max="6671" width="13.42578125" style="77" bestFit="1" customWidth="1"/>
    <col min="6672" max="6672" width="14.85546875" style="77" customWidth="1"/>
    <col min="6673" max="6673" width="16.5703125" style="77" customWidth="1"/>
    <col min="6674" max="6674" width="10.5703125" style="77" customWidth="1"/>
    <col min="6675" max="6675" width="12.42578125" style="77" bestFit="1" customWidth="1"/>
    <col min="6676" max="6676" width="15" style="77" bestFit="1" customWidth="1"/>
    <col min="6677" max="6678" width="18.28515625" style="77" bestFit="1" customWidth="1"/>
    <col min="6679" max="6679" width="17.42578125" style="77" bestFit="1" customWidth="1"/>
    <col min="6680" max="6680" width="12.85546875" style="77" bestFit="1" customWidth="1"/>
    <col min="6681" max="6681" width="12.28515625" style="77" bestFit="1" customWidth="1"/>
    <col min="6682" max="6909" width="9.140625" style="77"/>
    <col min="6910" max="6911" width="10" style="77" customWidth="1"/>
    <col min="6912" max="6912" width="7" style="77" customWidth="1"/>
    <col min="6913" max="6913" width="24" style="77" customWidth="1"/>
    <col min="6914" max="6914" width="12.85546875" style="77" customWidth="1"/>
    <col min="6915" max="6916" width="13.140625" style="77" customWidth="1"/>
    <col min="6917" max="6917" width="9.140625" style="77"/>
    <col min="6918" max="6918" width="12.85546875" style="77" customWidth="1"/>
    <col min="6919" max="6919" width="9.140625" style="77"/>
    <col min="6920" max="6920" width="12.140625" style="77" customWidth="1"/>
    <col min="6921" max="6921" width="13" style="77" customWidth="1"/>
    <col min="6922" max="6922" width="11.7109375" style="77" customWidth="1"/>
    <col min="6923" max="6923" width="11.28515625" style="77" customWidth="1"/>
    <col min="6924" max="6924" width="14.85546875" style="77" customWidth="1"/>
    <col min="6925" max="6925" width="16.42578125" style="77" customWidth="1"/>
    <col min="6926" max="6926" width="14.85546875" style="77" customWidth="1"/>
    <col min="6927" max="6927" width="13.42578125" style="77" bestFit="1" customWidth="1"/>
    <col min="6928" max="6928" width="14.85546875" style="77" customWidth="1"/>
    <col min="6929" max="6929" width="16.5703125" style="77" customWidth="1"/>
    <col min="6930" max="6930" width="10.5703125" style="77" customWidth="1"/>
    <col min="6931" max="6931" width="12.42578125" style="77" bestFit="1" customWidth="1"/>
    <col min="6932" max="6932" width="15" style="77" bestFit="1" customWidth="1"/>
    <col min="6933" max="6934" width="18.28515625" style="77" bestFit="1" customWidth="1"/>
    <col min="6935" max="6935" width="17.42578125" style="77" bestFit="1" customWidth="1"/>
    <col min="6936" max="6936" width="12.85546875" style="77" bestFit="1" customWidth="1"/>
    <col min="6937" max="6937" width="12.28515625" style="77" bestFit="1" customWidth="1"/>
    <col min="6938" max="7165" width="9.140625" style="77"/>
    <col min="7166" max="7167" width="10" style="77" customWidth="1"/>
    <col min="7168" max="7168" width="7" style="77" customWidth="1"/>
    <col min="7169" max="7169" width="24" style="77" customWidth="1"/>
    <col min="7170" max="7170" width="12.85546875" style="77" customWidth="1"/>
    <col min="7171" max="7172" width="13.140625" style="77" customWidth="1"/>
    <col min="7173" max="7173" width="9.140625" style="77"/>
    <col min="7174" max="7174" width="12.85546875" style="77" customWidth="1"/>
    <col min="7175" max="7175" width="9.140625" style="77"/>
    <col min="7176" max="7176" width="12.140625" style="77" customWidth="1"/>
    <col min="7177" max="7177" width="13" style="77" customWidth="1"/>
    <col min="7178" max="7178" width="11.7109375" style="77" customWidth="1"/>
    <col min="7179" max="7179" width="11.28515625" style="77" customWidth="1"/>
    <col min="7180" max="7180" width="14.85546875" style="77" customWidth="1"/>
    <col min="7181" max="7181" width="16.42578125" style="77" customWidth="1"/>
    <col min="7182" max="7182" width="14.85546875" style="77" customWidth="1"/>
    <col min="7183" max="7183" width="13.42578125" style="77" bestFit="1" customWidth="1"/>
    <col min="7184" max="7184" width="14.85546875" style="77" customWidth="1"/>
    <col min="7185" max="7185" width="16.5703125" style="77" customWidth="1"/>
    <col min="7186" max="7186" width="10.5703125" style="77" customWidth="1"/>
    <col min="7187" max="7187" width="12.42578125" style="77" bestFit="1" customWidth="1"/>
    <col min="7188" max="7188" width="15" style="77" bestFit="1" customWidth="1"/>
    <col min="7189" max="7190" width="18.28515625" style="77" bestFit="1" customWidth="1"/>
    <col min="7191" max="7191" width="17.42578125" style="77" bestFit="1" customWidth="1"/>
    <col min="7192" max="7192" width="12.85546875" style="77" bestFit="1" customWidth="1"/>
    <col min="7193" max="7193" width="12.28515625" style="77" bestFit="1" customWidth="1"/>
    <col min="7194" max="7421" width="9.140625" style="77"/>
    <col min="7422" max="7423" width="10" style="77" customWidth="1"/>
    <col min="7424" max="7424" width="7" style="77" customWidth="1"/>
    <col min="7425" max="7425" width="24" style="77" customWidth="1"/>
    <col min="7426" max="7426" width="12.85546875" style="77" customWidth="1"/>
    <col min="7427" max="7428" width="13.140625" style="77" customWidth="1"/>
    <col min="7429" max="7429" width="9.140625" style="77"/>
    <col min="7430" max="7430" width="12.85546875" style="77" customWidth="1"/>
    <col min="7431" max="7431" width="9.140625" style="77"/>
    <col min="7432" max="7432" width="12.140625" style="77" customWidth="1"/>
    <col min="7433" max="7433" width="13" style="77" customWidth="1"/>
    <col min="7434" max="7434" width="11.7109375" style="77" customWidth="1"/>
    <col min="7435" max="7435" width="11.28515625" style="77" customWidth="1"/>
    <col min="7436" max="7436" width="14.85546875" style="77" customWidth="1"/>
    <col min="7437" max="7437" width="16.42578125" style="77" customWidth="1"/>
    <col min="7438" max="7438" width="14.85546875" style="77" customWidth="1"/>
    <col min="7439" max="7439" width="13.42578125" style="77" bestFit="1" customWidth="1"/>
    <col min="7440" max="7440" width="14.85546875" style="77" customWidth="1"/>
    <col min="7441" max="7441" width="16.5703125" style="77" customWidth="1"/>
    <col min="7442" max="7442" width="10.5703125" style="77" customWidth="1"/>
    <col min="7443" max="7443" width="12.42578125" style="77" bestFit="1" customWidth="1"/>
    <col min="7444" max="7444" width="15" style="77" bestFit="1" customWidth="1"/>
    <col min="7445" max="7446" width="18.28515625" style="77" bestFit="1" customWidth="1"/>
    <col min="7447" max="7447" width="17.42578125" style="77" bestFit="1" customWidth="1"/>
    <col min="7448" max="7448" width="12.85546875" style="77" bestFit="1" customWidth="1"/>
    <col min="7449" max="7449" width="12.28515625" style="77" bestFit="1" customWidth="1"/>
    <col min="7450" max="7677" width="9.140625" style="77"/>
    <col min="7678" max="7679" width="10" style="77" customWidth="1"/>
    <col min="7680" max="7680" width="7" style="77" customWidth="1"/>
    <col min="7681" max="7681" width="24" style="77" customWidth="1"/>
    <col min="7682" max="7682" width="12.85546875" style="77" customWidth="1"/>
    <col min="7683" max="7684" width="13.140625" style="77" customWidth="1"/>
    <col min="7685" max="7685" width="9.140625" style="77"/>
    <col min="7686" max="7686" width="12.85546875" style="77" customWidth="1"/>
    <col min="7687" max="7687" width="9.140625" style="77"/>
    <col min="7688" max="7688" width="12.140625" style="77" customWidth="1"/>
    <col min="7689" max="7689" width="13" style="77" customWidth="1"/>
    <col min="7690" max="7690" width="11.7109375" style="77" customWidth="1"/>
    <col min="7691" max="7691" width="11.28515625" style="77" customWidth="1"/>
    <col min="7692" max="7692" width="14.85546875" style="77" customWidth="1"/>
    <col min="7693" max="7693" width="16.42578125" style="77" customWidth="1"/>
    <col min="7694" max="7694" width="14.85546875" style="77" customWidth="1"/>
    <col min="7695" max="7695" width="13.42578125" style="77" bestFit="1" customWidth="1"/>
    <col min="7696" max="7696" width="14.85546875" style="77" customWidth="1"/>
    <col min="7697" max="7697" width="16.5703125" style="77" customWidth="1"/>
    <col min="7698" max="7698" width="10.5703125" style="77" customWidth="1"/>
    <col min="7699" max="7699" width="12.42578125" style="77" bestFit="1" customWidth="1"/>
    <col min="7700" max="7700" width="15" style="77" bestFit="1" customWidth="1"/>
    <col min="7701" max="7702" width="18.28515625" style="77" bestFit="1" customWidth="1"/>
    <col min="7703" max="7703" width="17.42578125" style="77" bestFit="1" customWidth="1"/>
    <col min="7704" max="7704" width="12.85546875" style="77" bestFit="1" customWidth="1"/>
    <col min="7705" max="7705" width="12.28515625" style="77" bestFit="1" customWidth="1"/>
    <col min="7706" max="7933" width="9.140625" style="77"/>
    <col min="7934" max="7935" width="10" style="77" customWidth="1"/>
    <col min="7936" max="7936" width="7" style="77" customWidth="1"/>
    <col min="7937" max="7937" width="24" style="77" customWidth="1"/>
    <col min="7938" max="7938" width="12.85546875" style="77" customWidth="1"/>
    <col min="7939" max="7940" width="13.140625" style="77" customWidth="1"/>
    <col min="7941" max="7941" width="9.140625" style="77"/>
    <col min="7942" max="7942" width="12.85546875" style="77" customWidth="1"/>
    <col min="7943" max="7943" width="9.140625" style="77"/>
    <col min="7944" max="7944" width="12.140625" style="77" customWidth="1"/>
    <col min="7945" max="7945" width="13" style="77" customWidth="1"/>
    <col min="7946" max="7946" width="11.7109375" style="77" customWidth="1"/>
    <col min="7947" max="7947" width="11.28515625" style="77" customWidth="1"/>
    <col min="7948" max="7948" width="14.85546875" style="77" customWidth="1"/>
    <col min="7949" max="7949" width="16.42578125" style="77" customWidth="1"/>
    <col min="7950" max="7950" width="14.85546875" style="77" customWidth="1"/>
    <col min="7951" max="7951" width="13.42578125" style="77" bestFit="1" customWidth="1"/>
    <col min="7952" max="7952" width="14.85546875" style="77" customWidth="1"/>
    <col min="7953" max="7953" width="16.5703125" style="77" customWidth="1"/>
    <col min="7954" max="7954" width="10.5703125" style="77" customWidth="1"/>
    <col min="7955" max="7955" width="12.42578125" style="77" bestFit="1" customWidth="1"/>
    <col min="7956" max="7956" width="15" style="77" bestFit="1" customWidth="1"/>
    <col min="7957" max="7958" width="18.28515625" style="77" bestFit="1" customWidth="1"/>
    <col min="7959" max="7959" width="17.42578125" style="77" bestFit="1" customWidth="1"/>
    <col min="7960" max="7960" width="12.85546875" style="77" bestFit="1" customWidth="1"/>
    <col min="7961" max="7961" width="12.28515625" style="77" bestFit="1" customWidth="1"/>
    <col min="7962" max="8189" width="9.140625" style="77"/>
    <col min="8190" max="8191" width="10" style="77" customWidth="1"/>
    <col min="8192" max="8192" width="7" style="77" customWidth="1"/>
    <col min="8193" max="8193" width="24" style="77" customWidth="1"/>
    <col min="8194" max="8194" width="12.85546875" style="77" customWidth="1"/>
    <col min="8195" max="8196" width="13.140625" style="77" customWidth="1"/>
    <col min="8197" max="8197" width="9.140625" style="77"/>
    <col min="8198" max="8198" width="12.85546875" style="77" customWidth="1"/>
    <col min="8199" max="8199" width="9.140625" style="77"/>
    <col min="8200" max="8200" width="12.140625" style="77" customWidth="1"/>
    <col min="8201" max="8201" width="13" style="77" customWidth="1"/>
    <col min="8202" max="8202" width="11.7109375" style="77" customWidth="1"/>
    <col min="8203" max="8203" width="11.28515625" style="77" customWidth="1"/>
    <col min="8204" max="8204" width="14.85546875" style="77" customWidth="1"/>
    <col min="8205" max="8205" width="16.42578125" style="77" customWidth="1"/>
    <col min="8206" max="8206" width="14.85546875" style="77" customWidth="1"/>
    <col min="8207" max="8207" width="13.42578125" style="77" bestFit="1" customWidth="1"/>
    <col min="8208" max="8208" width="14.85546875" style="77" customWidth="1"/>
    <col min="8209" max="8209" width="16.5703125" style="77" customWidth="1"/>
    <col min="8210" max="8210" width="10.5703125" style="77" customWidth="1"/>
    <col min="8211" max="8211" width="12.42578125" style="77" bestFit="1" customWidth="1"/>
    <col min="8212" max="8212" width="15" style="77" bestFit="1" customWidth="1"/>
    <col min="8213" max="8214" width="18.28515625" style="77" bestFit="1" customWidth="1"/>
    <col min="8215" max="8215" width="17.42578125" style="77" bestFit="1" customWidth="1"/>
    <col min="8216" max="8216" width="12.85546875" style="77" bestFit="1" customWidth="1"/>
    <col min="8217" max="8217" width="12.28515625" style="77" bestFit="1" customWidth="1"/>
    <col min="8218" max="8445" width="9.140625" style="77"/>
    <col min="8446" max="8447" width="10" style="77" customWidth="1"/>
    <col min="8448" max="8448" width="7" style="77" customWidth="1"/>
    <col min="8449" max="8449" width="24" style="77" customWidth="1"/>
    <col min="8450" max="8450" width="12.85546875" style="77" customWidth="1"/>
    <col min="8451" max="8452" width="13.140625" style="77" customWidth="1"/>
    <col min="8453" max="8453" width="9.140625" style="77"/>
    <col min="8454" max="8454" width="12.85546875" style="77" customWidth="1"/>
    <col min="8455" max="8455" width="9.140625" style="77"/>
    <col min="8456" max="8456" width="12.140625" style="77" customWidth="1"/>
    <col min="8457" max="8457" width="13" style="77" customWidth="1"/>
    <col min="8458" max="8458" width="11.7109375" style="77" customWidth="1"/>
    <col min="8459" max="8459" width="11.28515625" style="77" customWidth="1"/>
    <col min="8460" max="8460" width="14.85546875" style="77" customWidth="1"/>
    <col min="8461" max="8461" width="16.42578125" style="77" customWidth="1"/>
    <col min="8462" max="8462" width="14.85546875" style="77" customWidth="1"/>
    <col min="8463" max="8463" width="13.42578125" style="77" bestFit="1" customWidth="1"/>
    <col min="8464" max="8464" width="14.85546875" style="77" customWidth="1"/>
    <col min="8465" max="8465" width="16.5703125" style="77" customWidth="1"/>
    <col min="8466" max="8466" width="10.5703125" style="77" customWidth="1"/>
    <col min="8467" max="8467" width="12.42578125" style="77" bestFit="1" customWidth="1"/>
    <col min="8468" max="8468" width="15" style="77" bestFit="1" customWidth="1"/>
    <col min="8469" max="8470" width="18.28515625" style="77" bestFit="1" customWidth="1"/>
    <col min="8471" max="8471" width="17.42578125" style="77" bestFit="1" customWidth="1"/>
    <col min="8472" max="8472" width="12.85546875" style="77" bestFit="1" customWidth="1"/>
    <col min="8473" max="8473" width="12.28515625" style="77" bestFit="1" customWidth="1"/>
    <col min="8474" max="8701" width="9.140625" style="77"/>
    <col min="8702" max="8703" width="10" style="77" customWidth="1"/>
    <col min="8704" max="8704" width="7" style="77" customWidth="1"/>
    <col min="8705" max="8705" width="24" style="77" customWidth="1"/>
    <col min="8706" max="8706" width="12.85546875" style="77" customWidth="1"/>
    <col min="8707" max="8708" width="13.140625" style="77" customWidth="1"/>
    <col min="8709" max="8709" width="9.140625" style="77"/>
    <col min="8710" max="8710" width="12.85546875" style="77" customWidth="1"/>
    <col min="8711" max="8711" width="9.140625" style="77"/>
    <col min="8712" max="8712" width="12.140625" style="77" customWidth="1"/>
    <col min="8713" max="8713" width="13" style="77" customWidth="1"/>
    <col min="8714" max="8714" width="11.7109375" style="77" customWidth="1"/>
    <col min="8715" max="8715" width="11.28515625" style="77" customWidth="1"/>
    <col min="8716" max="8716" width="14.85546875" style="77" customWidth="1"/>
    <col min="8717" max="8717" width="16.42578125" style="77" customWidth="1"/>
    <col min="8718" max="8718" width="14.85546875" style="77" customWidth="1"/>
    <col min="8719" max="8719" width="13.42578125" style="77" bestFit="1" customWidth="1"/>
    <col min="8720" max="8720" width="14.85546875" style="77" customWidth="1"/>
    <col min="8721" max="8721" width="16.5703125" style="77" customWidth="1"/>
    <col min="8722" max="8722" width="10.5703125" style="77" customWidth="1"/>
    <col min="8723" max="8723" width="12.42578125" style="77" bestFit="1" customWidth="1"/>
    <col min="8724" max="8724" width="15" style="77" bestFit="1" customWidth="1"/>
    <col min="8725" max="8726" width="18.28515625" style="77" bestFit="1" customWidth="1"/>
    <col min="8727" max="8727" width="17.42578125" style="77" bestFit="1" customWidth="1"/>
    <col min="8728" max="8728" width="12.85546875" style="77" bestFit="1" customWidth="1"/>
    <col min="8729" max="8729" width="12.28515625" style="77" bestFit="1" customWidth="1"/>
    <col min="8730" max="8957" width="9.140625" style="77"/>
    <col min="8958" max="8959" width="10" style="77" customWidth="1"/>
    <col min="8960" max="8960" width="7" style="77" customWidth="1"/>
    <col min="8961" max="8961" width="24" style="77" customWidth="1"/>
    <col min="8962" max="8962" width="12.85546875" style="77" customWidth="1"/>
    <col min="8963" max="8964" width="13.140625" style="77" customWidth="1"/>
    <col min="8965" max="8965" width="9.140625" style="77"/>
    <col min="8966" max="8966" width="12.85546875" style="77" customWidth="1"/>
    <col min="8967" max="8967" width="9.140625" style="77"/>
    <col min="8968" max="8968" width="12.140625" style="77" customWidth="1"/>
    <col min="8969" max="8969" width="13" style="77" customWidth="1"/>
    <col min="8970" max="8970" width="11.7109375" style="77" customWidth="1"/>
    <col min="8971" max="8971" width="11.28515625" style="77" customWidth="1"/>
    <col min="8972" max="8972" width="14.85546875" style="77" customWidth="1"/>
    <col min="8973" max="8973" width="16.42578125" style="77" customWidth="1"/>
    <col min="8974" max="8974" width="14.85546875" style="77" customWidth="1"/>
    <col min="8975" max="8975" width="13.42578125" style="77" bestFit="1" customWidth="1"/>
    <col min="8976" max="8976" width="14.85546875" style="77" customWidth="1"/>
    <col min="8977" max="8977" width="16.5703125" style="77" customWidth="1"/>
    <col min="8978" max="8978" width="10.5703125" style="77" customWidth="1"/>
    <col min="8979" max="8979" width="12.42578125" style="77" bestFit="1" customWidth="1"/>
    <col min="8980" max="8980" width="15" style="77" bestFit="1" customWidth="1"/>
    <col min="8981" max="8982" width="18.28515625" style="77" bestFit="1" customWidth="1"/>
    <col min="8983" max="8983" width="17.42578125" style="77" bestFit="1" customWidth="1"/>
    <col min="8984" max="8984" width="12.85546875" style="77" bestFit="1" customWidth="1"/>
    <col min="8985" max="8985" width="12.28515625" style="77" bestFit="1" customWidth="1"/>
    <col min="8986" max="9213" width="9.140625" style="77"/>
    <col min="9214" max="9215" width="10" style="77" customWidth="1"/>
    <col min="9216" max="9216" width="7" style="77" customWidth="1"/>
    <col min="9217" max="9217" width="24" style="77" customWidth="1"/>
    <col min="9218" max="9218" width="12.85546875" style="77" customWidth="1"/>
    <col min="9219" max="9220" width="13.140625" style="77" customWidth="1"/>
    <col min="9221" max="9221" width="9.140625" style="77"/>
    <col min="9222" max="9222" width="12.85546875" style="77" customWidth="1"/>
    <col min="9223" max="9223" width="9.140625" style="77"/>
    <col min="9224" max="9224" width="12.140625" style="77" customWidth="1"/>
    <col min="9225" max="9225" width="13" style="77" customWidth="1"/>
    <col min="9226" max="9226" width="11.7109375" style="77" customWidth="1"/>
    <col min="9227" max="9227" width="11.28515625" style="77" customWidth="1"/>
    <col min="9228" max="9228" width="14.85546875" style="77" customWidth="1"/>
    <col min="9229" max="9229" width="16.42578125" style="77" customWidth="1"/>
    <col min="9230" max="9230" width="14.85546875" style="77" customWidth="1"/>
    <col min="9231" max="9231" width="13.42578125" style="77" bestFit="1" customWidth="1"/>
    <col min="9232" max="9232" width="14.85546875" style="77" customWidth="1"/>
    <col min="9233" max="9233" width="16.5703125" style="77" customWidth="1"/>
    <col min="9234" max="9234" width="10.5703125" style="77" customWidth="1"/>
    <col min="9235" max="9235" width="12.42578125" style="77" bestFit="1" customWidth="1"/>
    <col min="9236" max="9236" width="15" style="77" bestFit="1" customWidth="1"/>
    <col min="9237" max="9238" width="18.28515625" style="77" bestFit="1" customWidth="1"/>
    <col min="9239" max="9239" width="17.42578125" style="77" bestFit="1" customWidth="1"/>
    <col min="9240" max="9240" width="12.85546875" style="77" bestFit="1" customWidth="1"/>
    <col min="9241" max="9241" width="12.28515625" style="77" bestFit="1" customWidth="1"/>
    <col min="9242" max="9469" width="9.140625" style="77"/>
    <col min="9470" max="9471" width="10" style="77" customWidth="1"/>
    <col min="9472" max="9472" width="7" style="77" customWidth="1"/>
    <col min="9473" max="9473" width="24" style="77" customWidth="1"/>
    <col min="9474" max="9474" width="12.85546875" style="77" customWidth="1"/>
    <col min="9475" max="9476" width="13.140625" style="77" customWidth="1"/>
    <col min="9477" max="9477" width="9.140625" style="77"/>
    <col min="9478" max="9478" width="12.85546875" style="77" customWidth="1"/>
    <col min="9479" max="9479" width="9.140625" style="77"/>
    <col min="9480" max="9480" width="12.140625" style="77" customWidth="1"/>
    <col min="9481" max="9481" width="13" style="77" customWidth="1"/>
    <col min="9482" max="9482" width="11.7109375" style="77" customWidth="1"/>
    <col min="9483" max="9483" width="11.28515625" style="77" customWidth="1"/>
    <col min="9484" max="9484" width="14.85546875" style="77" customWidth="1"/>
    <col min="9485" max="9485" width="16.42578125" style="77" customWidth="1"/>
    <col min="9486" max="9486" width="14.85546875" style="77" customWidth="1"/>
    <col min="9487" max="9487" width="13.42578125" style="77" bestFit="1" customWidth="1"/>
    <col min="9488" max="9488" width="14.85546875" style="77" customWidth="1"/>
    <col min="9489" max="9489" width="16.5703125" style="77" customWidth="1"/>
    <col min="9490" max="9490" width="10.5703125" style="77" customWidth="1"/>
    <col min="9491" max="9491" width="12.42578125" style="77" bestFit="1" customWidth="1"/>
    <col min="9492" max="9492" width="15" style="77" bestFit="1" customWidth="1"/>
    <col min="9493" max="9494" width="18.28515625" style="77" bestFit="1" customWidth="1"/>
    <col min="9495" max="9495" width="17.42578125" style="77" bestFit="1" customWidth="1"/>
    <col min="9496" max="9496" width="12.85546875" style="77" bestFit="1" customWidth="1"/>
    <col min="9497" max="9497" width="12.28515625" style="77" bestFit="1" customWidth="1"/>
    <col min="9498" max="9725" width="9.140625" style="77"/>
    <col min="9726" max="9727" width="10" style="77" customWidth="1"/>
    <col min="9728" max="9728" width="7" style="77" customWidth="1"/>
    <col min="9729" max="9729" width="24" style="77" customWidth="1"/>
    <col min="9730" max="9730" width="12.85546875" style="77" customWidth="1"/>
    <col min="9731" max="9732" width="13.140625" style="77" customWidth="1"/>
    <col min="9733" max="9733" width="9.140625" style="77"/>
    <col min="9734" max="9734" width="12.85546875" style="77" customWidth="1"/>
    <col min="9735" max="9735" width="9.140625" style="77"/>
    <col min="9736" max="9736" width="12.140625" style="77" customWidth="1"/>
    <col min="9737" max="9737" width="13" style="77" customWidth="1"/>
    <col min="9738" max="9738" width="11.7109375" style="77" customWidth="1"/>
    <col min="9739" max="9739" width="11.28515625" style="77" customWidth="1"/>
    <col min="9740" max="9740" width="14.85546875" style="77" customWidth="1"/>
    <col min="9741" max="9741" width="16.42578125" style="77" customWidth="1"/>
    <col min="9742" max="9742" width="14.85546875" style="77" customWidth="1"/>
    <col min="9743" max="9743" width="13.42578125" style="77" bestFit="1" customWidth="1"/>
    <col min="9744" max="9744" width="14.85546875" style="77" customWidth="1"/>
    <col min="9745" max="9745" width="16.5703125" style="77" customWidth="1"/>
    <col min="9746" max="9746" width="10.5703125" style="77" customWidth="1"/>
    <col min="9747" max="9747" width="12.42578125" style="77" bestFit="1" customWidth="1"/>
    <col min="9748" max="9748" width="15" style="77" bestFit="1" customWidth="1"/>
    <col min="9749" max="9750" width="18.28515625" style="77" bestFit="1" customWidth="1"/>
    <col min="9751" max="9751" width="17.42578125" style="77" bestFit="1" customWidth="1"/>
    <col min="9752" max="9752" width="12.85546875" style="77" bestFit="1" customWidth="1"/>
    <col min="9753" max="9753" width="12.28515625" style="77" bestFit="1" customWidth="1"/>
    <col min="9754" max="9981" width="9.140625" style="77"/>
    <col min="9982" max="9983" width="10" style="77" customWidth="1"/>
    <col min="9984" max="9984" width="7" style="77" customWidth="1"/>
    <col min="9985" max="9985" width="24" style="77" customWidth="1"/>
    <col min="9986" max="9986" width="12.85546875" style="77" customWidth="1"/>
    <col min="9987" max="9988" width="13.140625" style="77" customWidth="1"/>
    <col min="9989" max="9989" width="9.140625" style="77"/>
    <col min="9990" max="9990" width="12.85546875" style="77" customWidth="1"/>
    <col min="9991" max="9991" width="9.140625" style="77"/>
    <col min="9992" max="9992" width="12.140625" style="77" customWidth="1"/>
    <col min="9993" max="9993" width="13" style="77" customWidth="1"/>
    <col min="9994" max="9994" width="11.7109375" style="77" customWidth="1"/>
    <col min="9995" max="9995" width="11.28515625" style="77" customWidth="1"/>
    <col min="9996" max="9996" width="14.85546875" style="77" customWidth="1"/>
    <col min="9997" max="9997" width="16.42578125" style="77" customWidth="1"/>
    <col min="9998" max="9998" width="14.85546875" style="77" customWidth="1"/>
    <col min="9999" max="9999" width="13.42578125" style="77" bestFit="1" customWidth="1"/>
    <col min="10000" max="10000" width="14.85546875" style="77" customWidth="1"/>
    <col min="10001" max="10001" width="16.5703125" style="77" customWidth="1"/>
    <col min="10002" max="10002" width="10.5703125" style="77" customWidth="1"/>
    <col min="10003" max="10003" width="12.42578125" style="77" bestFit="1" customWidth="1"/>
    <col min="10004" max="10004" width="15" style="77" bestFit="1" customWidth="1"/>
    <col min="10005" max="10006" width="18.28515625" style="77" bestFit="1" customWidth="1"/>
    <col min="10007" max="10007" width="17.42578125" style="77" bestFit="1" customWidth="1"/>
    <col min="10008" max="10008" width="12.85546875" style="77" bestFit="1" customWidth="1"/>
    <col min="10009" max="10009" width="12.28515625" style="77" bestFit="1" customWidth="1"/>
    <col min="10010" max="10237" width="9.140625" style="77"/>
    <col min="10238" max="10239" width="10" style="77" customWidth="1"/>
    <col min="10240" max="10240" width="7" style="77" customWidth="1"/>
    <col min="10241" max="10241" width="24" style="77" customWidth="1"/>
    <col min="10242" max="10242" width="12.85546875" style="77" customWidth="1"/>
    <col min="10243" max="10244" width="13.140625" style="77" customWidth="1"/>
    <col min="10245" max="10245" width="9.140625" style="77"/>
    <col min="10246" max="10246" width="12.85546875" style="77" customWidth="1"/>
    <col min="10247" max="10247" width="9.140625" style="77"/>
    <col min="10248" max="10248" width="12.140625" style="77" customWidth="1"/>
    <col min="10249" max="10249" width="13" style="77" customWidth="1"/>
    <col min="10250" max="10250" width="11.7109375" style="77" customWidth="1"/>
    <col min="10251" max="10251" width="11.28515625" style="77" customWidth="1"/>
    <col min="10252" max="10252" width="14.85546875" style="77" customWidth="1"/>
    <col min="10253" max="10253" width="16.42578125" style="77" customWidth="1"/>
    <col min="10254" max="10254" width="14.85546875" style="77" customWidth="1"/>
    <col min="10255" max="10255" width="13.42578125" style="77" bestFit="1" customWidth="1"/>
    <col min="10256" max="10256" width="14.85546875" style="77" customWidth="1"/>
    <col min="10257" max="10257" width="16.5703125" style="77" customWidth="1"/>
    <col min="10258" max="10258" width="10.5703125" style="77" customWidth="1"/>
    <col min="10259" max="10259" width="12.42578125" style="77" bestFit="1" customWidth="1"/>
    <col min="10260" max="10260" width="15" style="77" bestFit="1" customWidth="1"/>
    <col min="10261" max="10262" width="18.28515625" style="77" bestFit="1" customWidth="1"/>
    <col min="10263" max="10263" width="17.42578125" style="77" bestFit="1" customWidth="1"/>
    <col min="10264" max="10264" width="12.85546875" style="77" bestFit="1" customWidth="1"/>
    <col min="10265" max="10265" width="12.28515625" style="77" bestFit="1" customWidth="1"/>
    <col min="10266" max="10493" width="9.140625" style="77"/>
    <col min="10494" max="10495" width="10" style="77" customWidth="1"/>
    <col min="10496" max="10496" width="7" style="77" customWidth="1"/>
    <col min="10497" max="10497" width="24" style="77" customWidth="1"/>
    <col min="10498" max="10498" width="12.85546875" style="77" customWidth="1"/>
    <col min="10499" max="10500" width="13.140625" style="77" customWidth="1"/>
    <col min="10501" max="10501" width="9.140625" style="77"/>
    <col min="10502" max="10502" width="12.85546875" style="77" customWidth="1"/>
    <col min="10503" max="10503" width="9.140625" style="77"/>
    <col min="10504" max="10504" width="12.140625" style="77" customWidth="1"/>
    <col min="10505" max="10505" width="13" style="77" customWidth="1"/>
    <col min="10506" max="10506" width="11.7109375" style="77" customWidth="1"/>
    <col min="10507" max="10507" width="11.28515625" style="77" customWidth="1"/>
    <col min="10508" max="10508" width="14.85546875" style="77" customWidth="1"/>
    <col min="10509" max="10509" width="16.42578125" style="77" customWidth="1"/>
    <col min="10510" max="10510" width="14.85546875" style="77" customWidth="1"/>
    <col min="10511" max="10511" width="13.42578125" style="77" bestFit="1" customWidth="1"/>
    <col min="10512" max="10512" width="14.85546875" style="77" customWidth="1"/>
    <col min="10513" max="10513" width="16.5703125" style="77" customWidth="1"/>
    <col min="10514" max="10514" width="10.5703125" style="77" customWidth="1"/>
    <col min="10515" max="10515" width="12.42578125" style="77" bestFit="1" customWidth="1"/>
    <col min="10516" max="10516" width="15" style="77" bestFit="1" customWidth="1"/>
    <col min="10517" max="10518" width="18.28515625" style="77" bestFit="1" customWidth="1"/>
    <col min="10519" max="10519" width="17.42578125" style="77" bestFit="1" customWidth="1"/>
    <col min="10520" max="10520" width="12.85546875" style="77" bestFit="1" customWidth="1"/>
    <col min="10521" max="10521" width="12.28515625" style="77" bestFit="1" customWidth="1"/>
    <col min="10522" max="10749" width="9.140625" style="77"/>
    <col min="10750" max="10751" width="10" style="77" customWidth="1"/>
    <col min="10752" max="10752" width="7" style="77" customWidth="1"/>
    <col min="10753" max="10753" width="24" style="77" customWidth="1"/>
    <col min="10754" max="10754" width="12.85546875" style="77" customWidth="1"/>
    <col min="10755" max="10756" width="13.140625" style="77" customWidth="1"/>
    <col min="10757" max="10757" width="9.140625" style="77"/>
    <col min="10758" max="10758" width="12.85546875" style="77" customWidth="1"/>
    <col min="10759" max="10759" width="9.140625" style="77"/>
    <col min="10760" max="10760" width="12.140625" style="77" customWidth="1"/>
    <col min="10761" max="10761" width="13" style="77" customWidth="1"/>
    <col min="10762" max="10762" width="11.7109375" style="77" customWidth="1"/>
    <col min="10763" max="10763" width="11.28515625" style="77" customWidth="1"/>
    <col min="10764" max="10764" width="14.85546875" style="77" customWidth="1"/>
    <col min="10765" max="10765" width="16.42578125" style="77" customWidth="1"/>
    <col min="10766" max="10766" width="14.85546875" style="77" customWidth="1"/>
    <col min="10767" max="10767" width="13.42578125" style="77" bestFit="1" customWidth="1"/>
    <col min="10768" max="10768" width="14.85546875" style="77" customWidth="1"/>
    <col min="10769" max="10769" width="16.5703125" style="77" customWidth="1"/>
    <col min="10770" max="10770" width="10.5703125" style="77" customWidth="1"/>
    <col min="10771" max="10771" width="12.42578125" style="77" bestFit="1" customWidth="1"/>
    <col min="10772" max="10772" width="15" style="77" bestFit="1" customWidth="1"/>
    <col min="10773" max="10774" width="18.28515625" style="77" bestFit="1" customWidth="1"/>
    <col min="10775" max="10775" width="17.42578125" style="77" bestFit="1" customWidth="1"/>
    <col min="10776" max="10776" width="12.85546875" style="77" bestFit="1" customWidth="1"/>
    <col min="10777" max="10777" width="12.28515625" style="77" bestFit="1" customWidth="1"/>
    <col min="10778" max="11005" width="9.140625" style="77"/>
    <col min="11006" max="11007" width="10" style="77" customWidth="1"/>
    <col min="11008" max="11008" width="7" style="77" customWidth="1"/>
    <col min="11009" max="11009" width="24" style="77" customWidth="1"/>
    <col min="11010" max="11010" width="12.85546875" style="77" customWidth="1"/>
    <col min="11011" max="11012" width="13.140625" style="77" customWidth="1"/>
    <col min="11013" max="11013" width="9.140625" style="77"/>
    <col min="11014" max="11014" width="12.85546875" style="77" customWidth="1"/>
    <col min="11015" max="11015" width="9.140625" style="77"/>
    <col min="11016" max="11016" width="12.140625" style="77" customWidth="1"/>
    <col min="11017" max="11017" width="13" style="77" customWidth="1"/>
    <col min="11018" max="11018" width="11.7109375" style="77" customWidth="1"/>
    <col min="11019" max="11019" width="11.28515625" style="77" customWidth="1"/>
    <col min="11020" max="11020" width="14.85546875" style="77" customWidth="1"/>
    <col min="11021" max="11021" width="16.42578125" style="77" customWidth="1"/>
    <col min="11022" max="11022" width="14.85546875" style="77" customWidth="1"/>
    <col min="11023" max="11023" width="13.42578125" style="77" bestFit="1" customWidth="1"/>
    <col min="11024" max="11024" width="14.85546875" style="77" customWidth="1"/>
    <col min="11025" max="11025" width="16.5703125" style="77" customWidth="1"/>
    <col min="11026" max="11026" width="10.5703125" style="77" customWidth="1"/>
    <col min="11027" max="11027" width="12.42578125" style="77" bestFit="1" customWidth="1"/>
    <col min="11028" max="11028" width="15" style="77" bestFit="1" customWidth="1"/>
    <col min="11029" max="11030" width="18.28515625" style="77" bestFit="1" customWidth="1"/>
    <col min="11031" max="11031" width="17.42578125" style="77" bestFit="1" customWidth="1"/>
    <col min="11032" max="11032" width="12.85546875" style="77" bestFit="1" customWidth="1"/>
    <col min="11033" max="11033" width="12.28515625" style="77" bestFit="1" customWidth="1"/>
    <col min="11034" max="11261" width="9.140625" style="77"/>
    <col min="11262" max="11263" width="10" style="77" customWidth="1"/>
    <col min="11264" max="11264" width="7" style="77" customWidth="1"/>
    <col min="11265" max="11265" width="24" style="77" customWidth="1"/>
    <col min="11266" max="11266" width="12.85546875" style="77" customWidth="1"/>
    <col min="11267" max="11268" width="13.140625" style="77" customWidth="1"/>
    <col min="11269" max="11269" width="9.140625" style="77"/>
    <col min="11270" max="11270" width="12.85546875" style="77" customWidth="1"/>
    <col min="11271" max="11271" width="9.140625" style="77"/>
    <col min="11272" max="11272" width="12.140625" style="77" customWidth="1"/>
    <col min="11273" max="11273" width="13" style="77" customWidth="1"/>
    <col min="11274" max="11274" width="11.7109375" style="77" customWidth="1"/>
    <col min="11275" max="11275" width="11.28515625" style="77" customWidth="1"/>
    <col min="11276" max="11276" width="14.85546875" style="77" customWidth="1"/>
    <col min="11277" max="11277" width="16.42578125" style="77" customWidth="1"/>
    <col min="11278" max="11278" width="14.85546875" style="77" customWidth="1"/>
    <col min="11279" max="11279" width="13.42578125" style="77" bestFit="1" customWidth="1"/>
    <col min="11280" max="11280" width="14.85546875" style="77" customWidth="1"/>
    <col min="11281" max="11281" width="16.5703125" style="77" customWidth="1"/>
    <col min="11282" max="11282" width="10.5703125" style="77" customWidth="1"/>
    <col min="11283" max="11283" width="12.42578125" style="77" bestFit="1" customWidth="1"/>
    <col min="11284" max="11284" width="15" style="77" bestFit="1" customWidth="1"/>
    <col min="11285" max="11286" width="18.28515625" style="77" bestFit="1" customWidth="1"/>
    <col min="11287" max="11287" width="17.42578125" style="77" bestFit="1" customWidth="1"/>
    <col min="11288" max="11288" width="12.85546875" style="77" bestFit="1" customWidth="1"/>
    <col min="11289" max="11289" width="12.28515625" style="77" bestFit="1" customWidth="1"/>
    <col min="11290" max="11517" width="9.140625" style="77"/>
    <col min="11518" max="11519" width="10" style="77" customWidth="1"/>
    <col min="11520" max="11520" width="7" style="77" customWidth="1"/>
    <col min="11521" max="11521" width="24" style="77" customWidth="1"/>
    <col min="11522" max="11522" width="12.85546875" style="77" customWidth="1"/>
    <col min="11523" max="11524" width="13.140625" style="77" customWidth="1"/>
    <col min="11525" max="11525" width="9.140625" style="77"/>
    <col min="11526" max="11526" width="12.85546875" style="77" customWidth="1"/>
    <col min="11527" max="11527" width="9.140625" style="77"/>
    <col min="11528" max="11528" width="12.140625" style="77" customWidth="1"/>
    <col min="11529" max="11529" width="13" style="77" customWidth="1"/>
    <col min="11530" max="11530" width="11.7109375" style="77" customWidth="1"/>
    <col min="11531" max="11531" width="11.28515625" style="77" customWidth="1"/>
    <col min="11532" max="11532" width="14.85546875" style="77" customWidth="1"/>
    <col min="11533" max="11533" width="16.42578125" style="77" customWidth="1"/>
    <col min="11534" max="11534" width="14.85546875" style="77" customWidth="1"/>
    <col min="11535" max="11535" width="13.42578125" style="77" bestFit="1" customWidth="1"/>
    <col min="11536" max="11536" width="14.85546875" style="77" customWidth="1"/>
    <col min="11537" max="11537" width="16.5703125" style="77" customWidth="1"/>
    <col min="11538" max="11538" width="10.5703125" style="77" customWidth="1"/>
    <col min="11539" max="11539" width="12.42578125" style="77" bestFit="1" customWidth="1"/>
    <col min="11540" max="11540" width="15" style="77" bestFit="1" customWidth="1"/>
    <col min="11541" max="11542" width="18.28515625" style="77" bestFit="1" customWidth="1"/>
    <col min="11543" max="11543" width="17.42578125" style="77" bestFit="1" customWidth="1"/>
    <col min="11544" max="11544" width="12.85546875" style="77" bestFit="1" customWidth="1"/>
    <col min="11545" max="11545" width="12.28515625" style="77" bestFit="1" customWidth="1"/>
    <col min="11546" max="11773" width="9.140625" style="77"/>
    <col min="11774" max="11775" width="10" style="77" customWidth="1"/>
    <col min="11776" max="11776" width="7" style="77" customWidth="1"/>
    <col min="11777" max="11777" width="24" style="77" customWidth="1"/>
    <col min="11778" max="11778" width="12.85546875" style="77" customWidth="1"/>
    <col min="11779" max="11780" width="13.140625" style="77" customWidth="1"/>
    <col min="11781" max="11781" width="9.140625" style="77"/>
    <col min="11782" max="11782" width="12.85546875" style="77" customWidth="1"/>
    <col min="11783" max="11783" width="9.140625" style="77"/>
    <col min="11784" max="11784" width="12.140625" style="77" customWidth="1"/>
    <col min="11785" max="11785" width="13" style="77" customWidth="1"/>
    <col min="11786" max="11786" width="11.7109375" style="77" customWidth="1"/>
    <col min="11787" max="11787" width="11.28515625" style="77" customWidth="1"/>
    <col min="11788" max="11788" width="14.85546875" style="77" customWidth="1"/>
    <col min="11789" max="11789" width="16.42578125" style="77" customWidth="1"/>
    <col min="11790" max="11790" width="14.85546875" style="77" customWidth="1"/>
    <col min="11791" max="11791" width="13.42578125" style="77" bestFit="1" customWidth="1"/>
    <col min="11792" max="11792" width="14.85546875" style="77" customWidth="1"/>
    <col min="11793" max="11793" width="16.5703125" style="77" customWidth="1"/>
    <col min="11794" max="11794" width="10.5703125" style="77" customWidth="1"/>
    <col min="11795" max="11795" width="12.42578125" style="77" bestFit="1" customWidth="1"/>
    <col min="11796" max="11796" width="15" style="77" bestFit="1" customWidth="1"/>
    <col min="11797" max="11798" width="18.28515625" style="77" bestFit="1" customWidth="1"/>
    <col min="11799" max="11799" width="17.42578125" style="77" bestFit="1" customWidth="1"/>
    <col min="11800" max="11800" width="12.85546875" style="77" bestFit="1" customWidth="1"/>
    <col min="11801" max="11801" width="12.28515625" style="77" bestFit="1" customWidth="1"/>
    <col min="11802" max="12029" width="9.140625" style="77"/>
    <col min="12030" max="12031" width="10" style="77" customWidth="1"/>
    <col min="12032" max="12032" width="7" style="77" customWidth="1"/>
    <col min="12033" max="12033" width="24" style="77" customWidth="1"/>
    <col min="12034" max="12034" width="12.85546875" style="77" customWidth="1"/>
    <col min="12035" max="12036" width="13.140625" style="77" customWidth="1"/>
    <col min="12037" max="12037" width="9.140625" style="77"/>
    <col min="12038" max="12038" width="12.85546875" style="77" customWidth="1"/>
    <col min="12039" max="12039" width="9.140625" style="77"/>
    <col min="12040" max="12040" width="12.140625" style="77" customWidth="1"/>
    <col min="12041" max="12041" width="13" style="77" customWidth="1"/>
    <col min="12042" max="12042" width="11.7109375" style="77" customWidth="1"/>
    <col min="12043" max="12043" width="11.28515625" style="77" customWidth="1"/>
    <col min="12044" max="12044" width="14.85546875" style="77" customWidth="1"/>
    <col min="12045" max="12045" width="16.42578125" style="77" customWidth="1"/>
    <col min="12046" max="12046" width="14.85546875" style="77" customWidth="1"/>
    <col min="12047" max="12047" width="13.42578125" style="77" bestFit="1" customWidth="1"/>
    <col min="12048" max="12048" width="14.85546875" style="77" customWidth="1"/>
    <col min="12049" max="12049" width="16.5703125" style="77" customWidth="1"/>
    <col min="12050" max="12050" width="10.5703125" style="77" customWidth="1"/>
    <col min="12051" max="12051" width="12.42578125" style="77" bestFit="1" customWidth="1"/>
    <col min="12052" max="12052" width="15" style="77" bestFit="1" customWidth="1"/>
    <col min="12053" max="12054" width="18.28515625" style="77" bestFit="1" customWidth="1"/>
    <col min="12055" max="12055" width="17.42578125" style="77" bestFit="1" customWidth="1"/>
    <col min="12056" max="12056" width="12.85546875" style="77" bestFit="1" customWidth="1"/>
    <col min="12057" max="12057" width="12.28515625" style="77" bestFit="1" customWidth="1"/>
    <col min="12058" max="12285" width="9.140625" style="77"/>
    <col min="12286" max="12287" width="10" style="77" customWidth="1"/>
    <col min="12288" max="12288" width="7" style="77" customWidth="1"/>
    <col min="12289" max="12289" width="24" style="77" customWidth="1"/>
    <col min="12290" max="12290" width="12.85546875" style="77" customWidth="1"/>
    <col min="12291" max="12292" width="13.140625" style="77" customWidth="1"/>
    <col min="12293" max="12293" width="9.140625" style="77"/>
    <col min="12294" max="12294" width="12.85546875" style="77" customWidth="1"/>
    <col min="12295" max="12295" width="9.140625" style="77"/>
    <col min="12296" max="12296" width="12.140625" style="77" customWidth="1"/>
    <col min="12297" max="12297" width="13" style="77" customWidth="1"/>
    <col min="12298" max="12298" width="11.7109375" style="77" customWidth="1"/>
    <col min="12299" max="12299" width="11.28515625" style="77" customWidth="1"/>
    <col min="12300" max="12300" width="14.85546875" style="77" customWidth="1"/>
    <col min="12301" max="12301" width="16.42578125" style="77" customWidth="1"/>
    <col min="12302" max="12302" width="14.85546875" style="77" customWidth="1"/>
    <col min="12303" max="12303" width="13.42578125" style="77" bestFit="1" customWidth="1"/>
    <col min="12304" max="12304" width="14.85546875" style="77" customWidth="1"/>
    <col min="12305" max="12305" width="16.5703125" style="77" customWidth="1"/>
    <col min="12306" max="12306" width="10.5703125" style="77" customWidth="1"/>
    <col min="12307" max="12307" width="12.42578125" style="77" bestFit="1" customWidth="1"/>
    <col min="12308" max="12308" width="15" style="77" bestFit="1" customWidth="1"/>
    <col min="12309" max="12310" width="18.28515625" style="77" bestFit="1" customWidth="1"/>
    <col min="12311" max="12311" width="17.42578125" style="77" bestFit="1" customWidth="1"/>
    <col min="12312" max="12312" width="12.85546875" style="77" bestFit="1" customWidth="1"/>
    <col min="12313" max="12313" width="12.28515625" style="77" bestFit="1" customWidth="1"/>
    <col min="12314" max="12541" width="9.140625" style="77"/>
    <col min="12542" max="12543" width="10" style="77" customWidth="1"/>
    <col min="12544" max="12544" width="7" style="77" customWidth="1"/>
    <col min="12545" max="12545" width="24" style="77" customWidth="1"/>
    <col min="12546" max="12546" width="12.85546875" style="77" customWidth="1"/>
    <col min="12547" max="12548" width="13.140625" style="77" customWidth="1"/>
    <col min="12549" max="12549" width="9.140625" style="77"/>
    <col min="12550" max="12550" width="12.85546875" style="77" customWidth="1"/>
    <col min="12551" max="12551" width="9.140625" style="77"/>
    <col min="12552" max="12552" width="12.140625" style="77" customWidth="1"/>
    <col min="12553" max="12553" width="13" style="77" customWidth="1"/>
    <col min="12554" max="12554" width="11.7109375" style="77" customWidth="1"/>
    <col min="12555" max="12555" width="11.28515625" style="77" customWidth="1"/>
    <col min="12556" max="12556" width="14.85546875" style="77" customWidth="1"/>
    <col min="12557" max="12557" width="16.42578125" style="77" customWidth="1"/>
    <col min="12558" max="12558" width="14.85546875" style="77" customWidth="1"/>
    <col min="12559" max="12559" width="13.42578125" style="77" bestFit="1" customWidth="1"/>
    <col min="12560" max="12560" width="14.85546875" style="77" customWidth="1"/>
    <col min="12561" max="12561" width="16.5703125" style="77" customWidth="1"/>
    <col min="12562" max="12562" width="10.5703125" style="77" customWidth="1"/>
    <col min="12563" max="12563" width="12.42578125" style="77" bestFit="1" customWidth="1"/>
    <col min="12564" max="12564" width="15" style="77" bestFit="1" customWidth="1"/>
    <col min="12565" max="12566" width="18.28515625" style="77" bestFit="1" customWidth="1"/>
    <col min="12567" max="12567" width="17.42578125" style="77" bestFit="1" customWidth="1"/>
    <col min="12568" max="12568" width="12.85546875" style="77" bestFit="1" customWidth="1"/>
    <col min="12569" max="12569" width="12.28515625" style="77" bestFit="1" customWidth="1"/>
    <col min="12570" max="12797" width="9.140625" style="77"/>
    <col min="12798" max="12799" width="10" style="77" customWidth="1"/>
    <col min="12800" max="12800" width="7" style="77" customWidth="1"/>
    <col min="12801" max="12801" width="24" style="77" customWidth="1"/>
    <col min="12802" max="12802" width="12.85546875" style="77" customWidth="1"/>
    <col min="12803" max="12804" width="13.140625" style="77" customWidth="1"/>
    <col min="12805" max="12805" width="9.140625" style="77"/>
    <col min="12806" max="12806" width="12.85546875" style="77" customWidth="1"/>
    <col min="12807" max="12807" width="9.140625" style="77"/>
    <col min="12808" max="12808" width="12.140625" style="77" customWidth="1"/>
    <col min="12809" max="12809" width="13" style="77" customWidth="1"/>
    <col min="12810" max="12810" width="11.7109375" style="77" customWidth="1"/>
    <col min="12811" max="12811" width="11.28515625" style="77" customWidth="1"/>
    <col min="12812" max="12812" width="14.85546875" style="77" customWidth="1"/>
    <col min="12813" max="12813" width="16.42578125" style="77" customWidth="1"/>
    <col min="12814" max="12814" width="14.85546875" style="77" customWidth="1"/>
    <col min="12815" max="12815" width="13.42578125" style="77" bestFit="1" customWidth="1"/>
    <col min="12816" max="12816" width="14.85546875" style="77" customWidth="1"/>
    <col min="12817" max="12817" width="16.5703125" style="77" customWidth="1"/>
    <col min="12818" max="12818" width="10.5703125" style="77" customWidth="1"/>
    <col min="12819" max="12819" width="12.42578125" style="77" bestFit="1" customWidth="1"/>
    <col min="12820" max="12820" width="15" style="77" bestFit="1" customWidth="1"/>
    <col min="12821" max="12822" width="18.28515625" style="77" bestFit="1" customWidth="1"/>
    <col min="12823" max="12823" width="17.42578125" style="77" bestFit="1" customWidth="1"/>
    <col min="12824" max="12824" width="12.85546875" style="77" bestFit="1" customWidth="1"/>
    <col min="12825" max="12825" width="12.28515625" style="77" bestFit="1" customWidth="1"/>
    <col min="12826" max="13053" width="9.140625" style="77"/>
    <col min="13054" max="13055" width="10" style="77" customWidth="1"/>
    <col min="13056" max="13056" width="7" style="77" customWidth="1"/>
    <col min="13057" max="13057" width="24" style="77" customWidth="1"/>
    <col min="13058" max="13058" width="12.85546875" style="77" customWidth="1"/>
    <col min="13059" max="13060" width="13.140625" style="77" customWidth="1"/>
    <col min="13061" max="13061" width="9.140625" style="77"/>
    <col min="13062" max="13062" width="12.85546875" style="77" customWidth="1"/>
    <col min="13063" max="13063" width="9.140625" style="77"/>
    <col min="13064" max="13064" width="12.140625" style="77" customWidth="1"/>
    <col min="13065" max="13065" width="13" style="77" customWidth="1"/>
    <col min="13066" max="13066" width="11.7109375" style="77" customWidth="1"/>
    <col min="13067" max="13067" width="11.28515625" style="77" customWidth="1"/>
    <col min="13068" max="13068" width="14.85546875" style="77" customWidth="1"/>
    <col min="13069" max="13069" width="16.42578125" style="77" customWidth="1"/>
    <col min="13070" max="13070" width="14.85546875" style="77" customWidth="1"/>
    <col min="13071" max="13071" width="13.42578125" style="77" bestFit="1" customWidth="1"/>
    <col min="13072" max="13072" width="14.85546875" style="77" customWidth="1"/>
    <col min="13073" max="13073" width="16.5703125" style="77" customWidth="1"/>
    <col min="13074" max="13074" width="10.5703125" style="77" customWidth="1"/>
    <col min="13075" max="13075" width="12.42578125" style="77" bestFit="1" customWidth="1"/>
    <col min="13076" max="13076" width="15" style="77" bestFit="1" customWidth="1"/>
    <col min="13077" max="13078" width="18.28515625" style="77" bestFit="1" customWidth="1"/>
    <col min="13079" max="13079" width="17.42578125" style="77" bestFit="1" customWidth="1"/>
    <col min="13080" max="13080" width="12.85546875" style="77" bestFit="1" customWidth="1"/>
    <col min="13081" max="13081" width="12.28515625" style="77" bestFit="1" customWidth="1"/>
    <col min="13082" max="13309" width="9.140625" style="77"/>
    <col min="13310" max="13311" width="10" style="77" customWidth="1"/>
    <col min="13312" max="13312" width="7" style="77" customWidth="1"/>
    <col min="13313" max="13313" width="24" style="77" customWidth="1"/>
    <col min="13314" max="13314" width="12.85546875" style="77" customWidth="1"/>
    <col min="13315" max="13316" width="13.140625" style="77" customWidth="1"/>
    <col min="13317" max="13317" width="9.140625" style="77"/>
    <col min="13318" max="13318" width="12.85546875" style="77" customWidth="1"/>
    <col min="13319" max="13319" width="9.140625" style="77"/>
    <col min="13320" max="13320" width="12.140625" style="77" customWidth="1"/>
    <col min="13321" max="13321" width="13" style="77" customWidth="1"/>
    <col min="13322" max="13322" width="11.7109375" style="77" customWidth="1"/>
    <col min="13323" max="13323" width="11.28515625" style="77" customWidth="1"/>
    <col min="13324" max="13324" width="14.85546875" style="77" customWidth="1"/>
    <col min="13325" max="13325" width="16.42578125" style="77" customWidth="1"/>
    <col min="13326" max="13326" width="14.85546875" style="77" customWidth="1"/>
    <col min="13327" max="13327" width="13.42578125" style="77" bestFit="1" customWidth="1"/>
    <col min="13328" max="13328" width="14.85546875" style="77" customWidth="1"/>
    <col min="13329" max="13329" width="16.5703125" style="77" customWidth="1"/>
    <col min="13330" max="13330" width="10.5703125" style="77" customWidth="1"/>
    <col min="13331" max="13331" width="12.42578125" style="77" bestFit="1" customWidth="1"/>
    <col min="13332" max="13332" width="15" style="77" bestFit="1" customWidth="1"/>
    <col min="13333" max="13334" width="18.28515625" style="77" bestFit="1" customWidth="1"/>
    <col min="13335" max="13335" width="17.42578125" style="77" bestFit="1" customWidth="1"/>
    <col min="13336" max="13336" width="12.85546875" style="77" bestFit="1" customWidth="1"/>
    <col min="13337" max="13337" width="12.28515625" style="77" bestFit="1" customWidth="1"/>
    <col min="13338" max="13565" width="9.140625" style="77"/>
    <col min="13566" max="13567" width="10" style="77" customWidth="1"/>
    <col min="13568" max="13568" width="7" style="77" customWidth="1"/>
    <col min="13569" max="13569" width="24" style="77" customWidth="1"/>
    <col min="13570" max="13570" width="12.85546875" style="77" customWidth="1"/>
    <col min="13571" max="13572" width="13.140625" style="77" customWidth="1"/>
    <col min="13573" max="13573" width="9.140625" style="77"/>
    <col min="13574" max="13574" width="12.85546875" style="77" customWidth="1"/>
    <col min="13575" max="13575" width="9.140625" style="77"/>
    <col min="13576" max="13576" width="12.140625" style="77" customWidth="1"/>
    <col min="13577" max="13577" width="13" style="77" customWidth="1"/>
    <col min="13578" max="13578" width="11.7109375" style="77" customWidth="1"/>
    <col min="13579" max="13579" width="11.28515625" style="77" customWidth="1"/>
    <col min="13580" max="13580" width="14.85546875" style="77" customWidth="1"/>
    <col min="13581" max="13581" width="16.42578125" style="77" customWidth="1"/>
    <col min="13582" max="13582" width="14.85546875" style="77" customWidth="1"/>
    <col min="13583" max="13583" width="13.42578125" style="77" bestFit="1" customWidth="1"/>
    <col min="13584" max="13584" width="14.85546875" style="77" customWidth="1"/>
    <col min="13585" max="13585" width="16.5703125" style="77" customWidth="1"/>
    <col min="13586" max="13586" width="10.5703125" style="77" customWidth="1"/>
    <col min="13587" max="13587" width="12.42578125" style="77" bestFit="1" customWidth="1"/>
    <col min="13588" max="13588" width="15" style="77" bestFit="1" customWidth="1"/>
    <col min="13589" max="13590" width="18.28515625" style="77" bestFit="1" customWidth="1"/>
    <col min="13591" max="13591" width="17.42578125" style="77" bestFit="1" customWidth="1"/>
    <col min="13592" max="13592" width="12.85546875" style="77" bestFit="1" customWidth="1"/>
    <col min="13593" max="13593" width="12.28515625" style="77" bestFit="1" customWidth="1"/>
    <col min="13594" max="13821" width="9.140625" style="77"/>
    <col min="13822" max="13823" width="10" style="77" customWidth="1"/>
    <col min="13824" max="13824" width="7" style="77" customWidth="1"/>
    <col min="13825" max="13825" width="24" style="77" customWidth="1"/>
    <col min="13826" max="13826" width="12.85546875" style="77" customWidth="1"/>
    <col min="13827" max="13828" width="13.140625" style="77" customWidth="1"/>
    <col min="13829" max="13829" width="9.140625" style="77"/>
    <col min="13830" max="13830" width="12.85546875" style="77" customWidth="1"/>
    <col min="13831" max="13831" width="9.140625" style="77"/>
    <col min="13832" max="13832" width="12.140625" style="77" customWidth="1"/>
    <col min="13833" max="13833" width="13" style="77" customWidth="1"/>
    <col min="13834" max="13834" width="11.7109375" style="77" customWidth="1"/>
    <col min="13835" max="13835" width="11.28515625" style="77" customWidth="1"/>
    <col min="13836" max="13836" width="14.85546875" style="77" customWidth="1"/>
    <col min="13837" max="13837" width="16.42578125" style="77" customWidth="1"/>
    <col min="13838" max="13838" width="14.85546875" style="77" customWidth="1"/>
    <col min="13839" max="13839" width="13.42578125" style="77" bestFit="1" customWidth="1"/>
    <col min="13840" max="13840" width="14.85546875" style="77" customWidth="1"/>
    <col min="13841" max="13841" width="16.5703125" style="77" customWidth="1"/>
    <col min="13842" max="13842" width="10.5703125" style="77" customWidth="1"/>
    <col min="13843" max="13843" width="12.42578125" style="77" bestFit="1" customWidth="1"/>
    <col min="13844" max="13844" width="15" style="77" bestFit="1" customWidth="1"/>
    <col min="13845" max="13846" width="18.28515625" style="77" bestFit="1" customWidth="1"/>
    <col min="13847" max="13847" width="17.42578125" style="77" bestFit="1" customWidth="1"/>
    <col min="13848" max="13848" width="12.85546875" style="77" bestFit="1" customWidth="1"/>
    <col min="13849" max="13849" width="12.28515625" style="77" bestFit="1" customWidth="1"/>
    <col min="13850" max="14077" width="9.140625" style="77"/>
    <col min="14078" max="14079" width="10" style="77" customWidth="1"/>
    <col min="14080" max="14080" width="7" style="77" customWidth="1"/>
    <col min="14081" max="14081" width="24" style="77" customWidth="1"/>
    <col min="14082" max="14082" width="12.85546875" style="77" customWidth="1"/>
    <col min="14083" max="14084" width="13.140625" style="77" customWidth="1"/>
    <col min="14085" max="14085" width="9.140625" style="77"/>
    <col min="14086" max="14086" width="12.85546875" style="77" customWidth="1"/>
    <col min="14087" max="14087" width="9.140625" style="77"/>
    <col min="14088" max="14088" width="12.140625" style="77" customWidth="1"/>
    <col min="14089" max="14089" width="13" style="77" customWidth="1"/>
    <col min="14090" max="14090" width="11.7109375" style="77" customWidth="1"/>
    <col min="14091" max="14091" width="11.28515625" style="77" customWidth="1"/>
    <col min="14092" max="14092" width="14.85546875" style="77" customWidth="1"/>
    <col min="14093" max="14093" width="16.42578125" style="77" customWidth="1"/>
    <col min="14094" max="14094" width="14.85546875" style="77" customWidth="1"/>
    <col min="14095" max="14095" width="13.42578125" style="77" bestFit="1" customWidth="1"/>
    <col min="14096" max="14096" width="14.85546875" style="77" customWidth="1"/>
    <col min="14097" max="14097" width="16.5703125" style="77" customWidth="1"/>
    <col min="14098" max="14098" width="10.5703125" style="77" customWidth="1"/>
    <col min="14099" max="14099" width="12.42578125" style="77" bestFit="1" customWidth="1"/>
    <col min="14100" max="14100" width="15" style="77" bestFit="1" customWidth="1"/>
    <col min="14101" max="14102" width="18.28515625" style="77" bestFit="1" customWidth="1"/>
    <col min="14103" max="14103" width="17.42578125" style="77" bestFit="1" customWidth="1"/>
    <col min="14104" max="14104" width="12.85546875" style="77" bestFit="1" customWidth="1"/>
    <col min="14105" max="14105" width="12.28515625" style="77" bestFit="1" customWidth="1"/>
    <col min="14106" max="14333" width="9.140625" style="77"/>
    <col min="14334" max="14335" width="10" style="77" customWidth="1"/>
    <col min="14336" max="14336" width="7" style="77" customWidth="1"/>
    <col min="14337" max="14337" width="24" style="77" customWidth="1"/>
    <col min="14338" max="14338" width="12.85546875" style="77" customWidth="1"/>
    <col min="14339" max="14340" width="13.140625" style="77" customWidth="1"/>
    <col min="14341" max="14341" width="9.140625" style="77"/>
    <col min="14342" max="14342" width="12.85546875" style="77" customWidth="1"/>
    <col min="14343" max="14343" width="9.140625" style="77"/>
    <col min="14344" max="14344" width="12.140625" style="77" customWidth="1"/>
    <col min="14345" max="14345" width="13" style="77" customWidth="1"/>
    <col min="14346" max="14346" width="11.7109375" style="77" customWidth="1"/>
    <col min="14347" max="14347" width="11.28515625" style="77" customWidth="1"/>
    <col min="14348" max="14348" width="14.85546875" style="77" customWidth="1"/>
    <col min="14349" max="14349" width="16.42578125" style="77" customWidth="1"/>
    <col min="14350" max="14350" width="14.85546875" style="77" customWidth="1"/>
    <col min="14351" max="14351" width="13.42578125" style="77" bestFit="1" customWidth="1"/>
    <col min="14352" max="14352" width="14.85546875" style="77" customWidth="1"/>
    <col min="14353" max="14353" width="16.5703125" style="77" customWidth="1"/>
    <col min="14354" max="14354" width="10.5703125" style="77" customWidth="1"/>
    <col min="14355" max="14355" width="12.42578125" style="77" bestFit="1" customWidth="1"/>
    <col min="14356" max="14356" width="15" style="77" bestFit="1" customWidth="1"/>
    <col min="14357" max="14358" width="18.28515625" style="77" bestFit="1" customWidth="1"/>
    <col min="14359" max="14359" width="17.42578125" style="77" bestFit="1" customWidth="1"/>
    <col min="14360" max="14360" width="12.85546875" style="77" bestFit="1" customWidth="1"/>
    <col min="14361" max="14361" width="12.28515625" style="77" bestFit="1" customWidth="1"/>
    <col min="14362" max="14589" width="9.140625" style="77"/>
    <col min="14590" max="14591" width="10" style="77" customWidth="1"/>
    <col min="14592" max="14592" width="7" style="77" customWidth="1"/>
    <col min="14593" max="14593" width="24" style="77" customWidth="1"/>
    <col min="14594" max="14594" width="12.85546875" style="77" customWidth="1"/>
    <col min="14595" max="14596" width="13.140625" style="77" customWidth="1"/>
    <col min="14597" max="14597" width="9.140625" style="77"/>
    <col min="14598" max="14598" width="12.85546875" style="77" customWidth="1"/>
    <col min="14599" max="14599" width="9.140625" style="77"/>
    <col min="14600" max="14600" width="12.140625" style="77" customWidth="1"/>
    <col min="14601" max="14601" width="13" style="77" customWidth="1"/>
    <col min="14602" max="14602" width="11.7109375" style="77" customWidth="1"/>
    <col min="14603" max="14603" width="11.28515625" style="77" customWidth="1"/>
    <col min="14604" max="14604" width="14.85546875" style="77" customWidth="1"/>
    <col min="14605" max="14605" width="16.42578125" style="77" customWidth="1"/>
    <col min="14606" max="14606" width="14.85546875" style="77" customWidth="1"/>
    <col min="14607" max="14607" width="13.42578125" style="77" bestFit="1" customWidth="1"/>
    <col min="14608" max="14608" width="14.85546875" style="77" customWidth="1"/>
    <col min="14609" max="14609" width="16.5703125" style="77" customWidth="1"/>
    <col min="14610" max="14610" width="10.5703125" style="77" customWidth="1"/>
    <col min="14611" max="14611" width="12.42578125" style="77" bestFit="1" customWidth="1"/>
    <col min="14612" max="14612" width="15" style="77" bestFit="1" customWidth="1"/>
    <col min="14613" max="14614" width="18.28515625" style="77" bestFit="1" customWidth="1"/>
    <col min="14615" max="14615" width="17.42578125" style="77" bestFit="1" customWidth="1"/>
    <col min="14616" max="14616" width="12.85546875" style="77" bestFit="1" customWidth="1"/>
    <col min="14617" max="14617" width="12.28515625" style="77" bestFit="1" customWidth="1"/>
    <col min="14618" max="14845" width="9.140625" style="77"/>
    <col min="14846" max="14847" width="10" style="77" customWidth="1"/>
    <col min="14848" max="14848" width="7" style="77" customWidth="1"/>
    <col min="14849" max="14849" width="24" style="77" customWidth="1"/>
    <col min="14850" max="14850" width="12.85546875" style="77" customWidth="1"/>
    <col min="14851" max="14852" width="13.140625" style="77" customWidth="1"/>
    <col min="14853" max="14853" width="9.140625" style="77"/>
    <col min="14854" max="14854" width="12.85546875" style="77" customWidth="1"/>
    <col min="14855" max="14855" width="9.140625" style="77"/>
    <col min="14856" max="14856" width="12.140625" style="77" customWidth="1"/>
    <col min="14857" max="14857" width="13" style="77" customWidth="1"/>
    <col min="14858" max="14858" width="11.7109375" style="77" customWidth="1"/>
    <col min="14859" max="14859" width="11.28515625" style="77" customWidth="1"/>
    <col min="14860" max="14860" width="14.85546875" style="77" customWidth="1"/>
    <col min="14861" max="14861" width="16.42578125" style="77" customWidth="1"/>
    <col min="14862" max="14862" width="14.85546875" style="77" customWidth="1"/>
    <col min="14863" max="14863" width="13.42578125" style="77" bestFit="1" customWidth="1"/>
    <col min="14864" max="14864" width="14.85546875" style="77" customWidth="1"/>
    <col min="14865" max="14865" width="16.5703125" style="77" customWidth="1"/>
    <col min="14866" max="14866" width="10.5703125" style="77" customWidth="1"/>
    <col min="14867" max="14867" width="12.42578125" style="77" bestFit="1" customWidth="1"/>
    <col min="14868" max="14868" width="15" style="77" bestFit="1" customWidth="1"/>
    <col min="14869" max="14870" width="18.28515625" style="77" bestFit="1" customWidth="1"/>
    <col min="14871" max="14871" width="17.42578125" style="77" bestFit="1" customWidth="1"/>
    <col min="14872" max="14872" width="12.85546875" style="77" bestFit="1" customWidth="1"/>
    <col min="14873" max="14873" width="12.28515625" style="77" bestFit="1" customWidth="1"/>
    <col min="14874" max="15101" width="9.140625" style="77"/>
    <col min="15102" max="15103" width="10" style="77" customWidth="1"/>
    <col min="15104" max="15104" width="7" style="77" customWidth="1"/>
    <col min="15105" max="15105" width="24" style="77" customWidth="1"/>
    <col min="15106" max="15106" width="12.85546875" style="77" customWidth="1"/>
    <col min="15107" max="15108" width="13.140625" style="77" customWidth="1"/>
    <col min="15109" max="15109" width="9.140625" style="77"/>
    <col min="15110" max="15110" width="12.85546875" style="77" customWidth="1"/>
    <col min="15111" max="15111" width="9.140625" style="77"/>
    <col min="15112" max="15112" width="12.140625" style="77" customWidth="1"/>
    <col min="15113" max="15113" width="13" style="77" customWidth="1"/>
    <col min="15114" max="15114" width="11.7109375" style="77" customWidth="1"/>
    <col min="15115" max="15115" width="11.28515625" style="77" customWidth="1"/>
    <col min="15116" max="15116" width="14.85546875" style="77" customWidth="1"/>
    <col min="15117" max="15117" width="16.42578125" style="77" customWidth="1"/>
    <col min="15118" max="15118" width="14.85546875" style="77" customWidth="1"/>
    <col min="15119" max="15119" width="13.42578125" style="77" bestFit="1" customWidth="1"/>
    <col min="15120" max="15120" width="14.85546875" style="77" customWidth="1"/>
    <col min="15121" max="15121" width="16.5703125" style="77" customWidth="1"/>
    <col min="15122" max="15122" width="10.5703125" style="77" customWidth="1"/>
    <col min="15123" max="15123" width="12.42578125" style="77" bestFit="1" customWidth="1"/>
    <col min="15124" max="15124" width="15" style="77" bestFit="1" customWidth="1"/>
    <col min="15125" max="15126" width="18.28515625" style="77" bestFit="1" customWidth="1"/>
    <col min="15127" max="15127" width="17.42578125" style="77" bestFit="1" customWidth="1"/>
    <col min="15128" max="15128" width="12.85546875" style="77" bestFit="1" customWidth="1"/>
    <col min="15129" max="15129" width="12.28515625" style="77" bestFit="1" customWidth="1"/>
    <col min="15130" max="15357" width="9.140625" style="77"/>
    <col min="15358" max="15359" width="10" style="77" customWidth="1"/>
    <col min="15360" max="15360" width="7" style="77" customWidth="1"/>
    <col min="15361" max="15361" width="24" style="77" customWidth="1"/>
    <col min="15362" max="15362" width="12.85546875" style="77" customWidth="1"/>
    <col min="15363" max="15364" width="13.140625" style="77" customWidth="1"/>
    <col min="15365" max="15365" width="9.140625" style="77"/>
    <col min="15366" max="15366" width="12.85546875" style="77" customWidth="1"/>
    <col min="15367" max="15367" width="9.140625" style="77"/>
    <col min="15368" max="15368" width="12.140625" style="77" customWidth="1"/>
    <col min="15369" max="15369" width="13" style="77" customWidth="1"/>
    <col min="15370" max="15370" width="11.7109375" style="77" customWidth="1"/>
    <col min="15371" max="15371" width="11.28515625" style="77" customWidth="1"/>
    <col min="15372" max="15372" width="14.85546875" style="77" customWidth="1"/>
    <col min="15373" max="15373" width="16.42578125" style="77" customWidth="1"/>
    <col min="15374" max="15374" width="14.85546875" style="77" customWidth="1"/>
    <col min="15375" max="15375" width="13.42578125" style="77" bestFit="1" customWidth="1"/>
    <col min="15376" max="15376" width="14.85546875" style="77" customWidth="1"/>
    <col min="15377" max="15377" width="16.5703125" style="77" customWidth="1"/>
    <col min="15378" max="15378" width="10.5703125" style="77" customWidth="1"/>
    <col min="15379" max="15379" width="12.42578125" style="77" bestFit="1" customWidth="1"/>
    <col min="15380" max="15380" width="15" style="77" bestFit="1" customWidth="1"/>
    <col min="15381" max="15382" width="18.28515625" style="77" bestFit="1" customWidth="1"/>
    <col min="15383" max="15383" width="17.42578125" style="77" bestFit="1" customWidth="1"/>
    <col min="15384" max="15384" width="12.85546875" style="77" bestFit="1" customWidth="1"/>
    <col min="15385" max="15385" width="12.28515625" style="77" bestFit="1" customWidth="1"/>
    <col min="15386" max="15613" width="9.140625" style="77"/>
    <col min="15614" max="15615" width="10" style="77" customWidth="1"/>
    <col min="15616" max="15616" width="7" style="77" customWidth="1"/>
    <col min="15617" max="15617" width="24" style="77" customWidth="1"/>
    <col min="15618" max="15618" width="12.85546875" style="77" customWidth="1"/>
    <col min="15619" max="15620" width="13.140625" style="77" customWidth="1"/>
    <col min="15621" max="15621" width="9.140625" style="77"/>
    <col min="15622" max="15622" width="12.85546875" style="77" customWidth="1"/>
    <col min="15623" max="15623" width="9.140625" style="77"/>
    <col min="15624" max="15624" width="12.140625" style="77" customWidth="1"/>
    <col min="15625" max="15625" width="13" style="77" customWidth="1"/>
    <col min="15626" max="15626" width="11.7109375" style="77" customWidth="1"/>
    <col min="15627" max="15627" width="11.28515625" style="77" customWidth="1"/>
    <col min="15628" max="15628" width="14.85546875" style="77" customWidth="1"/>
    <col min="15629" max="15629" width="16.42578125" style="77" customWidth="1"/>
    <col min="15630" max="15630" width="14.85546875" style="77" customWidth="1"/>
    <col min="15631" max="15631" width="13.42578125" style="77" bestFit="1" customWidth="1"/>
    <col min="15632" max="15632" width="14.85546875" style="77" customWidth="1"/>
    <col min="15633" max="15633" width="16.5703125" style="77" customWidth="1"/>
    <col min="15634" max="15634" width="10.5703125" style="77" customWidth="1"/>
    <col min="15635" max="15635" width="12.42578125" style="77" bestFit="1" customWidth="1"/>
    <col min="15636" max="15636" width="15" style="77" bestFit="1" customWidth="1"/>
    <col min="15637" max="15638" width="18.28515625" style="77" bestFit="1" customWidth="1"/>
    <col min="15639" max="15639" width="17.42578125" style="77" bestFit="1" customWidth="1"/>
    <col min="15640" max="15640" width="12.85546875" style="77" bestFit="1" customWidth="1"/>
    <col min="15641" max="15641" width="12.28515625" style="77" bestFit="1" customWidth="1"/>
    <col min="15642" max="15869" width="9.140625" style="77"/>
    <col min="15870" max="15871" width="10" style="77" customWidth="1"/>
    <col min="15872" max="15872" width="7" style="77" customWidth="1"/>
    <col min="15873" max="15873" width="24" style="77" customWidth="1"/>
    <col min="15874" max="15874" width="12.85546875" style="77" customWidth="1"/>
    <col min="15875" max="15876" width="13.140625" style="77" customWidth="1"/>
    <col min="15877" max="15877" width="9.140625" style="77"/>
    <col min="15878" max="15878" width="12.85546875" style="77" customWidth="1"/>
    <col min="15879" max="15879" width="9.140625" style="77"/>
    <col min="15880" max="15880" width="12.140625" style="77" customWidth="1"/>
    <col min="15881" max="15881" width="13" style="77" customWidth="1"/>
    <col min="15882" max="15882" width="11.7109375" style="77" customWidth="1"/>
    <col min="15883" max="15883" width="11.28515625" style="77" customWidth="1"/>
    <col min="15884" max="15884" width="14.85546875" style="77" customWidth="1"/>
    <col min="15885" max="15885" width="16.42578125" style="77" customWidth="1"/>
    <col min="15886" max="15886" width="14.85546875" style="77" customWidth="1"/>
    <col min="15887" max="15887" width="13.42578125" style="77" bestFit="1" customWidth="1"/>
    <col min="15888" max="15888" width="14.85546875" style="77" customWidth="1"/>
    <col min="15889" max="15889" width="16.5703125" style="77" customWidth="1"/>
    <col min="15890" max="15890" width="10.5703125" style="77" customWidth="1"/>
    <col min="15891" max="15891" width="12.42578125" style="77" bestFit="1" customWidth="1"/>
    <col min="15892" max="15892" width="15" style="77" bestFit="1" customWidth="1"/>
    <col min="15893" max="15894" width="18.28515625" style="77" bestFit="1" customWidth="1"/>
    <col min="15895" max="15895" width="17.42578125" style="77" bestFit="1" customWidth="1"/>
    <col min="15896" max="15896" width="12.85546875" style="77" bestFit="1" customWidth="1"/>
    <col min="15897" max="15897" width="12.28515625" style="77" bestFit="1" customWidth="1"/>
    <col min="15898" max="16125" width="9.140625" style="77"/>
    <col min="16126" max="16127" width="10" style="77" customWidth="1"/>
    <col min="16128" max="16128" width="7" style="77" customWidth="1"/>
    <col min="16129" max="16129" width="24" style="77" customWidth="1"/>
    <col min="16130" max="16130" width="12.85546875" style="77" customWidth="1"/>
    <col min="16131" max="16132" width="13.140625" style="77" customWidth="1"/>
    <col min="16133" max="16133" width="9.140625" style="77"/>
    <col min="16134" max="16134" width="12.85546875" style="77" customWidth="1"/>
    <col min="16135" max="16135" width="9.140625" style="77"/>
    <col min="16136" max="16136" width="12.140625" style="77" customWidth="1"/>
    <col min="16137" max="16137" width="13" style="77" customWidth="1"/>
    <col min="16138" max="16138" width="11.7109375" style="77" customWidth="1"/>
    <col min="16139" max="16139" width="11.28515625" style="77" customWidth="1"/>
    <col min="16140" max="16140" width="14.85546875" style="77" customWidth="1"/>
    <col min="16141" max="16141" width="16.42578125" style="77" customWidth="1"/>
    <col min="16142" max="16142" width="14.85546875" style="77" customWidth="1"/>
    <col min="16143" max="16143" width="13.42578125" style="77" bestFit="1" customWidth="1"/>
    <col min="16144" max="16144" width="14.85546875" style="77" customWidth="1"/>
    <col min="16145" max="16145" width="16.5703125" style="77" customWidth="1"/>
    <col min="16146" max="16146" width="10.5703125" style="77" customWidth="1"/>
    <col min="16147" max="16147" width="12.42578125" style="77" bestFit="1" customWidth="1"/>
    <col min="16148" max="16148" width="15" style="77" bestFit="1" customWidth="1"/>
    <col min="16149" max="16150" width="18.28515625" style="77" bestFit="1" customWidth="1"/>
    <col min="16151" max="16151" width="17.42578125" style="77" bestFit="1" customWidth="1"/>
    <col min="16152" max="16152" width="12.85546875" style="77" bestFit="1" customWidth="1"/>
    <col min="16153" max="16153" width="12.28515625" style="77" bestFit="1" customWidth="1"/>
    <col min="16154" max="16384" width="9.140625" style="77"/>
  </cols>
  <sheetData>
    <row r="1" spans="1:26" x14ac:dyDescent="0.2">
      <c r="A1" s="75" t="s">
        <v>102</v>
      </c>
    </row>
    <row r="2" spans="1:26" x14ac:dyDescent="0.2">
      <c r="A2" s="76" t="s">
        <v>126</v>
      </c>
      <c r="J2" s="97" t="s">
        <v>103</v>
      </c>
      <c r="M2" s="371" t="s">
        <v>104</v>
      </c>
    </row>
    <row r="3" spans="1:26" x14ac:dyDescent="0.2">
      <c r="A3" s="76" t="s">
        <v>232</v>
      </c>
      <c r="J3" s="97"/>
      <c r="M3" s="371"/>
    </row>
    <row r="4" spans="1:26" x14ac:dyDescent="0.2">
      <c r="A4" s="194" t="s">
        <v>113</v>
      </c>
      <c r="B4" s="371" t="s">
        <v>233</v>
      </c>
      <c r="J4" s="194" t="s">
        <v>92</v>
      </c>
      <c r="M4" s="371" t="s">
        <v>235</v>
      </c>
    </row>
    <row r="5" spans="1:26" x14ac:dyDescent="0.2">
      <c r="A5" s="76"/>
      <c r="B5" s="76"/>
    </row>
    <row r="6" spans="1:26" x14ac:dyDescent="0.2">
      <c r="A6" s="76" t="s">
        <v>1</v>
      </c>
      <c r="B6" s="188">
        <v>2012</v>
      </c>
      <c r="R6" s="79" t="s">
        <v>308</v>
      </c>
    </row>
    <row r="7" spans="1:26" x14ac:dyDescent="0.2">
      <c r="L7" s="92"/>
      <c r="R7" s="262">
        <v>-199932</v>
      </c>
      <c r="T7" s="92">
        <v>2012</v>
      </c>
      <c r="U7" s="92">
        <v>2013</v>
      </c>
      <c r="V7" s="92">
        <v>2014</v>
      </c>
    </row>
    <row r="8" spans="1:26" s="81" customFormat="1" ht="40.700000000000003" customHeight="1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O8" s="406"/>
      <c r="P8" s="406"/>
      <c r="Q8" s="406"/>
      <c r="R8" s="406"/>
      <c r="S8" s="83"/>
      <c r="T8" s="187" t="s">
        <v>109</v>
      </c>
      <c r="U8" s="187" t="s">
        <v>109</v>
      </c>
      <c r="V8" s="187" t="s">
        <v>109</v>
      </c>
      <c r="W8" s="83"/>
      <c r="X8" s="83"/>
      <c r="Y8" s="83"/>
      <c r="Z8" s="83"/>
    </row>
    <row r="9" spans="1:26" ht="25.5" x14ac:dyDescent="0.2">
      <c r="A9" s="203" t="s">
        <v>234</v>
      </c>
      <c r="B9" s="299" t="s">
        <v>236</v>
      </c>
      <c r="C9" s="273"/>
      <c r="D9" s="273">
        <v>25</v>
      </c>
      <c r="E9" s="273"/>
      <c r="F9" s="207">
        <f t="shared" ref="F9:F28" si="0">IF(D9&gt;0,1/D9,0)</f>
        <v>0.04</v>
      </c>
      <c r="G9" s="276">
        <v>402132.73</v>
      </c>
      <c r="H9" s="273">
        <v>0</v>
      </c>
      <c r="I9" s="273">
        <v>0</v>
      </c>
      <c r="J9" s="222">
        <f t="shared" ref="J9:J29" si="1">+G9*F9</f>
        <v>16085.3092</v>
      </c>
      <c r="K9" s="222">
        <f t="shared" ref="K9:K29" si="2">IF(E9&gt;=$B$6,+J9,0)</f>
        <v>0</v>
      </c>
      <c r="L9" s="222">
        <f>+G9</f>
        <v>402132.73</v>
      </c>
      <c r="M9" s="222">
        <f t="shared" ref="M9:M29" si="3">+G9-L9</f>
        <v>0</v>
      </c>
      <c r="N9" s="273"/>
      <c r="O9" s="138"/>
      <c r="P9" s="138"/>
      <c r="Q9" s="138"/>
      <c r="R9" s="138"/>
      <c r="S9" s="80"/>
      <c r="T9" s="277">
        <f t="shared" ref="T9:T16" si="4">+L9+K9</f>
        <v>402132.73</v>
      </c>
      <c r="U9" s="277">
        <f t="shared" ref="U9:U16" si="5">+T9+K9</f>
        <v>402132.73</v>
      </c>
      <c r="V9" s="277">
        <f t="shared" ref="V9:V16" si="6">+U9+K9</f>
        <v>402132.73</v>
      </c>
      <c r="W9" s="278">
        <f t="shared" ref="W9:W29" si="7">+G9-V9</f>
        <v>0</v>
      </c>
      <c r="X9" s="150"/>
      <c r="Y9" s="150"/>
      <c r="Z9" s="80"/>
    </row>
    <row r="10" spans="1:26" x14ac:dyDescent="0.2">
      <c r="A10" s="203" t="s">
        <v>234</v>
      </c>
      <c r="B10" s="205">
        <v>29586</v>
      </c>
      <c r="C10" s="206">
        <v>1980</v>
      </c>
      <c r="D10" s="206">
        <v>25</v>
      </c>
      <c r="E10" s="206">
        <f>+C10+D10-1</f>
        <v>2004</v>
      </c>
      <c r="F10" s="207">
        <f t="shared" si="0"/>
        <v>0.04</v>
      </c>
      <c r="G10" s="220">
        <v>6006.56</v>
      </c>
      <c r="H10" s="209">
        <f t="shared" ref="H10:H29" si="8">IF(+G10&gt;0,IF(+$B$6-C10+1&gt;D10,D10,+$B$6-C10+1),0)</f>
        <v>25</v>
      </c>
      <c r="I10" s="273">
        <f t="shared" ref="I10:I29" si="9">IF(E10&gt;=$B$6,+D10-H10,0)</f>
        <v>0</v>
      </c>
      <c r="J10" s="220">
        <f t="shared" si="1"/>
        <v>240.26240000000001</v>
      </c>
      <c r="K10" s="220">
        <f t="shared" si="2"/>
        <v>0</v>
      </c>
      <c r="L10" s="220">
        <f t="shared" ref="L10:L29" si="10">+J10*H10</f>
        <v>6006.56</v>
      </c>
      <c r="M10" s="220">
        <f t="shared" si="3"/>
        <v>0</v>
      </c>
      <c r="N10" s="206"/>
      <c r="O10" s="137"/>
      <c r="P10" s="137"/>
      <c r="Q10" s="137" t="s">
        <v>310</v>
      </c>
      <c r="R10" s="262">
        <f>+M44+R7</f>
        <v>516091.96759999997</v>
      </c>
      <c r="T10" s="282">
        <f t="shared" si="4"/>
        <v>6006.56</v>
      </c>
      <c r="U10" s="282">
        <f t="shared" si="5"/>
        <v>6006.56</v>
      </c>
      <c r="V10" s="282">
        <f t="shared" si="6"/>
        <v>6006.56</v>
      </c>
      <c r="W10" s="283">
        <f t="shared" si="7"/>
        <v>0</v>
      </c>
      <c r="X10" s="284"/>
      <c r="Y10" s="284"/>
    </row>
    <row r="11" spans="1:26" x14ac:dyDescent="0.2">
      <c r="A11" s="203" t="s">
        <v>234</v>
      </c>
      <c r="B11" s="205">
        <v>29951</v>
      </c>
      <c r="C11" s="206">
        <v>1981</v>
      </c>
      <c r="D11" s="206">
        <v>25</v>
      </c>
      <c r="E11" s="206">
        <f t="shared" ref="E11:E28" si="11">+C11+D11-1</f>
        <v>2005</v>
      </c>
      <c r="F11" s="207">
        <f t="shared" si="0"/>
        <v>0.04</v>
      </c>
      <c r="G11" s="220">
        <v>6568.7</v>
      </c>
      <c r="H11" s="209">
        <f t="shared" si="8"/>
        <v>25</v>
      </c>
      <c r="I11" s="273">
        <f t="shared" si="9"/>
        <v>0</v>
      </c>
      <c r="J11" s="220">
        <f t="shared" si="1"/>
        <v>262.74799999999999</v>
      </c>
      <c r="K11" s="220">
        <f t="shared" si="2"/>
        <v>0</v>
      </c>
      <c r="L11" s="220">
        <f t="shared" si="10"/>
        <v>6568.7</v>
      </c>
      <c r="M11" s="220">
        <f t="shared" si="3"/>
        <v>0</v>
      </c>
      <c r="N11" s="206"/>
      <c r="O11" s="137"/>
      <c r="P11" s="137"/>
      <c r="Q11" s="137"/>
      <c r="R11" s="137"/>
      <c r="T11" s="282">
        <f t="shared" si="4"/>
        <v>6568.7</v>
      </c>
      <c r="U11" s="282">
        <f t="shared" si="5"/>
        <v>6568.7</v>
      </c>
      <c r="V11" s="282">
        <f t="shared" si="6"/>
        <v>6568.7</v>
      </c>
      <c r="W11" s="283">
        <f t="shared" si="7"/>
        <v>0</v>
      </c>
      <c r="X11" s="284"/>
      <c r="Y11" s="284"/>
    </row>
    <row r="12" spans="1:26" x14ac:dyDescent="0.2">
      <c r="A12" s="203" t="s">
        <v>234</v>
      </c>
      <c r="B12" s="205">
        <v>30316</v>
      </c>
      <c r="C12" s="206">
        <v>1982</v>
      </c>
      <c r="D12" s="206">
        <v>25</v>
      </c>
      <c r="E12" s="206">
        <f t="shared" si="11"/>
        <v>2006</v>
      </c>
      <c r="F12" s="207">
        <f t="shared" si="0"/>
        <v>0.04</v>
      </c>
      <c r="G12" s="220">
        <v>10737.09</v>
      </c>
      <c r="H12" s="209">
        <f t="shared" si="8"/>
        <v>25</v>
      </c>
      <c r="I12" s="273">
        <f t="shared" si="9"/>
        <v>0</v>
      </c>
      <c r="J12" s="220">
        <f t="shared" si="1"/>
        <v>429.48360000000002</v>
      </c>
      <c r="K12" s="220">
        <f t="shared" si="2"/>
        <v>0</v>
      </c>
      <c r="L12" s="220">
        <f t="shared" si="10"/>
        <v>10737.09</v>
      </c>
      <c r="M12" s="220">
        <f t="shared" si="3"/>
        <v>0</v>
      </c>
      <c r="N12" s="206"/>
      <c r="O12" s="137"/>
      <c r="P12" s="137"/>
      <c r="Q12" s="137"/>
      <c r="R12" s="137"/>
      <c r="T12" s="282">
        <f t="shared" si="4"/>
        <v>10737.09</v>
      </c>
      <c r="U12" s="282">
        <f t="shared" si="5"/>
        <v>10737.09</v>
      </c>
      <c r="V12" s="282">
        <f t="shared" si="6"/>
        <v>10737.09</v>
      </c>
      <c r="W12" s="283">
        <f t="shared" si="7"/>
        <v>0</v>
      </c>
      <c r="X12" s="284"/>
      <c r="Y12" s="284"/>
    </row>
    <row r="13" spans="1:26" x14ac:dyDescent="0.2">
      <c r="A13" s="203" t="s">
        <v>234</v>
      </c>
      <c r="B13" s="205">
        <v>30681</v>
      </c>
      <c r="C13" s="206">
        <v>1983</v>
      </c>
      <c r="D13" s="206">
        <v>25</v>
      </c>
      <c r="E13" s="206">
        <f t="shared" si="11"/>
        <v>2007</v>
      </c>
      <c r="F13" s="207">
        <f t="shared" si="0"/>
        <v>0.04</v>
      </c>
      <c r="G13" s="220">
        <v>12190.4</v>
      </c>
      <c r="H13" s="209">
        <f t="shared" si="8"/>
        <v>25</v>
      </c>
      <c r="I13" s="273">
        <f t="shared" si="9"/>
        <v>0</v>
      </c>
      <c r="J13" s="220">
        <f t="shared" si="1"/>
        <v>487.61599999999999</v>
      </c>
      <c r="K13" s="220">
        <f t="shared" si="2"/>
        <v>0</v>
      </c>
      <c r="L13" s="220">
        <f t="shared" si="10"/>
        <v>12190.4</v>
      </c>
      <c r="M13" s="220">
        <f t="shared" si="3"/>
        <v>0</v>
      </c>
      <c r="N13" s="206"/>
      <c r="O13" s="137"/>
      <c r="P13" s="137"/>
      <c r="Q13" s="137"/>
      <c r="R13" s="137"/>
      <c r="T13" s="282">
        <f t="shared" si="4"/>
        <v>12190.4</v>
      </c>
      <c r="U13" s="282">
        <f t="shared" si="5"/>
        <v>12190.4</v>
      </c>
      <c r="V13" s="282">
        <f t="shared" si="6"/>
        <v>12190.4</v>
      </c>
      <c r="W13" s="283">
        <f t="shared" si="7"/>
        <v>0</v>
      </c>
      <c r="X13" s="284"/>
      <c r="Y13" s="284"/>
    </row>
    <row r="14" spans="1:26" x14ac:dyDescent="0.2">
      <c r="A14" s="203" t="s">
        <v>234</v>
      </c>
      <c r="B14" s="205">
        <v>31047</v>
      </c>
      <c r="C14" s="206">
        <v>1984</v>
      </c>
      <c r="D14" s="206">
        <v>25</v>
      </c>
      <c r="E14" s="206">
        <f t="shared" si="11"/>
        <v>2008</v>
      </c>
      <c r="F14" s="207">
        <f t="shared" si="0"/>
        <v>0.04</v>
      </c>
      <c r="G14" s="220">
        <v>47264.93</v>
      </c>
      <c r="H14" s="209">
        <f t="shared" si="8"/>
        <v>25</v>
      </c>
      <c r="I14" s="273">
        <f t="shared" si="9"/>
        <v>0</v>
      </c>
      <c r="J14" s="220">
        <f t="shared" si="1"/>
        <v>1890.5972000000002</v>
      </c>
      <c r="K14" s="220">
        <f t="shared" si="2"/>
        <v>0</v>
      </c>
      <c r="L14" s="220">
        <f t="shared" si="10"/>
        <v>47264.930000000008</v>
      </c>
      <c r="M14" s="220">
        <f t="shared" si="3"/>
        <v>0</v>
      </c>
      <c r="N14" s="206"/>
      <c r="O14" s="137"/>
      <c r="P14" s="137"/>
      <c r="Q14" s="137"/>
      <c r="R14" s="137"/>
      <c r="T14" s="282">
        <f t="shared" si="4"/>
        <v>47264.930000000008</v>
      </c>
      <c r="U14" s="282">
        <f t="shared" si="5"/>
        <v>47264.930000000008</v>
      </c>
      <c r="V14" s="282">
        <f t="shared" si="6"/>
        <v>47264.930000000008</v>
      </c>
      <c r="W14" s="283">
        <f t="shared" si="7"/>
        <v>0</v>
      </c>
      <c r="X14" s="284"/>
      <c r="Y14" s="284"/>
    </row>
    <row r="15" spans="1:26" x14ac:dyDescent="0.2">
      <c r="A15" s="203" t="s">
        <v>234</v>
      </c>
      <c r="B15" s="205">
        <v>31412</v>
      </c>
      <c r="C15" s="206">
        <v>1985</v>
      </c>
      <c r="D15" s="206">
        <v>25</v>
      </c>
      <c r="E15" s="206">
        <f t="shared" si="11"/>
        <v>2009</v>
      </c>
      <c r="F15" s="207">
        <f t="shared" si="0"/>
        <v>0.04</v>
      </c>
      <c r="G15" s="220">
        <v>23826.27</v>
      </c>
      <c r="H15" s="209">
        <f t="shared" si="8"/>
        <v>25</v>
      </c>
      <c r="I15" s="273">
        <f t="shared" si="9"/>
        <v>0</v>
      </c>
      <c r="J15" s="220">
        <f t="shared" si="1"/>
        <v>953.05079999999998</v>
      </c>
      <c r="K15" s="220">
        <f t="shared" si="2"/>
        <v>0</v>
      </c>
      <c r="L15" s="220">
        <f t="shared" si="10"/>
        <v>23826.27</v>
      </c>
      <c r="M15" s="220">
        <f t="shared" si="3"/>
        <v>0</v>
      </c>
      <c r="N15" s="206"/>
      <c r="O15" s="137"/>
      <c r="P15" s="137"/>
      <c r="Q15" s="137"/>
      <c r="R15" s="137"/>
      <c r="T15" s="282">
        <f t="shared" si="4"/>
        <v>23826.27</v>
      </c>
      <c r="U15" s="282">
        <f t="shared" si="5"/>
        <v>23826.27</v>
      </c>
      <c r="V15" s="282">
        <f t="shared" si="6"/>
        <v>23826.27</v>
      </c>
      <c r="W15" s="283">
        <f t="shared" si="7"/>
        <v>0</v>
      </c>
      <c r="X15" s="284"/>
      <c r="Y15" s="284"/>
    </row>
    <row r="16" spans="1:26" x14ac:dyDescent="0.2">
      <c r="A16" s="203" t="s">
        <v>234</v>
      </c>
      <c r="B16" s="205">
        <v>31777</v>
      </c>
      <c r="C16" s="206">
        <v>1986</v>
      </c>
      <c r="D16" s="206">
        <v>25</v>
      </c>
      <c r="E16" s="206">
        <f t="shared" si="11"/>
        <v>2010</v>
      </c>
      <c r="F16" s="207">
        <f t="shared" si="0"/>
        <v>0.04</v>
      </c>
      <c r="G16" s="220">
        <v>45767.78</v>
      </c>
      <c r="H16" s="209">
        <f t="shared" si="8"/>
        <v>25</v>
      </c>
      <c r="I16" s="273">
        <f t="shared" si="9"/>
        <v>0</v>
      </c>
      <c r="J16" s="220">
        <f t="shared" si="1"/>
        <v>1830.7112</v>
      </c>
      <c r="K16" s="220">
        <f t="shared" si="2"/>
        <v>0</v>
      </c>
      <c r="L16" s="220">
        <f t="shared" si="10"/>
        <v>45767.78</v>
      </c>
      <c r="M16" s="220">
        <f t="shared" si="3"/>
        <v>0</v>
      </c>
      <c r="N16" s="206"/>
      <c r="O16" s="137"/>
      <c r="P16" s="137"/>
      <c r="Q16" s="137"/>
      <c r="R16" s="137"/>
      <c r="T16" s="282">
        <f t="shared" si="4"/>
        <v>45767.78</v>
      </c>
      <c r="U16" s="282">
        <f t="shared" si="5"/>
        <v>45767.78</v>
      </c>
      <c r="V16" s="282">
        <f t="shared" si="6"/>
        <v>45767.78</v>
      </c>
      <c r="W16" s="283">
        <f t="shared" si="7"/>
        <v>0</v>
      </c>
      <c r="X16" s="284"/>
      <c r="Y16" s="284"/>
    </row>
    <row r="17" spans="1:26" x14ac:dyDescent="0.2">
      <c r="A17" s="203" t="s">
        <v>234</v>
      </c>
      <c r="B17" s="205">
        <v>32142</v>
      </c>
      <c r="C17" s="206">
        <v>1987</v>
      </c>
      <c r="D17" s="206">
        <v>25</v>
      </c>
      <c r="E17" s="206">
        <f t="shared" si="11"/>
        <v>2011</v>
      </c>
      <c r="F17" s="207">
        <f t="shared" si="0"/>
        <v>0.04</v>
      </c>
      <c r="G17" s="220">
        <v>58928.36</v>
      </c>
      <c r="H17" s="209">
        <f t="shared" si="8"/>
        <v>25</v>
      </c>
      <c r="I17" s="273">
        <f t="shared" si="9"/>
        <v>0</v>
      </c>
      <c r="J17" s="220">
        <f t="shared" si="1"/>
        <v>2357.1343999999999</v>
      </c>
      <c r="K17" s="220">
        <f t="shared" si="2"/>
        <v>0</v>
      </c>
      <c r="L17" s="220">
        <f t="shared" si="10"/>
        <v>58928.36</v>
      </c>
      <c r="M17" s="220">
        <f t="shared" si="3"/>
        <v>0</v>
      </c>
      <c r="N17" s="206"/>
      <c r="O17" s="137"/>
      <c r="P17" s="137">
        <v>25</v>
      </c>
      <c r="Q17" s="137"/>
      <c r="R17" s="137"/>
      <c r="T17" s="282">
        <f>+L17+K17-K17</f>
        <v>58928.36</v>
      </c>
      <c r="U17" s="282">
        <f>+T17+K17-K17</f>
        <v>58928.36</v>
      </c>
      <c r="V17" s="282">
        <f>+U17+K17-K17</f>
        <v>58928.36</v>
      </c>
      <c r="W17" s="283">
        <f t="shared" si="7"/>
        <v>0</v>
      </c>
      <c r="X17" s="284"/>
      <c r="Y17" s="284"/>
    </row>
    <row r="18" spans="1:26" x14ac:dyDescent="0.2">
      <c r="A18" s="203" t="s">
        <v>234</v>
      </c>
      <c r="B18" s="205">
        <v>32508</v>
      </c>
      <c r="C18" s="206">
        <v>1988</v>
      </c>
      <c r="D18" s="206">
        <v>25</v>
      </c>
      <c r="E18" s="206">
        <f t="shared" si="11"/>
        <v>2012</v>
      </c>
      <c r="F18" s="207">
        <f t="shared" si="0"/>
        <v>0.04</v>
      </c>
      <c r="G18" s="220">
        <v>28808.87</v>
      </c>
      <c r="H18" s="209">
        <f t="shared" si="8"/>
        <v>25</v>
      </c>
      <c r="I18" s="273">
        <f t="shared" si="9"/>
        <v>0</v>
      </c>
      <c r="J18" s="220">
        <f t="shared" si="1"/>
        <v>1152.3548000000001</v>
      </c>
      <c r="K18" s="220">
        <f t="shared" si="2"/>
        <v>1152.3548000000001</v>
      </c>
      <c r="L18" s="220">
        <f t="shared" si="10"/>
        <v>28808.870000000003</v>
      </c>
      <c r="M18" s="220">
        <f t="shared" si="3"/>
        <v>0</v>
      </c>
      <c r="N18" s="206"/>
      <c r="O18" s="407">
        <f>+M18/$M$44</f>
        <v>0</v>
      </c>
      <c r="P18" s="408">
        <f>+$P$17-H18</f>
        <v>0</v>
      </c>
      <c r="Q18" s="137">
        <f>+O18*P18</f>
        <v>0</v>
      </c>
      <c r="R18" s="416">
        <f>+$R$10*O18</f>
        <v>0</v>
      </c>
      <c r="T18" s="282">
        <f t="shared" ref="T18:T29" si="12">+L18+K18</f>
        <v>29961.224800000004</v>
      </c>
      <c r="U18" s="282">
        <f>+T18+K18-K18</f>
        <v>29961.224800000004</v>
      </c>
      <c r="V18" s="282">
        <f>+U18+K18-K18</f>
        <v>29961.224800000004</v>
      </c>
      <c r="W18" s="283">
        <f t="shared" si="7"/>
        <v>-1152.3548000000046</v>
      </c>
      <c r="X18" s="284"/>
      <c r="Y18" s="284"/>
    </row>
    <row r="19" spans="1:26" x14ac:dyDescent="0.2">
      <c r="A19" s="203" t="s">
        <v>234</v>
      </c>
      <c r="B19" s="205">
        <v>32873</v>
      </c>
      <c r="C19" s="206">
        <v>1989</v>
      </c>
      <c r="D19" s="206">
        <v>25</v>
      </c>
      <c r="E19" s="206">
        <f t="shared" si="11"/>
        <v>2013</v>
      </c>
      <c r="F19" s="207">
        <f t="shared" si="0"/>
        <v>0.04</v>
      </c>
      <c r="G19" s="220">
        <v>75190.039999999994</v>
      </c>
      <c r="H19" s="209">
        <f t="shared" si="8"/>
        <v>24</v>
      </c>
      <c r="I19" s="273">
        <f t="shared" si="9"/>
        <v>1</v>
      </c>
      <c r="J19" s="220">
        <f t="shared" si="1"/>
        <v>3007.6016</v>
      </c>
      <c r="K19" s="220">
        <f t="shared" si="2"/>
        <v>3007.6016</v>
      </c>
      <c r="L19" s="220">
        <f t="shared" si="10"/>
        <v>72182.438399999999</v>
      </c>
      <c r="M19" s="220">
        <f t="shared" si="3"/>
        <v>3007.6015999999945</v>
      </c>
      <c r="N19" s="206"/>
      <c r="O19" s="407">
        <f t="shared" ref="O19:O42" si="13">+M19/$M$44</f>
        <v>4.2004202877188642E-3</v>
      </c>
      <c r="P19" s="408">
        <f t="shared" ref="P19:P42" si="14">+$P$17-H19</f>
        <v>1</v>
      </c>
      <c r="Q19" s="137">
        <f t="shared" ref="Q19:Q42" si="15">+O19*P19</f>
        <v>4.2004202877188642E-3</v>
      </c>
      <c r="R19" s="416">
        <f t="shared" ref="R19:R42" si="16">+$R$10*O19</f>
        <v>2167.8031710357868</v>
      </c>
      <c r="T19" s="282">
        <f t="shared" si="12"/>
        <v>75190.039999999994</v>
      </c>
      <c r="U19" s="282">
        <f t="shared" ref="U19:U29" si="17">+T19+K19</f>
        <v>78197.641599999988</v>
      </c>
      <c r="V19" s="282">
        <f>+U19+K19-K19</f>
        <v>78197.641599999988</v>
      </c>
      <c r="W19" s="283">
        <f t="shared" si="7"/>
        <v>-3007.6015999999945</v>
      </c>
      <c r="X19" s="284"/>
      <c r="Y19" s="284"/>
    </row>
    <row r="20" spans="1:26" x14ac:dyDescent="0.2">
      <c r="A20" s="203" t="s">
        <v>234</v>
      </c>
      <c r="B20" s="205">
        <v>33238</v>
      </c>
      <c r="C20" s="206">
        <v>1990</v>
      </c>
      <c r="D20" s="206">
        <v>25</v>
      </c>
      <c r="E20" s="206">
        <f t="shared" si="11"/>
        <v>2014</v>
      </c>
      <c r="F20" s="207">
        <f t="shared" si="0"/>
        <v>0.04</v>
      </c>
      <c r="G20" s="220">
        <v>82958.36</v>
      </c>
      <c r="H20" s="209">
        <f t="shared" si="8"/>
        <v>23</v>
      </c>
      <c r="I20" s="273">
        <f t="shared" si="9"/>
        <v>2</v>
      </c>
      <c r="J20" s="220">
        <f t="shared" si="1"/>
        <v>3318.3344000000002</v>
      </c>
      <c r="K20" s="220">
        <f t="shared" si="2"/>
        <v>3318.3344000000002</v>
      </c>
      <c r="L20" s="220">
        <f t="shared" si="10"/>
        <v>76321.691200000001</v>
      </c>
      <c r="M20" s="220">
        <f t="shared" si="3"/>
        <v>6636.6687999999995</v>
      </c>
      <c r="N20" s="206"/>
      <c r="O20" s="407">
        <f t="shared" si="13"/>
        <v>9.2687802368474799E-3</v>
      </c>
      <c r="P20" s="408">
        <f t="shared" si="14"/>
        <v>2</v>
      </c>
      <c r="Q20" s="137">
        <f t="shared" si="15"/>
        <v>1.853756047369496E-2</v>
      </c>
      <c r="R20" s="416">
        <f t="shared" si="16"/>
        <v>4783.5430296866098</v>
      </c>
      <c r="T20" s="282">
        <f t="shared" si="12"/>
        <v>79640.025600000008</v>
      </c>
      <c r="U20" s="282">
        <f t="shared" si="17"/>
        <v>82958.360000000015</v>
      </c>
      <c r="V20" s="282">
        <f t="shared" ref="V20:V29" si="18">+U20+K20</f>
        <v>86276.694400000022</v>
      </c>
      <c r="W20" s="283">
        <f t="shared" si="7"/>
        <v>-3318.3344000000216</v>
      </c>
      <c r="X20" s="284"/>
      <c r="Y20" s="284"/>
    </row>
    <row r="21" spans="1:26" x14ac:dyDescent="0.2">
      <c r="A21" s="203" t="s">
        <v>234</v>
      </c>
      <c r="B21" s="205">
        <v>33603</v>
      </c>
      <c r="C21" s="206">
        <v>1991</v>
      </c>
      <c r="D21" s="206">
        <v>25</v>
      </c>
      <c r="E21" s="206">
        <f t="shared" si="11"/>
        <v>2015</v>
      </c>
      <c r="F21" s="207">
        <f t="shared" si="0"/>
        <v>0.04</v>
      </c>
      <c r="G21" s="220">
        <v>124583.03999999999</v>
      </c>
      <c r="H21" s="209">
        <f t="shared" si="8"/>
        <v>22</v>
      </c>
      <c r="I21" s="273">
        <f t="shared" si="9"/>
        <v>3</v>
      </c>
      <c r="J21" s="220">
        <f t="shared" si="1"/>
        <v>4983.3216000000002</v>
      </c>
      <c r="K21" s="220">
        <f t="shared" si="2"/>
        <v>4983.3216000000002</v>
      </c>
      <c r="L21" s="220">
        <f t="shared" si="10"/>
        <v>109633.07520000001</v>
      </c>
      <c r="M21" s="220">
        <f t="shared" si="3"/>
        <v>14949.964799999987</v>
      </c>
      <c r="N21" s="206"/>
      <c r="O21" s="407">
        <f t="shared" si="13"/>
        <v>2.0879140191507727E-2</v>
      </c>
      <c r="P21" s="408">
        <f t="shared" si="14"/>
        <v>3</v>
      </c>
      <c r="Q21" s="137">
        <f t="shared" si="15"/>
        <v>6.2637420574523178E-2</v>
      </c>
      <c r="R21" s="416">
        <f t="shared" si="16"/>
        <v>10775.556543231463</v>
      </c>
      <c r="T21" s="282">
        <f t="shared" si="12"/>
        <v>114616.3968</v>
      </c>
      <c r="U21" s="282">
        <f t="shared" si="17"/>
        <v>119599.7184</v>
      </c>
      <c r="V21" s="282">
        <f t="shared" si="18"/>
        <v>124583.03999999999</v>
      </c>
      <c r="W21" s="283">
        <f t="shared" si="7"/>
        <v>0</v>
      </c>
      <c r="X21" s="284">
        <f t="shared" ref="X21:X29" si="19">+J21</f>
        <v>4983.3216000000002</v>
      </c>
      <c r="Y21" s="284">
        <f>+X21*Z21</f>
        <v>4983.3216000000002</v>
      </c>
      <c r="Z21" s="77">
        <v>1</v>
      </c>
    </row>
    <row r="22" spans="1:26" x14ac:dyDescent="0.2">
      <c r="A22" s="203" t="s">
        <v>234</v>
      </c>
      <c r="B22" s="205">
        <v>33969</v>
      </c>
      <c r="C22" s="206">
        <v>1992</v>
      </c>
      <c r="D22" s="206">
        <v>25</v>
      </c>
      <c r="E22" s="206">
        <f t="shared" si="11"/>
        <v>2016</v>
      </c>
      <c r="F22" s="207">
        <f t="shared" si="0"/>
        <v>0.04</v>
      </c>
      <c r="G22" s="220">
        <v>64067.94</v>
      </c>
      <c r="H22" s="209">
        <f t="shared" si="8"/>
        <v>21</v>
      </c>
      <c r="I22" s="273">
        <f t="shared" si="9"/>
        <v>4</v>
      </c>
      <c r="J22" s="220">
        <f t="shared" si="1"/>
        <v>2562.7175999999999</v>
      </c>
      <c r="K22" s="220">
        <f t="shared" si="2"/>
        <v>2562.7175999999999</v>
      </c>
      <c r="L22" s="220">
        <f t="shared" si="10"/>
        <v>53817.069600000003</v>
      </c>
      <c r="M22" s="220">
        <f t="shared" si="3"/>
        <v>10250.8704</v>
      </c>
      <c r="N22" s="206"/>
      <c r="O22" s="407">
        <f t="shared" si="13"/>
        <v>1.4316378869773464E-2</v>
      </c>
      <c r="P22" s="408">
        <f t="shared" si="14"/>
        <v>4</v>
      </c>
      <c r="Q22" s="137">
        <f t="shared" si="15"/>
        <v>5.7265515479093858E-2</v>
      </c>
      <c r="R22" s="416">
        <f t="shared" si="16"/>
        <v>7388.5681398084507</v>
      </c>
      <c r="T22" s="282">
        <f t="shared" si="12"/>
        <v>56379.787200000006</v>
      </c>
      <c r="U22" s="282">
        <f t="shared" si="17"/>
        <v>58942.50480000001</v>
      </c>
      <c r="V22" s="282">
        <f t="shared" si="18"/>
        <v>61505.222400000013</v>
      </c>
      <c r="W22" s="283">
        <f t="shared" si="7"/>
        <v>2562.717599999989</v>
      </c>
      <c r="X22" s="284">
        <f t="shared" si="19"/>
        <v>2562.7175999999999</v>
      </c>
      <c r="Y22" s="284">
        <f t="shared" ref="Y22:Y42" si="20">+X22*Z22</f>
        <v>5125.4351999999999</v>
      </c>
      <c r="Z22" s="77">
        <f>+Z21+Z21</f>
        <v>2</v>
      </c>
    </row>
    <row r="23" spans="1:26" x14ac:dyDescent="0.2">
      <c r="A23" s="203" t="s">
        <v>234</v>
      </c>
      <c r="B23" s="205">
        <v>34334</v>
      </c>
      <c r="C23" s="206">
        <v>1993</v>
      </c>
      <c r="D23" s="206">
        <v>25</v>
      </c>
      <c r="E23" s="206">
        <f t="shared" si="11"/>
        <v>2017</v>
      </c>
      <c r="F23" s="207">
        <f t="shared" si="0"/>
        <v>0.04</v>
      </c>
      <c r="G23" s="220">
        <v>56467.96</v>
      </c>
      <c r="H23" s="209">
        <f t="shared" si="8"/>
        <v>20</v>
      </c>
      <c r="I23" s="273">
        <f t="shared" si="9"/>
        <v>5</v>
      </c>
      <c r="J23" s="220">
        <f t="shared" si="1"/>
        <v>2258.7184000000002</v>
      </c>
      <c r="K23" s="220">
        <f t="shared" si="2"/>
        <v>2258.7184000000002</v>
      </c>
      <c r="L23" s="220">
        <f t="shared" si="10"/>
        <v>45174.368000000002</v>
      </c>
      <c r="M23" s="220">
        <f t="shared" si="3"/>
        <v>11293.591999999997</v>
      </c>
      <c r="N23" s="206"/>
      <c r="O23" s="407">
        <f t="shared" si="13"/>
        <v>1.5772645206073681E-2</v>
      </c>
      <c r="P23" s="408">
        <f t="shared" si="14"/>
        <v>5</v>
      </c>
      <c r="Q23" s="137">
        <f t="shared" si="15"/>
        <v>7.8863226030368411E-2</v>
      </c>
      <c r="R23" s="416">
        <f t="shared" si="16"/>
        <v>8140.1354986592733</v>
      </c>
      <c r="T23" s="282">
        <f t="shared" si="12"/>
        <v>47433.0864</v>
      </c>
      <c r="U23" s="282">
        <f t="shared" si="17"/>
        <v>49691.804799999998</v>
      </c>
      <c r="V23" s="282">
        <f t="shared" si="18"/>
        <v>51950.523199999996</v>
      </c>
      <c r="W23" s="283">
        <f t="shared" si="7"/>
        <v>4517.4368000000031</v>
      </c>
      <c r="X23" s="284">
        <f t="shared" si="19"/>
        <v>2258.7184000000002</v>
      </c>
      <c r="Y23" s="284">
        <f t="shared" si="20"/>
        <v>6776.1552000000011</v>
      </c>
      <c r="Z23" s="77">
        <f>+Z22+1</f>
        <v>3</v>
      </c>
    </row>
    <row r="24" spans="1:26" x14ac:dyDescent="0.2">
      <c r="A24" s="203" t="s">
        <v>234</v>
      </c>
      <c r="B24" s="205">
        <v>34699</v>
      </c>
      <c r="C24" s="206">
        <v>1994</v>
      </c>
      <c r="D24" s="206">
        <v>25</v>
      </c>
      <c r="E24" s="206">
        <f t="shared" si="11"/>
        <v>2018</v>
      </c>
      <c r="F24" s="207">
        <f t="shared" si="0"/>
        <v>0.04</v>
      </c>
      <c r="G24" s="220">
        <v>34287.839999999997</v>
      </c>
      <c r="H24" s="209">
        <f t="shared" si="8"/>
        <v>19</v>
      </c>
      <c r="I24" s="273">
        <f t="shared" si="9"/>
        <v>6</v>
      </c>
      <c r="J24" s="220">
        <f t="shared" si="1"/>
        <v>1371.5136</v>
      </c>
      <c r="K24" s="220">
        <f t="shared" si="2"/>
        <v>1371.5136</v>
      </c>
      <c r="L24" s="220">
        <f t="shared" si="10"/>
        <v>26058.758399999999</v>
      </c>
      <c r="M24" s="220">
        <f t="shared" si="3"/>
        <v>8229.0815999999977</v>
      </c>
      <c r="N24" s="206"/>
      <c r="O24" s="407">
        <f t="shared" si="13"/>
        <v>1.1492746014609803E-2</v>
      </c>
      <c r="P24" s="408">
        <f t="shared" si="14"/>
        <v>6</v>
      </c>
      <c r="Q24" s="137">
        <f t="shared" si="15"/>
        <v>6.8956476087658813E-2</v>
      </c>
      <c r="R24" s="416">
        <f t="shared" si="16"/>
        <v>5931.3139038070312</v>
      </c>
      <c r="T24" s="282">
        <f t="shared" si="12"/>
        <v>27430.271999999997</v>
      </c>
      <c r="U24" s="282">
        <f t="shared" si="17"/>
        <v>28801.785599999996</v>
      </c>
      <c r="V24" s="282">
        <f t="shared" si="18"/>
        <v>30173.299199999994</v>
      </c>
      <c r="W24" s="283">
        <f t="shared" si="7"/>
        <v>4114.5408000000025</v>
      </c>
      <c r="X24" s="284">
        <f t="shared" si="19"/>
        <v>1371.5136</v>
      </c>
      <c r="Y24" s="284">
        <f t="shared" si="20"/>
        <v>5486.0544</v>
      </c>
      <c r="Z24" s="77">
        <f t="shared" ref="Z24:Z29" si="21">+Z23+1</f>
        <v>4</v>
      </c>
    </row>
    <row r="25" spans="1:26" x14ac:dyDescent="0.2">
      <c r="A25" s="203" t="s">
        <v>234</v>
      </c>
      <c r="B25" s="205">
        <v>35064</v>
      </c>
      <c r="C25" s="206">
        <v>1995</v>
      </c>
      <c r="D25" s="206">
        <v>25</v>
      </c>
      <c r="E25" s="206">
        <f t="shared" si="11"/>
        <v>2019</v>
      </c>
      <c r="F25" s="207">
        <f t="shared" si="0"/>
        <v>0.04</v>
      </c>
      <c r="G25" s="220">
        <v>70092.38</v>
      </c>
      <c r="H25" s="209">
        <f t="shared" si="8"/>
        <v>18</v>
      </c>
      <c r="I25" s="273">
        <f t="shared" si="9"/>
        <v>7</v>
      </c>
      <c r="J25" s="220">
        <f t="shared" si="1"/>
        <v>2803.6952000000001</v>
      </c>
      <c r="K25" s="220">
        <f t="shared" si="2"/>
        <v>2803.6952000000001</v>
      </c>
      <c r="L25" s="220">
        <f t="shared" si="10"/>
        <v>50466.513600000006</v>
      </c>
      <c r="M25" s="220">
        <f t="shared" si="3"/>
        <v>19625.866399999999</v>
      </c>
      <c r="N25" s="206"/>
      <c r="O25" s="407">
        <f t="shared" si="13"/>
        <v>2.7409510418740346E-2</v>
      </c>
      <c r="P25" s="408">
        <f t="shared" si="14"/>
        <v>7</v>
      </c>
      <c r="Q25" s="137">
        <f t="shared" si="15"/>
        <v>0.19186657293118242</v>
      </c>
      <c r="R25" s="416">
        <f t="shared" si="16"/>
        <v>14145.828162960404</v>
      </c>
      <c r="T25" s="282">
        <f t="shared" si="12"/>
        <v>53270.208800000008</v>
      </c>
      <c r="U25" s="282">
        <f t="shared" si="17"/>
        <v>56073.90400000001</v>
      </c>
      <c r="V25" s="282">
        <f t="shared" si="18"/>
        <v>58877.599200000011</v>
      </c>
      <c r="W25" s="283">
        <f t="shared" si="7"/>
        <v>11214.780799999993</v>
      </c>
      <c r="X25" s="284">
        <f t="shared" si="19"/>
        <v>2803.6952000000001</v>
      </c>
      <c r="Y25" s="284">
        <f t="shared" si="20"/>
        <v>14018.476000000001</v>
      </c>
      <c r="Z25" s="77">
        <f t="shared" si="21"/>
        <v>5</v>
      </c>
    </row>
    <row r="26" spans="1:26" x14ac:dyDescent="0.2">
      <c r="A26" s="203" t="s">
        <v>234</v>
      </c>
      <c r="B26" s="205">
        <v>35430</v>
      </c>
      <c r="C26" s="206">
        <v>1996</v>
      </c>
      <c r="D26" s="206">
        <v>25</v>
      </c>
      <c r="E26" s="206">
        <f t="shared" si="11"/>
        <v>2020</v>
      </c>
      <c r="F26" s="207">
        <f t="shared" si="0"/>
        <v>0.04</v>
      </c>
      <c r="G26" s="220">
        <v>67302.33</v>
      </c>
      <c r="H26" s="209">
        <f t="shared" si="8"/>
        <v>17</v>
      </c>
      <c r="I26" s="273">
        <f t="shared" si="9"/>
        <v>8</v>
      </c>
      <c r="J26" s="220">
        <f t="shared" si="1"/>
        <v>2692.0932000000003</v>
      </c>
      <c r="K26" s="220">
        <f t="shared" si="2"/>
        <v>2692.0932000000003</v>
      </c>
      <c r="L26" s="220">
        <f t="shared" si="10"/>
        <v>45765.584400000007</v>
      </c>
      <c r="M26" s="220">
        <f t="shared" si="3"/>
        <v>21536.745599999995</v>
      </c>
      <c r="N26" s="206"/>
      <c r="O26" s="407">
        <f t="shared" si="13"/>
        <v>3.0078246782978213E-2</v>
      </c>
      <c r="P26" s="408">
        <f t="shared" si="14"/>
        <v>8</v>
      </c>
      <c r="Q26" s="137">
        <f t="shared" si="15"/>
        <v>0.2406259742638257</v>
      </c>
      <c r="R26" s="416">
        <f t="shared" si="16"/>
        <v>15523.141564185595</v>
      </c>
      <c r="T26" s="282">
        <f t="shared" si="12"/>
        <v>48457.67760000001</v>
      </c>
      <c r="U26" s="282">
        <f t="shared" si="17"/>
        <v>51149.770800000013</v>
      </c>
      <c r="V26" s="282">
        <f t="shared" si="18"/>
        <v>53841.864000000016</v>
      </c>
      <c r="W26" s="283">
        <f t="shared" si="7"/>
        <v>13460.465999999986</v>
      </c>
      <c r="X26" s="284">
        <f t="shared" si="19"/>
        <v>2692.0932000000003</v>
      </c>
      <c r="Y26" s="284">
        <f t="shared" si="20"/>
        <v>16152.559200000002</v>
      </c>
      <c r="Z26" s="77">
        <f t="shared" si="21"/>
        <v>6</v>
      </c>
    </row>
    <row r="27" spans="1:26" x14ac:dyDescent="0.2">
      <c r="A27" s="203" t="s">
        <v>234</v>
      </c>
      <c r="B27" s="205">
        <v>35795</v>
      </c>
      <c r="C27" s="206">
        <v>1997</v>
      </c>
      <c r="D27" s="206">
        <v>25</v>
      </c>
      <c r="E27" s="206">
        <f t="shared" si="11"/>
        <v>2021</v>
      </c>
      <c r="F27" s="207">
        <f t="shared" si="0"/>
        <v>0.04</v>
      </c>
      <c r="G27" s="220">
        <v>71674.42</v>
      </c>
      <c r="H27" s="209">
        <f t="shared" si="8"/>
        <v>16</v>
      </c>
      <c r="I27" s="273">
        <f t="shared" si="9"/>
        <v>9</v>
      </c>
      <c r="J27" s="220">
        <f t="shared" si="1"/>
        <v>2866.9767999999999</v>
      </c>
      <c r="K27" s="220">
        <f t="shared" si="2"/>
        <v>2866.9767999999999</v>
      </c>
      <c r="L27" s="220">
        <f t="shared" si="10"/>
        <v>45871.628799999999</v>
      </c>
      <c r="M27" s="220">
        <f t="shared" si="3"/>
        <v>25802.7912</v>
      </c>
      <c r="N27" s="206"/>
      <c r="O27" s="407">
        <f t="shared" si="13"/>
        <v>3.6036211590076944E-2</v>
      </c>
      <c r="P27" s="408">
        <f t="shared" si="14"/>
        <v>9</v>
      </c>
      <c r="Q27" s="137">
        <f t="shared" si="15"/>
        <v>0.32432590431069253</v>
      </c>
      <c r="R27" s="416">
        <f t="shared" si="16"/>
        <v>18597.999344372733</v>
      </c>
      <c r="T27" s="282">
        <f t="shared" si="12"/>
        <v>48738.605599999995</v>
      </c>
      <c r="U27" s="282">
        <f t="shared" si="17"/>
        <v>51605.582399999992</v>
      </c>
      <c r="V27" s="282">
        <f t="shared" si="18"/>
        <v>54472.559199999989</v>
      </c>
      <c r="W27" s="283">
        <f t="shared" si="7"/>
        <v>17201.860800000009</v>
      </c>
      <c r="X27" s="284">
        <f t="shared" si="19"/>
        <v>2866.9767999999999</v>
      </c>
      <c r="Y27" s="284">
        <f t="shared" si="20"/>
        <v>20068.837599999999</v>
      </c>
      <c r="Z27" s="77">
        <f t="shared" si="21"/>
        <v>7</v>
      </c>
    </row>
    <row r="28" spans="1:26" x14ac:dyDescent="0.2">
      <c r="A28" s="203" t="s">
        <v>234</v>
      </c>
      <c r="B28" s="205">
        <v>36160</v>
      </c>
      <c r="C28" s="206">
        <v>1998</v>
      </c>
      <c r="D28" s="206">
        <v>25</v>
      </c>
      <c r="E28" s="206">
        <f t="shared" si="11"/>
        <v>2022</v>
      </c>
      <c r="F28" s="207">
        <f t="shared" si="0"/>
        <v>0.04</v>
      </c>
      <c r="G28" s="220">
        <v>38447.35</v>
      </c>
      <c r="H28" s="209">
        <f t="shared" si="8"/>
        <v>15</v>
      </c>
      <c r="I28" s="273">
        <f t="shared" si="9"/>
        <v>10</v>
      </c>
      <c r="J28" s="220">
        <f t="shared" si="1"/>
        <v>1537.894</v>
      </c>
      <c r="K28" s="220">
        <f t="shared" si="2"/>
        <v>1537.894</v>
      </c>
      <c r="L28" s="220">
        <f t="shared" si="10"/>
        <v>23068.41</v>
      </c>
      <c r="M28" s="220">
        <f t="shared" si="3"/>
        <v>15378.939999999999</v>
      </c>
      <c r="N28" s="206"/>
      <c r="O28" s="407">
        <f t="shared" si="13"/>
        <v>2.1478247511110268E-2</v>
      </c>
      <c r="P28" s="408">
        <f t="shared" si="14"/>
        <v>10</v>
      </c>
      <c r="Q28" s="137">
        <f t="shared" si="15"/>
        <v>0.21478247511110268</v>
      </c>
      <c r="R28" s="416">
        <f t="shared" si="16"/>
        <v>11084.7510186087</v>
      </c>
      <c r="T28" s="282">
        <f t="shared" si="12"/>
        <v>24606.304</v>
      </c>
      <c r="U28" s="282">
        <f t="shared" si="17"/>
        <v>26144.198</v>
      </c>
      <c r="V28" s="282">
        <f t="shared" si="18"/>
        <v>27682.092000000001</v>
      </c>
      <c r="W28" s="283">
        <f t="shared" si="7"/>
        <v>10765.257999999998</v>
      </c>
      <c r="X28" s="284">
        <f t="shared" si="19"/>
        <v>1537.894</v>
      </c>
      <c r="Y28" s="284">
        <f t="shared" si="20"/>
        <v>12303.152</v>
      </c>
      <c r="Z28" s="77">
        <f t="shared" si="21"/>
        <v>8</v>
      </c>
    </row>
    <row r="29" spans="1:26" x14ac:dyDescent="0.2">
      <c r="A29" s="203" t="s">
        <v>234</v>
      </c>
      <c r="B29" s="205">
        <v>36525</v>
      </c>
      <c r="C29" s="206">
        <v>1999</v>
      </c>
      <c r="D29" s="206">
        <v>25</v>
      </c>
      <c r="E29" s="206">
        <f>+C29+D29-1</f>
        <v>2023</v>
      </c>
      <c r="F29" s="207">
        <f>IF(D29&gt;0,1/D29,0)</f>
        <v>0.04</v>
      </c>
      <c r="G29" s="220">
        <f>1370244.37-1327303.35+7845.73</f>
        <v>50786.750000000015</v>
      </c>
      <c r="H29" s="209">
        <f t="shared" si="8"/>
        <v>14</v>
      </c>
      <c r="I29" s="273">
        <f t="shared" si="9"/>
        <v>11</v>
      </c>
      <c r="J29" s="220">
        <f t="shared" si="1"/>
        <v>2031.4700000000007</v>
      </c>
      <c r="K29" s="220">
        <f t="shared" si="2"/>
        <v>2031.4700000000007</v>
      </c>
      <c r="L29" s="220">
        <f t="shared" si="10"/>
        <v>28440.580000000009</v>
      </c>
      <c r="M29" s="220">
        <f t="shared" si="3"/>
        <v>22346.170000000006</v>
      </c>
      <c r="N29" s="206"/>
      <c r="O29" s="407">
        <f t="shared" si="13"/>
        <v>3.1208689947769295E-2</v>
      </c>
      <c r="P29" s="408">
        <f t="shared" si="14"/>
        <v>11</v>
      </c>
      <c r="Q29" s="137">
        <f t="shared" si="15"/>
        <v>0.34329558942546223</v>
      </c>
      <c r="R29" s="416">
        <f t="shared" si="16"/>
        <v>16106.554201362596</v>
      </c>
      <c r="T29" s="282">
        <f t="shared" si="12"/>
        <v>30472.05000000001</v>
      </c>
      <c r="U29" s="282">
        <f t="shared" si="17"/>
        <v>32503.520000000011</v>
      </c>
      <c r="V29" s="282">
        <f t="shared" si="18"/>
        <v>34534.990000000013</v>
      </c>
      <c r="W29" s="283">
        <f t="shared" si="7"/>
        <v>16251.760000000002</v>
      </c>
      <c r="X29" s="284">
        <f t="shared" si="19"/>
        <v>2031.4700000000007</v>
      </c>
      <c r="Y29" s="284">
        <f t="shared" si="20"/>
        <v>18283.230000000007</v>
      </c>
      <c r="Z29" s="77">
        <f t="shared" si="21"/>
        <v>9</v>
      </c>
    </row>
    <row r="30" spans="1:26" x14ac:dyDescent="0.2">
      <c r="A30" s="203" t="s">
        <v>234</v>
      </c>
      <c r="B30" s="205"/>
      <c r="C30" s="206"/>
      <c r="D30" s="206"/>
      <c r="E30" s="206"/>
      <c r="F30" s="207"/>
      <c r="G30" s="220"/>
      <c r="H30" s="209"/>
      <c r="I30" s="273"/>
      <c r="J30" s="220"/>
      <c r="K30" s="220"/>
      <c r="L30" s="220"/>
      <c r="M30" s="220"/>
      <c r="N30" s="206"/>
      <c r="O30" s="407"/>
      <c r="P30" s="408"/>
      <c r="Q30" s="137"/>
      <c r="R30" s="416"/>
      <c r="T30" s="285"/>
      <c r="U30" s="285"/>
      <c r="V30" s="285"/>
      <c r="W30" s="284"/>
      <c r="X30" s="284"/>
      <c r="Y30" s="284"/>
    </row>
    <row r="31" spans="1:26" x14ac:dyDescent="0.2">
      <c r="A31" s="203" t="s">
        <v>234</v>
      </c>
      <c r="B31" s="205">
        <v>36891</v>
      </c>
      <c r="C31" s="206">
        <v>2000</v>
      </c>
      <c r="D31" s="206">
        <v>25</v>
      </c>
      <c r="E31" s="206">
        <f t="shared" ref="E31:E39" si="22">+C31+D31-1</f>
        <v>2024</v>
      </c>
      <c r="F31" s="207">
        <f t="shared" ref="F31:F39" si="23">IF(D31&gt;0,1/D31,0)</f>
        <v>0.04</v>
      </c>
      <c r="G31" s="220">
        <v>63035.18</v>
      </c>
      <c r="H31" s="209">
        <f t="shared" ref="H31:H42" si="24">IF(+G31&gt;0,IF(+$B$6-C31+1&gt;D31,D31,+$B$6-C31+1),0)</f>
        <v>13</v>
      </c>
      <c r="I31" s="273">
        <f t="shared" ref="I31:I42" si="25">IF(E31&gt;=$B$6,+D31-H31,0)</f>
        <v>12</v>
      </c>
      <c r="J31" s="220">
        <f t="shared" ref="J31:J42" si="26">+G31*F31</f>
        <v>2521.4072000000001</v>
      </c>
      <c r="K31" s="220">
        <f t="shared" ref="K31:K42" si="27">IF(E31&gt;=$B$6,+J31,0)</f>
        <v>2521.4072000000001</v>
      </c>
      <c r="L31" s="220">
        <f t="shared" ref="L31:L42" si="28">+J31*H31</f>
        <v>32778.293600000005</v>
      </c>
      <c r="M31" s="220">
        <f t="shared" ref="M31:M42" si="29">+G31-L31</f>
        <v>30256.886399999996</v>
      </c>
      <c r="N31" s="206"/>
      <c r="O31" s="407">
        <f t="shared" si="13"/>
        <v>4.2256806711954538E-2</v>
      </c>
      <c r="P31" s="408">
        <f t="shared" si="14"/>
        <v>12</v>
      </c>
      <c r="Q31" s="137">
        <f t="shared" si="15"/>
        <v>0.50708168054345448</v>
      </c>
      <c r="R31" s="416">
        <f t="shared" si="16"/>
        <v>21808.398520465504</v>
      </c>
      <c r="T31" s="282">
        <f t="shared" ref="T31:T42" si="30">+L31+K31</f>
        <v>35299.700800000006</v>
      </c>
      <c r="U31" s="282">
        <f t="shared" ref="U31:U42" si="31">+T31+K31</f>
        <v>37821.108000000007</v>
      </c>
      <c r="V31" s="282">
        <f t="shared" ref="V31:V42" si="32">+U31+K31</f>
        <v>40342.515200000009</v>
      </c>
      <c r="W31" s="283">
        <f t="shared" ref="W31:W42" si="33">+G31-V31</f>
        <v>22692.664799999991</v>
      </c>
      <c r="X31" s="284">
        <f t="shared" ref="X31:X42" si="34">+J31</f>
        <v>2521.4072000000001</v>
      </c>
      <c r="Y31" s="284">
        <f t="shared" si="20"/>
        <v>25214.072</v>
      </c>
      <c r="Z31" s="77">
        <f>+Z29+1</f>
        <v>10</v>
      </c>
    </row>
    <row r="32" spans="1:26" x14ac:dyDescent="0.2">
      <c r="A32" s="203" t="s">
        <v>234</v>
      </c>
      <c r="B32" s="205">
        <v>37256</v>
      </c>
      <c r="C32" s="206">
        <v>2001</v>
      </c>
      <c r="D32" s="206">
        <v>25</v>
      </c>
      <c r="E32" s="206">
        <f t="shared" si="22"/>
        <v>2025</v>
      </c>
      <c r="F32" s="207">
        <f t="shared" si="23"/>
        <v>0.04</v>
      </c>
      <c r="G32" s="220">
        <f>89120.33</f>
        <v>89120.33</v>
      </c>
      <c r="H32" s="209">
        <f t="shared" si="24"/>
        <v>12</v>
      </c>
      <c r="I32" s="273">
        <f t="shared" si="25"/>
        <v>13</v>
      </c>
      <c r="J32" s="220">
        <f t="shared" si="26"/>
        <v>3564.8132000000001</v>
      </c>
      <c r="K32" s="220">
        <f t="shared" si="27"/>
        <v>3564.8132000000001</v>
      </c>
      <c r="L32" s="220">
        <f t="shared" si="28"/>
        <v>42777.758399999999</v>
      </c>
      <c r="M32" s="220">
        <f t="shared" si="29"/>
        <v>46342.571600000003</v>
      </c>
      <c r="N32" s="206"/>
      <c r="O32" s="407">
        <f t="shared" si="13"/>
        <v>6.4722095484223849E-2</v>
      </c>
      <c r="P32" s="408">
        <f t="shared" si="14"/>
        <v>13</v>
      </c>
      <c r="Q32" s="137">
        <f t="shared" si="15"/>
        <v>0.84138724129491005</v>
      </c>
      <c r="R32" s="416">
        <f t="shared" si="16"/>
        <v>33402.553605648158</v>
      </c>
      <c r="T32" s="282">
        <f t="shared" si="30"/>
        <v>46342.571599999996</v>
      </c>
      <c r="U32" s="282">
        <f t="shared" si="31"/>
        <v>49907.384799999993</v>
      </c>
      <c r="V32" s="282">
        <f t="shared" si="32"/>
        <v>53472.197999999989</v>
      </c>
      <c r="W32" s="283">
        <f t="shared" si="33"/>
        <v>35648.132000000012</v>
      </c>
      <c r="X32" s="284">
        <f t="shared" si="34"/>
        <v>3564.8132000000001</v>
      </c>
      <c r="Y32" s="284">
        <f t="shared" si="20"/>
        <v>39212.945200000002</v>
      </c>
      <c r="Z32" s="77">
        <f>+Z31+1</f>
        <v>11</v>
      </c>
    </row>
    <row r="33" spans="1:26" x14ac:dyDescent="0.2">
      <c r="A33" s="203" t="s">
        <v>234</v>
      </c>
      <c r="B33" s="205">
        <v>37621</v>
      </c>
      <c r="C33" s="206">
        <v>2002</v>
      </c>
      <c r="D33" s="206">
        <v>25</v>
      </c>
      <c r="E33" s="206">
        <f t="shared" si="22"/>
        <v>2026</v>
      </c>
      <c r="F33" s="207">
        <f t="shared" si="23"/>
        <v>0.04</v>
      </c>
      <c r="G33" s="220">
        <v>122936.04</v>
      </c>
      <c r="H33" s="209">
        <f t="shared" si="24"/>
        <v>11</v>
      </c>
      <c r="I33" s="273">
        <f t="shared" si="25"/>
        <v>14</v>
      </c>
      <c r="J33" s="220">
        <f t="shared" si="26"/>
        <v>4917.4416000000001</v>
      </c>
      <c r="K33" s="220">
        <f t="shared" si="27"/>
        <v>4917.4416000000001</v>
      </c>
      <c r="L33" s="220">
        <f t="shared" si="28"/>
        <v>54091.857600000003</v>
      </c>
      <c r="M33" s="220">
        <f t="shared" si="29"/>
        <v>68844.182399999991</v>
      </c>
      <c r="N33" s="206"/>
      <c r="O33" s="407">
        <f t="shared" si="13"/>
        <v>9.614787425448186E-2</v>
      </c>
      <c r="P33" s="408">
        <f t="shared" si="14"/>
        <v>14</v>
      </c>
      <c r="Q33" s="137">
        <f t="shared" si="15"/>
        <v>1.346070239562746</v>
      </c>
      <c r="R33" s="416">
        <f t="shared" si="16"/>
        <v>49621.145604552927</v>
      </c>
      <c r="T33" s="282">
        <f t="shared" si="30"/>
        <v>59009.299200000001</v>
      </c>
      <c r="U33" s="282">
        <f t="shared" si="31"/>
        <v>63926.7408</v>
      </c>
      <c r="V33" s="282">
        <f t="shared" si="32"/>
        <v>68844.182400000005</v>
      </c>
      <c r="W33" s="283">
        <f t="shared" si="33"/>
        <v>54091.857599999988</v>
      </c>
      <c r="X33" s="284">
        <f t="shared" si="34"/>
        <v>4917.4416000000001</v>
      </c>
      <c r="Y33" s="284">
        <f t="shared" si="20"/>
        <v>59009.299200000001</v>
      </c>
      <c r="Z33" s="77">
        <f t="shared" ref="Z33:Z42" si="35">+Z32+1</f>
        <v>12</v>
      </c>
    </row>
    <row r="34" spans="1:26" x14ac:dyDescent="0.2">
      <c r="A34" s="203" t="s">
        <v>234</v>
      </c>
      <c r="B34" s="233">
        <v>37986</v>
      </c>
      <c r="C34" s="206">
        <v>2003</v>
      </c>
      <c r="D34" s="206">
        <v>25</v>
      </c>
      <c r="E34" s="206">
        <f t="shared" si="22"/>
        <v>2027</v>
      </c>
      <c r="F34" s="207">
        <f t="shared" si="23"/>
        <v>0.04</v>
      </c>
      <c r="G34" s="220">
        <v>332427.09999999998</v>
      </c>
      <c r="H34" s="209">
        <f t="shared" si="24"/>
        <v>10</v>
      </c>
      <c r="I34" s="273">
        <f t="shared" si="25"/>
        <v>15</v>
      </c>
      <c r="J34" s="220">
        <f t="shared" si="26"/>
        <v>13297.083999999999</v>
      </c>
      <c r="K34" s="220">
        <f t="shared" si="27"/>
        <v>13297.083999999999</v>
      </c>
      <c r="L34" s="220">
        <f t="shared" si="28"/>
        <v>132970.84</v>
      </c>
      <c r="M34" s="220">
        <f t="shared" si="29"/>
        <v>199456.25999999998</v>
      </c>
      <c r="N34" s="206"/>
      <c r="O34" s="407">
        <f t="shared" si="13"/>
        <v>0.27856087090009862</v>
      </c>
      <c r="P34" s="408">
        <f t="shared" si="14"/>
        <v>15</v>
      </c>
      <c r="Q34" s="137">
        <f t="shared" si="15"/>
        <v>4.1784130635014796</v>
      </c>
      <c r="R34" s="416">
        <f t="shared" si="16"/>
        <v>143763.02795920148</v>
      </c>
      <c r="T34" s="282">
        <f t="shared" si="30"/>
        <v>146267.924</v>
      </c>
      <c r="U34" s="282">
        <f t="shared" si="31"/>
        <v>159565.008</v>
      </c>
      <c r="V34" s="282">
        <f t="shared" si="32"/>
        <v>172862.092</v>
      </c>
      <c r="W34" s="283">
        <f t="shared" si="33"/>
        <v>159565.00799999997</v>
      </c>
      <c r="X34" s="284">
        <f t="shared" si="34"/>
        <v>13297.083999999999</v>
      </c>
      <c r="Y34" s="284">
        <f t="shared" si="20"/>
        <v>172862.09199999998</v>
      </c>
      <c r="Z34" s="77">
        <f t="shared" si="35"/>
        <v>13</v>
      </c>
    </row>
    <row r="35" spans="1:26" x14ac:dyDescent="0.2">
      <c r="A35" s="203" t="s">
        <v>234</v>
      </c>
      <c r="B35" s="205">
        <v>38352</v>
      </c>
      <c r="C35" s="206">
        <v>2004</v>
      </c>
      <c r="D35" s="206">
        <v>25</v>
      </c>
      <c r="E35" s="206">
        <f t="shared" si="22"/>
        <v>2028</v>
      </c>
      <c r="F35" s="207">
        <f t="shared" si="23"/>
        <v>0.04</v>
      </c>
      <c r="G35" s="220">
        <v>73531.600000000006</v>
      </c>
      <c r="H35" s="209">
        <f t="shared" si="24"/>
        <v>9</v>
      </c>
      <c r="I35" s="273">
        <f t="shared" si="25"/>
        <v>16</v>
      </c>
      <c r="J35" s="220">
        <f t="shared" si="26"/>
        <v>2941.2640000000001</v>
      </c>
      <c r="K35" s="220">
        <f t="shared" si="27"/>
        <v>2941.2640000000001</v>
      </c>
      <c r="L35" s="220">
        <f t="shared" si="28"/>
        <v>26471.376</v>
      </c>
      <c r="M35" s="220">
        <f t="shared" si="29"/>
        <v>47060.224000000002</v>
      </c>
      <c r="N35" s="206"/>
      <c r="O35" s="407">
        <f t="shared" si="13"/>
        <v>6.5724369755021592E-2</v>
      </c>
      <c r="P35" s="408">
        <f t="shared" si="14"/>
        <v>16</v>
      </c>
      <c r="Q35" s="137">
        <f t="shared" si="15"/>
        <v>1.0515899160803455</v>
      </c>
      <c r="R35" s="416">
        <f t="shared" si="16"/>
        <v>33919.819306139019</v>
      </c>
      <c r="T35" s="282">
        <f t="shared" si="30"/>
        <v>29412.639999999999</v>
      </c>
      <c r="U35" s="282">
        <f t="shared" si="31"/>
        <v>32353.903999999999</v>
      </c>
      <c r="V35" s="282">
        <f t="shared" si="32"/>
        <v>35295.167999999998</v>
      </c>
      <c r="W35" s="283">
        <f t="shared" si="33"/>
        <v>38236.432000000008</v>
      </c>
      <c r="X35" s="284">
        <f t="shared" si="34"/>
        <v>2941.2640000000001</v>
      </c>
      <c r="Y35" s="284">
        <f t="shared" si="20"/>
        <v>41177.696000000004</v>
      </c>
      <c r="Z35" s="77">
        <f t="shared" si="35"/>
        <v>14</v>
      </c>
    </row>
    <row r="36" spans="1:26" x14ac:dyDescent="0.2">
      <c r="A36" s="203" t="s">
        <v>234</v>
      </c>
      <c r="B36" s="205">
        <v>38717</v>
      </c>
      <c r="C36" s="206">
        <v>2005</v>
      </c>
      <c r="D36" s="206">
        <v>25</v>
      </c>
      <c r="E36" s="206">
        <f t="shared" si="22"/>
        <v>2029</v>
      </c>
      <c r="F36" s="207">
        <f t="shared" si="23"/>
        <v>0.04</v>
      </c>
      <c r="G36" s="220">
        <f>50907.72-2157.99</f>
        <v>48749.73</v>
      </c>
      <c r="H36" s="209">
        <f t="shared" si="24"/>
        <v>8</v>
      </c>
      <c r="I36" s="273">
        <f t="shared" si="25"/>
        <v>17</v>
      </c>
      <c r="J36" s="220">
        <f t="shared" si="26"/>
        <v>1949.9892000000002</v>
      </c>
      <c r="K36" s="220">
        <f t="shared" si="27"/>
        <v>1949.9892000000002</v>
      </c>
      <c r="L36" s="220">
        <f t="shared" si="28"/>
        <v>15599.913600000002</v>
      </c>
      <c r="M36" s="220">
        <f t="shared" si="29"/>
        <v>33149.816400000003</v>
      </c>
      <c r="N36" s="206"/>
      <c r="O36" s="407">
        <f t="shared" si="13"/>
        <v>4.6297076494677951E-2</v>
      </c>
      <c r="P36" s="408">
        <f t="shared" si="14"/>
        <v>17</v>
      </c>
      <c r="Q36" s="137">
        <f t="shared" si="15"/>
        <v>0.78705030040952517</v>
      </c>
      <c r="R36" s="416">
        <f t="shared" si="16"/>
        <v>23893.549302266052</v>
      </c>
      <c r="T36" s="282">
        <f t="shared" si="30"/>
        <v>17549.902800000003</v>
      </c>
      <c r="U36" s="282">
        <f t="shared" si="31"/>
        <v>19499.892000000003</v>
      </c>
      <c r="V36" s="282">
        <f t="shared" si="32"/>
        <v>21449.881200000003</v>
      </c>
      <c r="W36" s="283">
        <f t="shared" si="33"/>
        <v>27299.8488</v>
      </c>
      <c r="X36" s="284">
        <f t="shared" si="34"/>
        <v>1949.9892000000002</v>
      </c>
      <c r="Y36" s="284">
        <f t="shared" si="20"/>
        <v>29249.838000000003</v>
      </c>
      <c r="Z36" s="77">
        <f t="shared" si="35"/>
        <v>15</v>
      </c>
    </row>
    <row r="37" spans="1:26" x14ac:dyDescent="0.2">
      <c r="A37" s="203" t="s">
        <v>234</v>
      </c>
      <c r="B37" s="205">
        <v>39082</v>
      </c>
      <c r="C37" s="206">
        <v>2006</v>
      </c>
      <c r="D37" s="206">
        <v>25</v>
      </c>
      <c r="E37" s="206">
        <f t="shared" si="22"/>
        <v>2030</v>
      </c>
      <c r="F37" s="207">
        <f t="shared" si="23"/>
        <v>0.04</v>
      </c>
      <c r="G37" s="220">
        <v>40503.410000000003</v>
      </c>
      <c r="H37" s="209">
        <f t="shared" si="24"/>
        <v>7</v>
      </c>
      <c r="I37" s="273">
        <f t="shared" si="25"/>
        <v>18</v>
      </c>
      <c r="J37" s="220">
        <f t="shared" si="26"/>
        <v>1620.1364000000001</v>
      </c>
      <c r="K37" s="220">
        <f t="shared" si="27"/>
        <v>1620.1364000000001</v>
      </c>
      <c r="L37" s="220">
        <f t="shared" si="28"/>
        <v>11340.954800000001</v>
      </c>
      <c r="M37" s="220">
        <f t="shared" si="29"/>
        <v>29162.455200000004</v>
      </c>
      <c r="N37" s="206"/>
      <c r="O37" s="407">
        <f t="shared" si="13"/>
        <v>4.0728322681359369E-2</v>
      </c>
      <c r="P37" s="408">
        <f t="shared" si="14"/>
        <v>18</v>
      </c>
      <c r="Q37" s="137">
        <f t="shared" si="15"/>
        <v>0.7331098082644687</v>
      </c>
      <c r="R37" s="416">
        <f t="shared" si="16"/>
        <v>21019.560189670465</v>
      </c>
      <c r="T37" s="282">
        <f t="shared" si="30"/>
        <v>12961.091200000001</v>
      </c>
      <c r="U37" s="282">
        <f t="shared" si="31"/>
        <v>14581.2276</v>
      </c>
      <c r="V37" s="282">
        <f t="shared" si="32"/>
        <v>16201.364</v>
      </c>
      <c r="W37" s="283">
        <f t="shared" si="33"/>
        <v>24302.046000000002</v>
      </c>
      <c r="X37" s="284">
        <f t="shared" si="34"/>
        <v>1620.1364000000001</v>
      </c>
      <c r="Y37" s="284">
        <f t="shared" si="20"/>
        <v>25922.182400000002</v>
      </c>
      <c r="Z37" s="77">
        <f t="shared" si="35"/>
        <v>16</v>
      </c>
    </row>
    <row r="38" spans="1:26" x14ac:dyDescent="0.2">
      <c r="A38" s="203" t="s">
        <v>234</v>
      </c>
      <c r="B38" s="205">
        <v>39447</v>
      </c>
      <c r="C38" s="206">
        <v>2007</v>
      </c>
      <c r="D38" s="206">
        <v>25</v>
      </c>
      <c r="E38" s="206">
        <f t="shared" si="22"/>
        <v>2031</v>
      </c>
      <c r="F38" s="207">
        <f t="shared" si="23"/>
        <v>0.04</v>
      </c>
      <c r="G38" s="220">
        <f>1006.31+150.36+4137.56+11364.76+2052.17+9415.76+7497.24+7225.71+3826.83+5743.84+4403.22+7870.04</f>
        <v>64693.80000000001</v>
      </c>
      <c r="H38" s="209">
        <f t="shared" si="24"/>
        <v>6</v>
      </c>
      <c r="I38" s="273">
        <f t="shared" si="25"/>
        <v>19</v>
      </c>
      <c r="J38" s="220">
        <f t="shared" si="26"/>
        <v>2587.7520000000004</v>
      </c>
      <c r="K38" s="220">
        <f t="shared" si="27"/>
        <v>2587.7520000000004</v>
      </c>
      <c r="L38" s="220">
        <f t="shared" si="28"/>
        <v>15526.512000000002</v>
      </c>
      <c r="M38" s="220">
        <f t="shared" si="29"/>
        <v>49167.288000000008</v>
      </c>
      <c r="N38" s="206"/>
      <c r="O38" s="407">
        <f t="shared" si="13"/>
        <v>6.8667098064888868E-2</v>
      </c>
      <c r="P38" s="408">
        <f t="shared" si="14"/>
        <v>19</v>
      </c>
      <c r="Q38" s="137">
        <f t="shared" si="15"/>
        <v>1.3046748632328884</v>
      </c>
      <c r="R38" s="416">
        <f t="shared" si="16"/>
        <v>35438.537749690644</v>
      </c>
      <c r="T38" s="282">
        <f t="shared" si="30"/>
        <v>18114.264000000003</v>
      </c>
      <c r="U38" s="282">
        <f t="shared" si="31"/>
        <v>20702.016000000003</v>
      </c>
      <c r="V38" s="282">
        <f t="shared" si="32"/>
        <v>23289.768000000004</v>
      </c>
      <c r="W38" s="283">
        <f t="shared" si="33"/>
        <v>41404.032000000007</v>
      </c>
      <c r="X38" s="284">
        <f t="shared" si="34"/>
        <v>2587.7520000000004</v>
      </c>
      <c r="Y38" s="284">
        <f t="shared" si="20"/>
        <v>43991.784000000007</v>
      </c>
      <c r="Z38" s="77">
        <f t="shared" si="35"/>
        <v>17</v>
      </c>
    </row>
    <row r="39" spans="1:26" x14ac:dyDescent="0.2">
      <c r="A39" s="203" t="s">
        <v>234</v>
      </c>
      <c r="B39" s="205">
        <v>39813</v>
      </c>
      <c r="C39" s="206">
        <v>2008</v>
      </c>
      <c r="D39" s="206">
        <v>25</v>
      </c>
      <c r="E39" s="206">
        <f t="shared" si="22"/>
        <v>2032</v>
      </c>
      <c r="F39" s="207">
        <f t="shared" si="23"/>
        <v>0.04</v>
      </c>
      <c r="G39" s="221">
        <f>7915.59+2669.28+6373.93+2748.2+4545.4+2033.92+3201.47+889.82+17502.37+111.54+156.18+3272.34+981.39</f>
        <v>52401.429999999993</v>
      </c>
      <c r="H39" s="209">
        <f t="shared" si="24"/>
        <v>5</v>
      </c>
      <c r="I39" s="273">
        <f t="shared" si="25"/>
        <v>20</v>
      </c>
      <c r="J39" s="220">
        <f t="shared" si="26"/>
        <v>2096.0571999999997</v>
      </c>
      <c r="K39" s="220">
        <f t="shared" si="27"/>
        <v>2096.0571999999997</v>
      </c>
      <c r="L39" s="220">
        <f t="shared" si="28"/>
        <v>10480.285999999998</v>
      </c>
      <c r="M39" s="220">
        <f t="shared" si="29"/>
        <v>41921.143999999993</v>
      </c>
      <c r="N39" s="206"/>
      <c r="O39" s="407">
        <f t="shared" si="13"/>
        <v>5.8547123974792482E-2</v>
      </c>
      <c r="P39" s="408">
        <f t="shared" si="14"/>
        <v>20</v>
      </c>
      <c r="Q39" s="137">
        <f t="shared" si="15"/>
        <v>1.1709424794958496</v>
      </c>
      <c r="R39" s="416">
        <f t="shared" si="16"/>
        <v>30215.700409471785</v>
      </c>
      <c r="T39" s="282">
        <f t="shared" si="30"/>
        <v>12576.343199999998</v>
      </c>
      <c r="U39" s="282">
        <f t="shared" si="31"/>
        <v>14672.400399999997</v>
      </c>
      <c r="V39" s="282">
        <f t="shared" si="32"/>
        <v>16768.457599999998</v>
      </c>
      <c r="W39" s="283">
        <f t="shared" si="33"/>
        <v>35632.972399999999</v>
      </c>
      <c r="X39" s="284">
        <f t="shared" si="34"/>
        <v>2096.0571999999997</v>
      </c>
      <c r="Y39" s="284">
        <f t="shared" si="20"/>
        <v>37729.029599999994</v>
      </c>
      <c r="Z39" s="77">
        <f t="shared" si="35"/>
        <v>18</v>
      </c>
    </row>
    <row r="40" spans="1:26" x14ac:dyDescent="0.2">
      <c r="A40" s="203" t="s">
        <v>234</v>
      </c>
      <c r="B40" s="205">
        <v>40178</v>
      </c>
      <c r="C40" s="206">
        <v>2009</v>
      </c>
      <c r="D40" s="206">
        <v>25</v>
      </c>
      <c r="E40" s="206">
        <f>+C40+D40-1</f>
        <v>2033</v>
      </c>
      <c r="F40" s="207">
        <f>IF(D40&gt;0,1/D40,0)</f>
        <v>0.04</v>
      </c>
      <c r="G40" s="221">
        <f>749.66+56.12+100.91*2+201.82+1194.75+100.91-596.18+861.16</f>
        <v>2770.06</v>
      </c>
      <c r="H40" s="176">
        <f t="shared" si="24"/>
        <v>4</v>
      </c>
      <c r="I40" s="273">
        <f t="shared" si="25"/>
        <v>21</v>
      </c>
      <c r="J40" s="221">
        <f t="shared" si="26"/>
        <v>110.80240000000001</v>
      </c>
      <c r="K40" s="221">
        <f t="shared" si="27"/>
        <v>110.80240000000001</v>
      </c>
      <c r="L40" s="221">
        <f t="shared" si="28"/>
        <v>443.20960000000002</v>
      </c>
      <c r="M40" s="220">
        <f t="shared" si="29"/>
        <v>2326.8503999999998</v>
      </c>
      <c r="N40" s="206"/>
      <c r="O40" s="407">
        <f t="shared" si="13"/>
        <v>3.2496822806075015E-3</v>
      </c>
      <c r="P40" s="408">
        <f t="shared" si="14"/>
        <v>21</v>
      </c>
      <c r="Q40" s="137">
        <f t="shared" si="15"/>
        <v>6.8243327892757527E-2</v>
      </c>
      <c r="R40" s="416">
        <f t="shared" si="16"/>
        <v>1677.1349222735807</v>
      </c>
      <c r="T40" s="282">
        <f t="shared" si="30"/>
        <v>554.01200000000006</v>
      </c>
      <c r="U40" s="282">
        <f t="shared" si="31"/>
        <v>664.81440000000009</v>
      </c>
      <c r="V40" s="282">
        <f t="shared" si="32"/>
        <v>775.61680000000013</v>
      </c>
      <c r="W40" s="283">
        <f t="shared" si="33"/>
        <v>1994.4431999999997</v>
      </c>
      <c r="X40" s="284">
        <f t="shared" si="34"/>
        <v>110.80240000000001</v>
      </c>
      <c r="Y40" s="284">
        <f t="shared" si="20"/>
        <v>2105.2456000000002</v>
      </c>
      <c r="Z40" s="77">
        <f t="shared" si="35"/>
        <v>19</v>
      </c>
    </row>
    <row r="41" spans="1:26" x14ac:dyDescent="0.2">
      <c r="A41" s="203" t="s">
        <v>234</v>
      </c>
      <c r="B41" s="205">
        <v>40543</v>
      </c>
      <c r="C41" s="206">
        <v>2010</v>
      </c>
      <c r="D41" s="206">
        <v>25</v>
      </c>
      <c r="E41" s="206">
        <f>+C41+D41-1</f>
        <v>2034</v>
      </c>
      <c r="F41" s="207">
        <f>IF(D41&gt;0,1/D41,0)</f>
        <v>0.04</v>
      </c>
      <c r="G41" s="221">
        <f>1422.87+1166.42+509.77+72.27+85.55+507.78</f>
        <v>3764.66</v>
      </c>
      <c r="H41" s="176">
        <f t="shared" si="24"/>
        <v>3</v>
      </c>
      <c r="I41" s="273">
        <f t="shared" si="25"/>
        <v>22</v>
      </c>
      <c r="J41" s="221">
        <f t="shared" si="26"/>
        <v>150.5864</v>
      </c>
      <c r="K41" s="221">
        <f t="shared" si="27"/>
        <v>150.5864</v>
      </c>
      <c r="L41" s="221">
        <f t="shared" si="28"/>
        <v>451.75919999999996</v>
      </c>
      <c r="M41" s="220">
        <f t="shared" si="29"/>
        <v>3312.9007999999999</v>
      </c>
      <c r="N41" s="206"/>
      <c r="O41" s="407">
        <f t="shared" si="13"/>
        <v>4.6268015456302726E-3</v>
      </c>
      <c r="P41" s="408">
        <f>+$P$17-H41</f>
        <v>22</v>
      </c>
      <c r="Q41" s="137">
        <f t="shared" si="15"/>
        <v>0.10178963400386599</v>
      </c>
      <c r="R41" s="416">
        <f t="shared" si="16"/>
        <v>2387.8551133790484</v>
      </c>
      <c r="T41" s="282">
        <f t="shared" si="30"/>
        <v>602.34559999999999</v>
      </c>
      <c r="U41" s="282">
        <f t="shared" si="31"/>
        <v>752.93200000000002</v>
      </c>
      <c r="V41" s="282">
        <f t="shared" si="32"/>
        <v>903.51840000000004</v>
      </c>
      <c r="W41" s="283">
        <f t="shared" si="33"/>
        <v>2861.1415999999999</v>
      </c>
      <c r="X41" s="284">
        <f t="shared" si="34"/>
        <v>150.5864</v>
      </c>
      <c r="Y41" s="284">
        <f t="shared" si="20"/>
        <v>3011.7280000000001</v>
      </c>
      <c r="Z41" s="77">
        <f t="shared" si="35"/>
        <v>20</v>
      </c>
    </row>
    <row r="42" spans="1:26" x14ac:dyDescent="0.2">
      <c r="A42" s="203" t="s">
        <v>234</v>
      </c>
      <c r="B42" s="205">
        <v>40908</v>
      </c>
      <c r="C42" s="206">
        <v>2011</v>
      </c>
      <c r="D42" s="206">
        <v>25</v>
      </c>
      <c r="E42" s="206">
        <f>+C42+D42-1</f>
        <v>2035</v>
      </c>
      <c r="F42" s="207">
        <f>IF(D42&gt;0,1/D42,0)</f>
        <v>0.04</v>
      </c>
      <c r="G42" s="221">
        <f>1917.71+602.66+935.58+87+203.62+2456.79+280.44</f>
        <v>6483.7999999999993</v>
      </c>
      <c r="H42" s="176">
        <f t="shared" si="24"/>
        <v>2</v>
      </c>
      <c r="I42" s="273">
        <f t="shared" si="25"/>
        <v>23</v>
      </c>
      <c r="J42" s="221">
        <f t="shared" si="26"/>
        <v>259.35199999999998</v>
      </c>
      <c r="K42" s="221">
        <f t="shared" si="27"/>
        <v>259.35199999999998</v>
      </c>
      <c r="L42" s="221">
        <f t="shared" si="28"/>
        <v>518.70399999999995</v>
      </c>
      <c r="M42" s="220">
        <f t="shared" si="29"/>
        <v>5965.0959999999995</v>
      </c>
      <c r="N42" s="206"/>
      <c r="O42" s="407">
        <f t="shared" si="13"/>
        <v>8.3308607950569949E-3</v>
      </c>
      <c r="P42" s="408">
        <f t="shared" si="14"/>
        <v>23</v>
      </c>
      <c r="Q42" s="137">
        <f t="shared" si="15"/>
        <v>0.19160979828631089</v>
      </c>
      <c r="R42" s="416">
        <f t="shared" si="16"/>
        <v>4299.4903395226647</v>
      </c>
      <c r="T42" s="282">
        <f t="shared" si="30"/>
        <v>778.05599999999993</v>
      </c>
      <c r="U42" s="282">
        <f t="shared" si="31"/>
        <v>1037.4079999999999</v>
      </c>
      <c r="V42" s="282">
        <f t="shared" si="32"/>
        <v>1296.7599999999998</v>
      </c>
      <c r="W42" s="283">
        <f t="shared" si="33"/>
        <v>5187.0399999999991</v>
      </c>
      <c r="X42" s="284">
        <f t="shared" si="34"/>
        <v>259.35199999999998</v>
      </c>
      <c r="Y42" s="284">
        <f t="shared" si="20"/>
        <v>5446.3919999999998</v>
      </c>
      <c r="Z42" s="77">
        <f t="shared" si="35"/>
        <v>21</v>
      </c>
    </row>
    <row r="43" spans="1:26" x14ac:dyDescent="0.2">
      <c r="A43" s="203" t="s">
        <v>234</v>
      </c>
      <c r="B43" s="205">
        <v>41274</v>
      </c>
      <c r="C43" s="206">
        <v>2012</v>
      </c>
      <c r="D43" s="206">
        <v>25</v>
      </c>
      <c r="E43" s="206">
        <f>+C43+D43-1</f>
        <v>2036</v>
      </c>
      <c r="F43" s="207">
        <f>IF(D43&gt;0,1/D43,0)</f>
        <v>0.04</v>
      </c>
      <c r="G43" s="221">
        <v>0</v>
      </c>
      <c r="H43" s="176">
        <f t="shared" ref="H43" si="36">IF(+G43&gt;0,IF(+$B$6-C43+1&gt;D43,D43,+$B$6-C43+1),0)</f>
        <v>0</v>
      </c>
      <c r="I43" s="273">
        <f t="shared" ref="I43" si="37">IF(E43&gt;=$B$6,+D43-H43,0)</f>
        <v>25</v>
      </c>
      <c r="J43" s="221">
        <f t="shared" ref="J43" si="38">+G43*F43</f>
        <v>0</v>
      </c>
      <c r="K43" s="221">
        <f t="shared" ref="K43" si="39">IF(E43&gt;=$B$6,+J43,0)</f>
        <v>0</v>
      </c>
      <c r="L43" s="221">
        <f t="shared" ref="L43" si="40">+J43*H43</f>
        <v>0</v>
      </c>
      <c r="M43" s="220">
        <f t="shared" ref="M43" si="41">+G43-L43</f>
        <v>0</v>
      </c>
      <c r="N43" s="206"/>
      <c r="O43" s="137"/>
      <c r="P43" s="137"/>
      <c r="Q43" s="137"/>
      <c r="R43" s="137"/>
      <c r="T43" s="285"/>
      <c r="U43" s="285"/>
      <c r="V43" s="285"/>
      <c r="W43" s="284"/>
      <c r="X43" s="284"/>
      <c r="Y43" s="284"/>
    </row>
    <row r="44" spans="1:26" s="81" customFormat="1" x14ac:dyDescent="0.2">
      <c r="A44" s="148" t="s">
        <v>100</v>
      </c>
      <c r="B44" s="212"/>
      <c r="C44" s="274"/>
      <c r="D44" s="212"/>
      <c r="E44" s="206"/>
      <c r="F44" s="207"/>
      <c r="G44" s="223">
        <f>SUM(G9:G43)</f>
        <v>2278507.2400000002</v>
      </c>
      <c r="H44" s="241"/>
      <c r="I44" s="279"/>
      <c r="J44" s="261"/>
      <c r="K44" s="230">
        <f>SUM(K9:K43)</f>
        <v>66603.376800000013</v>
      </c>
      <c r="L44" s="223">
        <f>SUM(L9:L43)</f>
        <v>1562483.2724000001</v>
      </c>
      <c r="M44" s="242">
        <f>SUM(M9:M43)</f>
        <v>716023.96759999997</v>
      </c>
      <c r="N44" s="206"/>
      <c r="O44" s="137"/>
      <c r="P44" s="137"/>
      <c r="Q44" s="417">
        <f>SUM(Q18:Q43)</f>
        <v>13.887319487543927</v>
      </c>
      <c r="R44" s="262">
        <f>SUM(R18:R43)</f>
        <v>516091.96760000003</v>
      </c>
      <c r="T44" s="225">
        <f>SUM(T9:T43)</f>
        <v>1629086.6492000001</v>
      </c>
      <c r="U44" s="225">
        <f>SUM(U9:U43)</f>
        <v>1694537.6712000004</v>
      </c>
      <c r="V44" s="225">
        <f>SUM(V9:V43)</f>
        <v>1756981.0916000002</v>
      </c>
    </row>
    <row r="45" spans="1:26" x14ac:dyDescent="0.2">
      <c r="A45" s="81"/>
      <c r="B45" s="127"/>
      <c r="F45" s="84"/>
      <c r="G45" s="252"/>
      <c r="H45" s="251"/>
      <c r="I45" s="280"/>
      <c r="J45" s="252"/>
      <c r="K45" s="252"/>
      <c r="L45" s="252"/>
      <c r="M45" s="252"/>
      <c r="T45" s="250">
        <f>+T44-L44</f>
        <v>66603.376799999969</v>
      </c>
      <c r="U45" s="250">
        <f>+U44-T44</f>
        <v>65451.022000000346</v>
      </c>
      <c r="V45" s="250">
        <f>+V44-U44</f>
        <v>62443.420399999712</v>
      </c>
    </row>
    <row r="46" spans="1:26" x14ac:dyDescent="0.2">
      <c r="F46" s="100"/>
      <c r="G46" s="250"/>
      <c r="H46" s="258"/>
      <c r="I46" s="250"/>
      <c r="J46" s="250"/>
      <c r="K46" s="250"/>
      <c r="L46" s="250">
        <v>1495879.88</v>
      </c>
      <c r="M46" s="252"/>
    </row>
    <row r="47" spans="1:26" x14ac:dyDescent="0.2">
      <c r="A47" s="112"/>
      <c r="B47" s="133"/>
      <c r="C47" s="111"/>
      <c r="D47" s="111"/>
      <c r="E47" s="111"/>
      <c r="F47" s="247"/>
      <c r="G47" s="250"/>
      <c r="H47" s="258"/>
      <c r="I47" s="250"/>
      <c r="J47" s="250"/>
      <c r="K47" s="250"/>
      <c r="L47" s="250"/>
      <c r="M47" s="259"/>
      <c r="N47" s="111"/>
      <c r="O47" s="111"/>
      <c r="P47" s="111"/>
      <c r="Q47" s="111"/>
      <c r="R47" s="111"/>
      <c r="S47" s="112"/>
      <c r="U47" s="247" t="s">
        <v>174</v>
      </c>
      <c r="V47" s="247" t="s">
        <v>175</v>
      </c>
    </row>
    <row r="48" spans="1:26" x14ac:dyDescent="0.2">
      <c r="A48" s="112"/>
      <c r="B48" s="133"/>
      <c r="C48" s="111"/>
      <c r="D48" s="111"/>
      <c r="E48" s="111"/>
      <c r="F48" s="247"/>
      <c r="G48" s="250"/>
      <c r="H48" s="258"/>
      <c r="I48" s="250"/>
      <c r="J48" s="250"/>
      <c r="K48" s="250"/>
      <c r="L48" s="374">
        <f>+L44-L46</f>
        <v>66603.392400000244</v>
      </c>
      <c r="M48" s="259"/>
      <c r="N48" s="111"/>
      <c r="O48" s="111"/>
      <c r="P48" s="111"/>
      <c r="Q48" s="111"/>
      <c r="R48" s="111"/>
      <c r="S48" s="112"/>
      <c r="U48" s="267">
        <v>14538</v>
      </c>
      <c r="V48" s="81" t="s">
        <v>176</v>
      </c>
    </row>
    <row r="49" spans="1:27" x14ac:dyDescent="0.2">
      <c r="A49" s="112"/>
      <c r="B49" s="133"/>
      <c r="C49" s="111"/>
      <c r="D49" s="111"/>
      <c r="E49" s="111"/>
      <c r="G49" s="252"/>
      <c r="H49" s="251"/>
      <c r="I49" s="252"/>
      <c r="J49" s="252"/>
      <c r="K49" s="252"/>
      <c r="L49" s="252"/>
      <c r="M49" s="259"/>
      <c r="N49" s="111"/>
      <c r="O49" s="111"/>
      <c r="P49" s="111"/>
      <c r="Q49" s="111"/>
      <c r="R49" s="111"/>
      <c r="S49" s="112"/>
      <c r="U49" s="267">
        <v>1687</v>
      </c>
      <c r="V49" s="81" t="s">
        <v>177</v>
      </c>
    </row>
    <row r="50" spans="1:27" x14ac:dyDescent="0.2">
      <c r="A50" s="112"/>
      <c r="B50" s="133"/>
      <c r="C50" s="111"/>
      <c r="D50" s="111"/>
      <c r="E50" s="111"/>
      <c r="M50" s="116"/>
      <c r="N50" s="111"/>
      <c r="O50" s="111"/>
      <c r="P50" s="111"/>
      <c r="Q50" s="111"/>
      <c r="R50" s="111"/>
      <c r="S50" s="112"/>
      <c r="U50" s="267">
        <f>194-23</f>
        <v>171</v>
      </c>
      <c r="V50" s="81" t="s">
        <v>178</v>
      </c>
    </row>
    <row r="51" spans="1:27" x14ac:dyDescent="0.2">
      <c r="A51" s="112"/>
      <c r="B51" s="133"/>
      <c r="C51" s="111"/>
      <c r="D51" s="111"/>
      <c r="E51" s="111"/>
      <c r="M51" s="116"/>
      <c r="N51" s="111"/>
      <c r="O51" s="111"/>
      <c r="P51" s="111"/>
      <c r="Q51" s="111"/>
      <c r="R51" s="111"/>
      <c r="S51" s="112"/>
      <c r="U51" s="267">
        <v>23</v>
      </c>
      <c r="V51" s="81" t="s">
        <v>179</v>
      </c>
    </row>
    <row r="52" spans="1:27" ht="13.5" thickBot="1" x14ac:dyDescent="0.25">
      <c r="A52" s="112"/>
      <c r="B52" s="133"/>
      <c r="C52" s="111"/>
      <c r="D52" s="111"/>
      <c r="E52" s="111"/>
      <c r="F52" s="378"/>
      <c r="G52" s="112"/>
      <c r="H52" s="111"/>
      <c r="I52" s="112"/>
      <c r="M52" s="116"/>
      <c r="N52" s="111"/>
      <c r="O52" s="111"/>
      <c r="P52" s="111"/>
      <c r="Q52" s="111"/>
      <c r="R52" s="111"/>
      <c r="S52" s="112"/>
      <c r="U52" s="268">
        <f>SUM(U48:U51)</f>
        <v>16419</v>
      </c>
      <c r="V52" s="81" t="s">
        <v>180</v>
      </c>
    </row>
    <row r="53" spans="1:27" ht="13.5" thickTop="1" x14ac:dyDescent="0.2">
      <c r="A53" s="112"/>
      <c r="B53" s="133"/>
      <c r="C53" s="111"/>
      <c r="D53" s="111"/>
      <c r="E53" s="111"/>
      <c r="F53" s="114"/>
      <c r="G53" s="116"/>
      <c r="H53" s="117"/>
      <c r="I53" s="275"/>
      <c r="J53" s="116"/>
      <c r="K53" s="116"/>
      <c r="L53" s="116"/>
      <c r="M53" s="116"/>
      <c r="N53" s="111"/>
      <c r="O53" s="111"/>
      <c r="P53" s="111"/>
      <c r="Q53" s="111"/>
      <c r="R53" s="111"/>
      <c r="S53" s="112"/>
      <c r="U53" s="269"/>
    </row>
    <row r="54" spans="1:27" ht="13.5" thickBot="1" x14ac:dyDescent="0.25">
      <c r="A54" s="97"/>
      <c r="B54" s="133"/>
      <c r="C54" s="111"/>
      <c r="D54" s="111"/>
      <c r="E54" s="111"/>
      <c r="F54" s="114"/>
      <c r="G54" s="116"/>
      <c r="H54" s="117"/>
      <c r="I54" s="275"/>
      <c r="J54" s="116"/>
      <c r="K54" s="116"/>
      <c r="L54" s="116"/>
      <c r="M54" s="116"/>
      <c r="N54" s="111"/>
      <c r="O54" s="111"/>
      <c r="P54" s="111"/>
      <c r="Q54" s="111"/>
      <c r="R54" s="111"/>
      <c r="S54" s="112"/>
      <c r="U54" s="270">
        <f>+U52-U51</f>
        <v>16396</v>
      </c>
      <c r="V54" s="77" t="s">
        <v>181</v>
      </c>
    </row>
    <row r="55" spans="1:27" s="81" customFormat="1" ht="13.5" thickTop="1" x14ac:dyDescent="0.2">
      <c r="A55" s="97"/>
      <c r="B55" s="193"/>
      <c r="C55" s="119"/>
      <c r="D55" s="193"/>
      <c r="E55" s="111"/>
      <c r="F55" s="114"/>
      <c r="G55" s="99"/>
      <c r="H55" s="117"/>
      <c r="I55" s="275"/>
      <c r="J55" s="116"/>
      <c r="K55" s="99"/>
      <c r="L55" s="99"/>
      <c r="M55" s="116"/>
      <c r="N55" s="111"/>
      <c r="O55" s="111"/>
      <c r="P55" s="111"/>
      <c r="Q55" s="111"/>
      <c r="R55" s="111"/>
      <c r="S55" s="97"/>
      <c r="U55" s="271"/>
    </row>
    <row r="56" spans="1:27" x14ac:dyDescent="0.2">
      <c r="A56" s="97"/>
      <c r="B56" s="133"/>
      <c r="C56" s="111"/>
      <c r="D56" s="111"/>
      <c r="E56" s="111"/>
      <c r="F56" s="114"/>
      <c r="G56" s="116"/>
      <c r="H56" s="117"/>
      <c r="I56" s="275"/>
      <c r="J56" s="116"/>
      <c r="K56" s="116"/>
      <c r="L56" s="116"/>
      <c r="M56" s="116"/>
      <c r="N56" s="111"/>
      <c r="O56" s="111"/>
      <c r="P56" s="111"/>
      <c r="Q56" s="111"/>
      <c r="R56" s="111"/>
      <c r="S56" s="112"/>
      <c r="U56" s="81" t="s">
        <v>182</v>
      </c>
    </row>
    <row r="57" spans="1:27" x14ac:dyDescent="0.2">
      <c r="A57" s="112"/>
      <c r="B57" s="133"/>
      <c r="C57" s="111"/>
      <c r="D57" s="111"/>
      <c r="E57" s="111"/>
      <c r="F57" s="114"/>
      <c r="G57" s="116"/>
      <c r="H57" s="117"/>
      <c r="I57" s="275"/>
      <c r="J57" s="116"/>
      <c r="K57" s="116"/>
      <c r="L57" s="116"/>
      <c r="M57" s="116"/>
      <c r="N57" s="111"/>
      <c r="O57" s="111"/>
      <c r="P57" s="111"/>
      <c r="Q57" s="111"/>
      <c r="R57" s="111"/>
      <c r="S57" s="112"/>
      <c r="X57" s="104"/>
    </row>
    <row r="58" spans="1:27" x14ac:dyDescent="0.2">
      <c r="A58" s="112"/>
      <c r="B58" s="133"/>
      <c r="C58" s="111"/>
      <c r="D58" s="111"/>
      <c r="E58" s="111"/>
      <c r="F58" s="114"/>
      <c r="G58" s="116"/>
      <c r="H58" s="117"/>
      <c r="I58" s="275"/>
      <c r="J58" s="116"/>
      <c r="K58" s="116"/>
      <c r="L58" s="116"/>
      <c r="M58" s="116"/>
      <c r="N58" s="111"/>
      <c r="O58" s="111"/>
      <c r="P58" s="111"/>
      <c r="Q58" s="111"/>
      <c r="R58" s="111"/>
      <c r="S58" s="112"/>
      <c r="U58" s="77" t="s">
        <v>183</v>
      </c>
      <c r="V58" s="77" t="s">
        <v>184</v>
      </c>
      <c r="X58" s="284">
        <v>14033.77</v>
      </c>
      <c r="Y58" s="284"/>
    </row>
    <row r="59" spans="1:27" x14ac:dyDescent="0.2">
      <c r="A59" s="112"/>
      <c r="B59" s="133"/>
      <c r="C59" s="111"/>
      <c r="D59" s="111"/>
      <c r="E59" s="111"/>
      <c r="F59" s="114"/>
      <c r="G59" s="116"/>
      <c r="H59" s="117"/>
      <c r="I59" s="275"/>
      <c r="J59" s="116"/>
      <c r="K59" s="116"/>
      <c r="L59" s="116"/>
      <c r="M59" s="116"/>
      <c r="N59" s="111"/>
      <c r="O59" s="111"/>
      <c r="P59" s="111"/>
      <c r="Q59" s="111"/>
      <c r="R59" s="111"/>
      <c r="S59" s="112"/>
      <c r="U59" s="77" t="s">
        <v>185</v>
      </c>
      <c r="V59" s="77" t="s">
        <v>186</v>
      </c>
      <c r="X59" s="284">
        <v>0</v>
      </c>
      <c r="Y59" s="284"/>
    </row>
    <row r="60" spans="1:27" x14ac:dyDescent="0.2">
      <c r="A60" s="112"/>
      <c r="B60" s="133"/>
      <c r="C60" s="111"/>
      <c r="D60" s="111"/>
      <c r="E60" s="111"/>
      <c r="F60" s="114"/>
      <c r="G60" s="116"/>
      <c r="H60" s="117"/>
      <c r="I60" s="275"/>
      <c r="J60" s="116"/>
      <c r="K60" s="116"/>
      <c r="L60" s="116"/>
      <c r="M60" s="116"/>
      <c r="N60" s="111"/>
      <c r="O60" s="111"/>
      <c r="P60" s="111"/>
      <c r="Q60" s="111"/>
      <c r="R60" s="111"/>
      <c r="S60" s="112"/>
      <c r="U60" s="77" t="s">
        <v>187</v>
      </c>
      <c r="V60" s="77" t="s">
        <v>188</v>
      </c>
      <c r="X60" s="284">
        <v>166890.13</v>
      </c>
      <c r="Y60" s="284"/>
    </row>
    <row r="61" spans="1:27" x14ac:dyDescent="0.2">
      <c r="A61" s="97"/>
      <c r="B61" s="133"/>
      <c r="C61" s="111"/>
      <c r="D61" s="111"/>
      <c r="E61" s="111"/>
      <c r="F61" s="114"/>
      <c r="G61" s="116"/>
      <c r="H61" s="117"/>
      <c r="I61" s="275"/>
      <c r="J61" s="116"/>
      <c r="K61" s="116"/>
      <c r="L61" s="116"/>
      <c r="M61" s="116"/>
      <c r="N61" s="111"/>
      <c r="O61" s="111"/>
      <c r="P61" s="111"/>
      <c r="Q61" s="111"/>
      <c r="R61" s="111"/>
      <c r="S61" s="112"/>
      <c r="U61" s="77" t="s">
        <v>189</v>
      </c>
      <c r="V61" s="77" t="s">
        <v>190</v>
      </c>
      <c r="X61" s="284">
        <v>1346.9099999999999</v>
      </c>
      <c r="Y61" s="284"/>
    </row>
    <row r="62" spans="1:27" x14ac:dyDescent="0.2">
      <c r="A62" s="97"/>
      <c r="B62" s="133"/>
      <c r="C62" s="111"/>
      <c r="D62" s="111"/>
      <c r="E62" s="111"/>
      <c r="F62" s="114"/>
      <c r="G62" s="99"/>
      <c r="H62" s="117"/>
      <c r="I62" s="275"/>
      <c r="J62" s="116"/>
      <c r="K62" s="99"/>
      <c r="L62" s="99"/>
      <c r="M62" s="116"/>
      <c r="N62" s="111"/>
      <c r="O62" s="111"/>
      <c r="P62" s="111"/>
      <c r="Q62" s="111"/>
      <c r="R62" s="111"/>
      <c r="S62" s="112"/>
      <c r="U62" s="77" t="s">
        <v>191</v>
      </c>
      <c r="V62" s="77" t="s">
        <v>192</v>
      </c>
      <c r="X62" s="284">
        <v>18239.41</v>
      </c>
      <c r="Y62" s="284"/>
    </row>
    <row r="63" spans="1:27" x14ac:dyDescent="0.2">
      <c r="A63" s="97"/>
      <c r="B63" s="133"/>
      <c r="C63" s="111"/>
      <c r="D63" s="111"/>
      <c r="E63" s="111"/>
      <c r="F63" s="114"/>
      <c r="G63" s="116"/>
      <c r="H63" s="117"/>
      <c r="I63" s="275"/>
      <c r="J63" s="116"/>
      <c r="K63" s="116"/>
      <c r="L63" s="116"/>
      <c r="M63" s="116"/>
      <c r="N63" s="111"/>
      <c r="O63" s="111"/>
      <c r="P63" s="111"/>
      <c r="Q63" s="111"/>
      <c r="R63" s="111"/>
      <c r="S63" s="112"/>
      <c r="U63" s="77" t="s">
        <v>193</v>
      </c>
      <c r="V63" s="77" t="s">
        <v>194</v>
      </c>
      <c r="X63" s="284">
        <v>2077997.02</v>
      </c>
      <c r="Y63" s="284">
        <f>SUM(X58:X63)</f>
        <v>2278507.2400000002</v>
      </c>
      <c r="AA63" s="77" t="s">
        <v>195</v>
      </c>
    </row>
    <row r="64" spans="1:27" s="81" customFormat="1" x14ac:dyDescent="0.2">
      <c r="A64" s="122"/>
      <c r="B64" s="286"/>
      <c r="C64" s="286"/>
      <c r="D64" s="286"/>
      <c r="E64" s="286"/>
      <c r="F64" s="286"/>
      <c r="G64" s="201"/>
      <c r="H64" s="287"/>
      <c r="I64" s="275"/>
      <c r="J64" s="122"/>
      <c r="K64" s="201"/>
      <c r="L64" s="201"/>
      <c r="M64" s="201"/>
      <c r="N64" s="286"/>
      <c r="O64" s="286"/>
      <c r="P64" s="286"/>
      <c r="Q64" s="286"/>
      <c r="R64" s="286"/>
      <c r="S64" s="201"/>
      <c r="U64" s="77" t="s">
        <v>196</v>
      </c>
      <c r="V64" s="77" t="s">
        <v>197</v>
      </c>
      <c r="W64" s="77"/>
      <c r="X64" s="284">
        <v>4721.3499999999995</v>
      </c>
      <c r="Y64" s="284"/>
      <c r="AA64" s="77"/>
    </row>
    <row r="65" spans="1:27" x14ac:dyDescent="0.2">
      <c r="A65" s="121"/>
      <c r="B65" s="288"/>
      <c r="C65" s="288"/>
      <c r="D65" s="288"/>
      <c r="E65" s="288"/>
      <c r="F65" s="288"/>
      <c r="G65" s="121"/>
      <c r="H65" s="288"/>
      <c r="I65" s="275"/>
      <c r="J65" s="121"/>
      <c r="K65" s="121"/>
      <c r="L65" s="121"/>
      <c r="M65" s="121"/>
      <c r="N65" s="288"/>
      <c r="O65" s="288"/>
      <c r="P65" s="288"/>
      <c r="Q65" s="288"/>
      <c r="R65" s="288"/>
      <c r="S65" s="121"/>
      <c r="U65" s="77" t="s">
        <v>198</v>
      </c>
      <c r="V65" s="77" t="s">
        <v>199</v>
      </c>
      <c r="X65" s="284">
        <v>0</v>
      </c>
      <c r="Y65" s="284"/>
    </row>
    <row r="66" spans="1:27" s="81" customFormat="1" x14ac:dyDescent="0.2">
      <c r="A66" s="122"/>
      <c r="B66" s="286"/>
      <c r="C66" s="289"/>
      <c r="D66" s="286"/>
      <c r="E66" s="288"/>
      <c r="F66" s="290"/>
      <c r="G66" s="201"/>
      <c r="H66" s="291"/>
      <c r="I66" s="122"/>
      <c r="J66" s="122"/>
      <c r="K66" s="121"/>
      <c r="L66" s="201"/>
      <c r="M66" s="292"/>
      <c r="N66" s="288"/>
      <c r="O66" s="288"/>
      <c r="P66" s="288"/>
      <c r="Q66" s="288"/>
      <c r="R66" s="288"/>
      <c r="S66" s="122"/>
      <c r="U66" s="77" t="s">
        <v>200</v>
      </c>
      <c r="V66" s="77" t="s">
        <v>201</v>
      </c>
      <c r="W66" s="77"/>
      <c r="X66" s="284">
        <v>45613.53</v>
      </c>
      <c r="Y66" s="284"/>
      <c r="AA66" s="77"/>
    </row>
    <row r="67" spans="1:27" s="81" customFormat="1" x14ac:dyDescent="0.2">
      <c r="A67" s="122"/>
      <c r="B67" s="286"/>
      <c r="C67" s="289"/>
      <c r="D67" s="286"/>
      <c r="E67" s="288"/>
      <c r="F67" s="290"/>
      <c r="G67" s="201"/>
      <c r="H67" s="291"/>
      <c r="I67" s="293"/>
      <c r="J67" s="292"/>
      <c r="K67" s="121"/>
      <c r="L67" s="292"/>
      <c r="M67" s="292"/>
      <c r="N67" s="288"/>
      <c r="O67" s="288"/>
      <c r="P67" s="288"/>
      <c r="Q67" s="288"/>
      <c r="R67" s="288"/>
      <c r="S67" s="122"/>
      <c r="U67" s="77" t="s">
        <v>202</v>
      </c>
      <c r="V67" s="77" t="s">
        <v>203</v>
      </c>
      <c r="W67" s="77"/>
      <c r="X67" s="284">
        <v>389.96</v>
      </c>
      <c r="Y67" s="284"/>
      <c r="AA67" s="77"/>
    </row>
    <row r="68" spans="1:27" s="81" customFormat="1" x14ac:dyDescent="0.2">
      <c r="A68" s="122"/>
      <c r="B68" s="286"/>
      <c r="C68" s="289"/>
      <c r="D68" s="286"/>
      <c r="E68" s="288"/>
      <c r="F68" s="290"/>
      <c r="G68" s="201"/>
      <c r="H68" s="291"/>
      <c r="I68" s="293"/>
      <c r="J68" s="292"/>
      <c r="K68" s="201"/>
      <c r="L68" s="201"/>
      <c r="M68" s="201"/>
      <c r="N68" s="288"/>
      <c r="O68" s="288"/>
      <c r="P68" s="288"/>
      <c r="Q68" s="288"/>
      <c r="R68" s="288"/>
      <c r="S68" s="122"/>
      <c r="U68" s="77" t="s">
        <v>204</v>
      </c>
      <c r="V68" s="77" t="s">
        <v>205</v>
      </c>
      <c r="W68" s="77"/>
      <c r="X68" s="284">
        <v>38792.910000000003</v>
      </c>
      <c r="Y68" s="284">
        <f>SUM(X64:X68)</f>
        <v>89517.75</v>
      </c>
      <c r="AA68" s="77" t="s">
        <v>206</v>
      </c>
    </row>
    <row r="69" spans="1:27" s="81" customFormat="1" x14ac:dyDescent="0.2">
      <c r="A69" s="122"/>
      <c r="B69" s="286"/>
      <c r="C69" s="289"/>
      <c r="D69" s="286"/>
      <c r="E69" s="288"/>
      <c r="F69" s="290"/>
      <c r="G69" s="201"/>
      <c r="H69" s="291"/>
      <c r="I69" s="293"/>
      <c r="J69" s="292"/>
      <c r="K69" s="294"/>
      <c r="L69" s="294"/>
      <c r="M69" s="294"/>
      <c r="N69" s="288"/>
      <c r="O69" s="288"/>
      <c r="P69" s="288"/>
      <c r="Q69" s="288"/>
      <c r="R69" s="288"/>
      <c r="S69" s="122"/>
      <c r="U69" s="77" t="s">
        <v>207</v>
      </c>
      <c r="V69" s="77" t="s">
        <v>208</v>
      </c>
      <c r="W69" s="77"/>
      <c r="X69" s="284">
        <v>0</v>
      </c>
      <c r="Y69" s="284"/>
      <c r="AA69" s="77"/>
    </row>
    <row r="70" spans="1:27" s="81" customFormat="1" x14ac:dyDescent="0.2">
      <c r="A70" s="122"/>
      <c r="B70" s="286"/>
      <c r="C70" s="289"/>
      <c r="D70" s="286"/>
      <c r="E70" s="288"/>
      <c r="F70" s="290"/>
      <c r="G70" s="201"/>
      <c r="H70" s="291"/>
      <c r="I70" s="293"/>
      <c r="J70" s="292"/>
      <c r="K70" s="292"/>
      <c r="L70" s="292"/>
      <c r="M70" s="292"/>
      <c r="N70" s="288"/>
      <c r="O70" s="288"/>
      <c r="P70" s="288"/>
      <c r="Q70" s="288"/>
      <c r="R70" s="288"/>
      <c r="S70" s="122"/>
      <c r="U70" s="77" t="s">
        <v>209</v>
      </c>
      <c r="V70" s="77" t="s">
        <v>210</v>
      </c>
      <c r="W70" s="77"/>
      <c r="X70" s="284">
        <v>0</v>
      </c>
      <c r="Y70" s="284"/>
      <c r="AA70" s="77"/>
    </row>
    <row r="71" spans="1:27" s="81" customFormat="1" x14ac:dyDescent="0.2">
      <c r="A71" s="122"/>
      <c r="B71" s="286"/>
      <c r="C71" s="289"/>
      <c r="D71" s="286"/>
      <c r="E71" s="288"/>
      <c r="F71" s="290"/>
      <c r="G71" s="201"/>
      <c r="H71" s="291"/>
      <c r="I71" s="293"/>
      <c r="J71" s="292"/>
      <c r="K71" s="198"/>
      <c r="L71" s="295"/>
      <c r="M71" s="292"/>
      <c r="N71" s="288"/>
      <c r="O71" s="288"/>
      <c r="P71" s="288"/>
      <c r="Q71" s="288"/>
      <c r="R71" s="288"/>
      <c r="S71" s="122"/>
      <c r="U71" s="77" t="s">
        <v>211</v>
      </c>
      <c r="V71" s="77" t="s">
        <v>212</v>
      </c>
      <c r="W71" s="77"/>
      <c r="X71" s="284">
        <v>4334.49</v>
      </c>
      <c r="Y71" s="284"/>
      <c r="AA71" s="77"/>
    </row>
    <row r="72" spans="1:27" s="81" customFormat="1" x14ac:dyDescent="0.2">
      <c r="A72" s="122"/>
      <c r="B72" s="286"/>
      <c r="C72" s="289"/>
      <c r="D72" s="286"/>
      <c r="E72" s="288"/>
      <c r="F72" s="290"/>
      <c r="G72" s="201"/>
      <c r="H72" s="291"/>
      <c r="I72" s="293"/>
      <c r="J72" s="292"/>
      <c r="K72" s="121"/>
      <c r="L72" s="202"/>
      <c r="M72" s="292"/>
      <c r="N72" s="288"/>
      <c r="O72" s="288"/>
      <c r="P72" s="288"/>
      <c r="Q72" s="288"/>
      <c r="R72" s="288"/>
      <c r="S72" s="122"/>
      <c r="U72" s="77" t="s">
        <v>213</v>
      </c>
      <c r="V72" s="77" t="s">
        <v>214</v>
      </c>
      <c r="W72" s="77"/>
      <c r="X72" s="284">
        <v>0</v>
      </c>
      <c r="Y72" s="284"/>
      <c r="AA72" s="77"/>
    </row>
    <row r="73" spans="1:27" s="81" customFormat="1" x14ac:dyDescent="0.2">
      <c r="A73" s="122"/>
      <c r="B73" s="286"/>
      <c r="C73" s="289"/>
      <c r="D73" s="286"/>
      <c r="E73" s="288"/>
      <c r="F73" s="290"/>
      <c r="G73" s="201"/>
      <c r="H73" s="291"/>
      <c r="I73" s="293"/>
      <c r="J73" s="292"/>
      <c r="K73" s="201"/>
      <c r="L73" s="202"/>
      <c r="M73" s="292"/>
      <c r="N73" s="288"/>
      <c r="O73" s="288"/>
      <c r="P73" s="288"/>
      <c r="Q73" s="288"/>
      <c r="R73" s="288"/>
      <c r="S73" s="122"/>
      <c r="U73" s="77" t="s">
        <v>215</v>
      </c>
      <c r="V73" s="77" t="s">
        <v>216</v>
      </c>
      <c r="W73" s="77"/>
      <c r="X73" s="284">
        <v>0</v>
      </c>
      <c r="Y73" s="284"/>
      <c r="AA73" s="77"/>
    </row>
    <row r="74" spans="1:27" s="81" customFormat="1" x14ac:dyDescent="0.2">
      <c r="A74" s="122"/>
      <c r="B74" s="286"/>
      <c r="C74" s="289"/>
      <c r="D74" s="286"/>
      <c r="E74" s="288"/>
      <c r="F74" s="290"/>
      <c r="G74" s="201"/>
      <c r="H74" s="291"/>
      <c r="I74" s="293"/>
      <c r="J74" s="292"/>
      <c r="K74" s="121"/>
      <c r="L74" s="202"/>
      <c r="M74" s="292"/>
      <c r="N74" s="288"/>
      <c r="O74" s="288"/>
      <c r="P74" s="288"/>
      <c r="Q74" s="288"/>
      <c r="R74" s="288"/>
      <c r="S74" s="122"/>
      <c r="U74" s="77" t="s">
        <v>217</v>
      </c>
      <c r="V74" s="77" t="s">
        <v>218</v>
      </c>
      <c r="W74" s="77"/>
      <c r="X74" s="284">
        <v>726.09</v>
      </c>
      <c r="Y74" s="284"/>
      <c r="AA74" s="77"/>
    </row>
    <row r="75" spans="1:27" s="81" customFormat="1" x14ac:dyDescent="0.2">
      <c r="A75" s="122"/>
      <c r="B75" s="286"/>
      <c r="C75" s="289"/>
      <c r="D75" s="286"/>
      <c r="E75" s="288"/>
      <c r="F75" s="290"/>
      <c r="G75" s="201"/>
      <c r="H75" s="291"/>
      <c r="I75" s="293"/>
      <c r="J75" s="292"/>
      <c r="K75" s="201"/>
      <c r="L75" s="202"/>
      <c r="M75" s="292"/>
      <c r="N75" s="288"/>
      <c r="O75" s="288"/>
      <c r="P75" s="288"/>
      <c r="Q75" s="288"/>
      <c r="R75" s="288"/>
      <c r="S75" s="122"/>
      <c r="U75" s="77" t="s">
        <v>219</v>
      </c>
      <c r="V75" s="77" t="s">
        <v>220</v>
      </c>
      <c r="W75" s="77"/>
      <c r="X75" s="284">
        <v>68558.2</v>
      </c>
      <c r="Y75" s="284">
        <f>SUM(X69:X75)</f>
        <v>73618.78</v>
      </c>
      <c r="AA75" s="77" t="s">
        <v>221</v>
      </c>
    </row>
    <row r="76" spans="1:27" s="81" customFormat="1" ht="13.5" thickBot="1" x14ac:dyDescent="0.25">
      <c r="A76" s="122"/>
      <c r="B76" s="286"/>
      <c r="C76" s="289"/>
      <c r="D76" s="286"/>
      <c r="E76" s="288"/>
      <c r="F76" s="290"/>
      <c r="G76" s="201"/>
      <c r="H76" s="291"/>
      <c r="I76" s="293"/>
      <c r="J76" s="292"/>
      <c r="K76" s="121"/>
      <c r="L76" s="202"/>
      <c r="M76" s="292"/>
      <c r="N76" s="288"/>
      <c r="O76" s="288"/>
      <c r="P76" s="288"/>
      <c r="Q76" s="288"/>
      <c r="R76" s="288"/>
      <c r="S76" s="122"/>
      <c r="U76" s="77"/>
      <c r="V76" s="77" t="s">
        <v>222</v>
      </c>
      <c r="W76" s="77"/>
      <c r="X76" s="298">
        <f>SUM(X58:X75)</f>
        <v>2441643.7700000005</v>
      </c>
      <c r="Y76" s="298">
        <f>SUM(Y58:Y75)</f>
        <v>2441643.77</v>
      </c>
      <c r="AA76" s="77"/>
    </row>
    <row r="77" spans="1:27" s="81" customFormat="1" ht="13.5" thickTop="1" x14ac:dyDescent="0.2">
      <c r="A77" s="122"/>
      <c r="B77" s="286"/>
      <c r="C77" s="289"/>
      <c r="D77" s="286"/>
      <c r="E77" s="288"/>
      <c r="F77" s="290"/>
      <c r="G77" s="201"/>
      <c r="H77" s="291"/>
      <c r="I77" s="293"/>
      <c r="J77" s="292"/>
      <c r="K77" s="202"/>
      <c r="L77" s="202"/>
      <c r="M77" s="292"/>
      <c r="N77" s="288"/>
      <c r="O77" s="288"/>
      <c r="P77" s="288"/>
      <c r="Q77" s="288"/>
      <c r="R77" s="288"/>
      <c r="S77" s="122"/>
      <c r="U77" s="77"/>
      <c r="V77" s="77"/>
      <c r="W77" s="77"/>
      <c r="X77" s="77"/>
      <c r="Y77" s="77"/>
      <c r="AA77" s="77"/>
    </row>
    <row r="78" spans="1:27" s="81" customFormat="1" x14ac:dyDescent="0.2">
      <c r="A78" s="122"/>
      <c r="B78" s="286"/>
      <c r="C78" s="289"/>
      <c r="D78" s="286"/>
      <c r="E78" s="288"/>
      <c r="F78" s="290"/>
      <c r="G78" s="201"/>
      <c r="H78" s="291"/>
      <c r="I78" s="293"/>
      <c r="J78" s="292"/>
      <c r="K78" s="121"/>
      <c r="L78" s="292"/>
      <c r="M78" s="292"/>
      <c r="N78" s="288"/>
      <c r="O78" s="288"/>
      <c r="P78" s="288"/>
      <c r="Q78" s="288"/>
      <c r="R78" s="288"/>
      <c r="S78" s="122"/>
      <c r="U78" s="77"/>
      <c r="V78" s="77"/>
      <c r="W78" s="77"/>
      <c r="X78" s="77"/>
    </row>
    <row r="79" spans="1:27" s="81" customFormat="1" x14ac:dyDescent="0.2">
      <c r="A79" s="122"/>
      <c r="B79" s="286"/>
      <c r="C79" s="289"/>
      <c r="D79" s="286"/>
      <c r="E79" s="288"/>
      <c r="F79" s="290"/>
      <c r="G79" s="201"/>
      <c r="H79" s="291"/>
      <c r="I79" s="293"/>
      <c r="J79" s="292"/>
      <c r="K79" s="121"/>
      <c r="L79" s="292"/>
      <c r="M79" s="292"/>
      <c r="N79" s="288"/>
      <c r="O79" s="288"/>
      <c r="P79" s="288"/>
      <c r="Q79" s="288"/>
      <c r="R79" s="288"/>
      <c r="S79" s="122"/>
      <c r="U79" s="77" t="s">
        <v>172</v>
      </c>
      <c r="V79" s="77" t="s">
        <v>223</v>
      </c>
      <c r="W79" s="77"/>
      <c r="X79" s="104">
        <v>-1495879.88</v>
      </c>
      <c r="AA79" s="77" t="s">
        <v>195</v>
      </c>
    </row>
    <row r="80" spans="1:27" s="81" customFormat="1" x14ac:dyDescent="0.2">
      <c r="A80" s="122"/>
      <c r="B80" s="286"/>
      <c r="C80" s="289"/>
      <c r="D80" s="286"/>
      <c r="E80" s="288"/>
      <c r="F80" s="290"/>
      <c r="G80" s="201"/>
      <c r="H80" s="291"/>
      <c r="I80" s="122"/>
      <c r="J80" s="122"/>
      <c r="K80" s="292"/>
      <c r="L80" s="201"/>
      <c r="M80" s="292"/>
      <c r="N80" s="288"/>
      <c r="O80" s="288"/>
      <c r="P80" s="288"/>
      <c r="Q80" s="288"/>
      <c r="R80" s="288"/>
      <c r="S80" s="122"/>
      <c r="U80" s="77" t="s">
        <v>173</v>
      </c>
      <c r="V80" s="77" t="s">
        <v>224</v>
      </c>
      <c r="W80" s="77"/>
      <c r="X80" s="104">
        <v>-12564.32</v>
      </c>
      <c r="AA80" s="77" t="s">
        <v>206</v>
      </c>
    </row>
    <row r="81" spans="1:27" s="81" customFormat="1" x14ac:dyDescent="0.2">
      <c r="A81" s="122"/>
      <c r="B81" s="286"/>
      <c r="C81" s="289"/>
      <c r="D81" s="286"/>
      <c r="E81" s="288"/>
      <c r="F81" s="290"/>
      <c r="G81" s="201"/>
      <c r="H81" s="291"/>
      <c r="I81" s="293"/>
      <c r="J81" s="292"/>
      <c r="K81" s="292"/>
      <c r="L81" s="292"/>
      <c r="M81" s="292"/>
      <c r="N81" s="288"/>
      <c r="O81" s="288"/>
      <c r="P81" s="288"/>
      <c r="Q81" s="288"/>
      <c r="R81" s="288"/>
      <c r="S81" s="122"/>
      <c r="U81" s="77" t="s">
        <v>225</v>
      </c>
      <c r="V81" s="77" t="s">
        <v>226</v>
      </c>
      <c r="W81" s="77"/>
      <c r="X81" s="104">
        <v>0</v>
      </c>
    </row>
    <row r="82" spans="1:27" s="81" customFormat="1" x14ac:dyDescent="0.2">
      <c r="A82" s="122"/>
      <c r="B82" s="286"/>
      <c r="C82" s="289"/>
      <c r="D82" s="286"/>
      <c r="E82" s="288"/>
      <c r="F82" s="290"/>
      <c r="G82" s="201"/>
      <c r="H82" s="291"/>
      <c r="I82" s="293"/>
      <c r="J82" s="292"/>
      <c r="K82" s="201"/>
      <c r="L82" s="201"/>
      <c r="M82" s="201"/>
      <c r="N82" s="288"/>
      <c r="O82" s="288"/>
      <c r="P82" s="288"/>
      <c r="Q82" s="288"/>
      <c r="R82" s="288"/>
      <c r="S82" s="122"/>
      <c r="U82" s="77" t="s">
        <v>227</v>
      </c>
      <c r="V82" s="77" t="s">
        <v>228</v>
      </c>
      <c r="W82" s="77"/>
      <c r="X82" s="104">
        <v>0</v>
      </c>
    </row>
    <row r="83" spans="1:27" s="81" customFormat="1" x14ac:dyDescent="0.2">
      <c r="A83" s="122"/>
      <c r="B83" s="286"/>
      <c r="C83" s="289"/>
      <c r="D83" s="286"/>
      <c r="E83" s="288"/>
      <c r="F83" s="290"/>
      <c r="G83" s="201"/>
      <c r="H83" s="291"/>
      <c r="I83" s="293"/>
      <c r="J83" s="292"/>
      <c r="K83" s="294"/>
      <c r="L83" s="294"/>
      <c r="M83" s="294"/>
      <c r="N83" s="288"/>
      <c r="O83" s="288"/>
      <c r="P83" s="288"/>
      <c r="Q83" s="288"/>
      <c r="R83" s="288"/>
      <c r="S83" s="122"/>
      <c r="U83" s="77" t="s">
        <v>229</v>
      </c>
      <c r="V83" s="77" t="s">
        <v>230</v>
      </c>
      <c r="W83" s="77"/>
      <c r="X83" s="104">
        <v>-10818.549999999997</v>
      </c>
      <c r="AA83" s="77" t="s">
        <v>221</v>
      </c>
    </row>
    <row r="84" spans="1:27" s="81" customFormat="1" ht="13.5" thickBot="1" x14ac:dyDescent="0.25">
      <c r="A84" s="122"/>
      <c r="B84" s="286"/>
      <c r="C84" s="289"/>
      <c r="D84" s="286"/>
      <c r="E84" s="288"/>
      <c r="F84" s="290"/>
      <c r="G84" s="201"/>
      <c r="H84" s="291"/>
      <c r="I84" s="293"/>
      <c r="J84" s="292"/>
      <c r="K84" s="292"/>
      <c r="L84" s="292"/>
      <c r="M84" s="292"/>
      <c r="N84" s="288"/>
      <c r="O84" s="288"/>
      <c r="P84" s="288"/>
      <c r="Q84" s="288"/>
      <c r="R84" s="288"/>
      <c r="S84" s="122"/>
      <c r="U84" s="77"/>
      <c r="V84" s="77" t="s">
        <v>231</v>
      </c>
      <c r="W84" s="77"/>
      <c r="X84" s="272">
        <f>SUM(X79:X83)</f>
        <v>-1519262.75</v>
      </c>
    </row>
    <row r="85" spans="1:27" s="81" customFormat="1" ht="13.5" thickTop="1" x14ac:dyDescent="0.2">
      <c r="A85" s="122"/>
      <c r="B85" s="286"/>
      <c r="C85" s="289"/>
      <c r="D85" s="286"/>
      <c r="E85" s="288"/>
      <c r="F85" s="290"/>
      <c r="G85" s="201"/>
      <c r="H85" s="291"/>
      <c r="I85" s="293"/>
      <c r="J85" s="292"/>
      <c r="K85" s="198"/>
      <c r="L85" s="295"/>
      <c r="M85" s="292"/>
      <c r="N85" s="288"/>
      <c r="O85" s="288"/>
      <c r="P85" s="288"/>
      <c r="Q85" s="288"/>
      <c r="R85" s="288"/>
      <c r="S85" s="122"/>
    </row>
    <row r="86" spans="1:27" s="81" customFormat="1" x14ac:dyDescent="0.2">
      <c r="A86" s="122"/>
      <c r="B86" s="286"/>
      <c r="C86" s="289"/>
      <c r="D86" s="286"/>
      <c r="E86" s="288"/>
      <c r="F86" s="290"/>
      <c r="G86" s="201"/>
      <c r="H86" s="291"/>
      <c r="I86" s="293"/>
      <c r="J86" s="292"/>
      <c r="K86" s="121"/>
      <c r="L86" s="202"/>
      <c r="M86" s="292"/>
      <c r="N86" s="288"/>
      <c r="O86" s="288"/>
      <c r="P86" s="288"/>
      <c r="Q86" s="288"/>
      <c r="R86" s="288"/>
      <c r="S86" s="122"/>
    </row>
    <row r="87" spans="1:27" s="81" customFormat="1" x14ac:dyDescent="0.2">
      <c r="A87" s="122"/>
      <c r="B87" s="286"/>
      <c r="C87" s="289"/>
      <c r="D87" s="286"/>
      <c r="E87" s="288"/>
      <c r="F87" s="290"/>
      <c r="G87" s="201"/>
      <c r="H87" s="291"/>
      <c r="I87" s="293"/>
      <c r="J87" s="292"/>
      <c r="K87" s="201"/>
      <c r="L87" s="202"/>
      <c r="M87" s="292"/>
      <c r="N87" s="288"/>
      <c r="O87" s="288"/>
      <c r="P87" s="288"/>
      <c r="Q87" s="288"/>
      <c r="R87" s="288"/>
      <c r="S87" s="122"/>
    </row>
    <row r="88" spans="1:27" s="81" customFormat="1" x14ac:dyDescent="0.2">
      <c r="A88" s="122"/>
      <c r="B88" s="286"/>
      <c r="C88" s="289"/>
      <c r="D88" s="286"/>
      <c r="E88" s="288"/>
      <c r="F88" s="290"/>
      <c r="G88" s="201"/>
      <c r="H88" s="291"/>
      <c r="I88" s="293"/>
      <c r="J88" s="292"/>
      <c r="K88" s="121"/>
      <c r="L88" s="202"/>
      <c r="M88" s="292"/>
      <c r="N88" s="288"/>
      <c r="O88" s="288"/>
      <c r="P88" s="288"/>
      <c r="Q88" s="288"/>
      <c r="R88" s="288"/>
      <c r="S88" s="122"/>
    </row>
    <row r="89" spans="1:27" s="81" customFormat="1" x14ac:dyDescent="0.2">
      <c r="A89" s="122"/>
      <c r="B89" s="286"/>
      <c r="C89" s="289"/>
      <c r="D89" s="286"/>
      <c r="E89" s="288"/>
      <c r="F89" s="290"/>
      <c r="G89" s="201"/>
      <c r="H89" s="291"/>
      <c r="I89" s="293"/>
      <c r="J89" s="292"/>
      <c r="K89" s="201"/>
      <c r="L89" s="202"/>
      <c r="M89" s="292"/>
      <c r="N89" s="288"/>
      <c r="O89" s="288"/>
      <c r="P89" s="288"/>
      <c r="Q89" s="288"/>
      <c r="R89" s="288"/>
      <c r="S89" s="122"/>
    </row>
    <row r="90" spans="1:27" s="81" customFormat="1" x14ac:dyDescent="0.2">
      <c r="A90" s="122"/>
      <c r="B90" s="286"/>
      <c r="C90" s="289"/>
      <c r="D90" s="286"/>
      <c r="E90" s="288"/>
      <c r="F90" s="290"/>
      <c r="G90" s="201"/>
      <c r="H90" s="291"/>
      <c r="I90" s="293"/>
      <c r="J90" s="292"/>
      <c r="K90" s="121"/>
      <c r="L90" s="202"/>
      <c r="M90" s="292"/>
      <c r="N90" s="288"/>
      <c r="O90" s="288"/>
      <c r="P90" s="288"/>
      <c r="Q90" s="288"/>
      <c r="R90" s="288"/>
      <c r="S90" s="122"/>
    </row>
    <row r="91" spans="1:27" s="81" customFormat="1" x14ac:dyDescent="0.2">
      <c r="A91" s="122"/>
      <c r="B91" s="286"/>
      <c r="C91" s="289"/>
      <c r="D91" s="286"/>
      <c r="E91" s="288"/>
      <c r="F91" s="290"/>
      <c r="G91" s="201"/>
      <c r="H91" s="291"/>
      <c r="I91" s="293"/>
      <c r="J91" s="292"/>
      <c r="K91" s="202"/>
      <c r="L91" s="202"/>
      <c r="M91" s="292"/>
      <c r="N91" s="288"/>
      <c r="O91" s="288"/>
      <c r="P91" s="288"/>
      <c r="Q91" s="288"/>
      <c r="R91" s="288"/>
      <c r="S91" s="122"/>
    </row>
    <row r="92" spans="1:27" s="81" customFormat="1" x14ac:dyDescent="0.2">
      <c r="A92" s="122"/>
      <c r="B92" s="286"/>
      <c r="C92" s="289"/>
      <c r="D92" s="286"/>
      <c r="E92" s="288"/>
      <c r="F92" s="290"/>
      <c r="G92" s="201"/>
      <c r="H92" s="291"/>
      <c r="I92" s="293"/>
      <c r="J92" s="292"/>
      <c r="K92" s="292"/>
      <c r="L92" s="292"/>
      <c r="M92" s="292"/>
      <c r="N92" s="288"/>
      <c r="O92" s="288"/>
      <c r="P92" s="288"/>
      <c r="Q92" s="288"/>
      <c r="R92" s="288"/>
      <c r="S92" s="122"/>
    </row>
    <row r="93" spans="1:27" s="81" customFormat="1" x14ac:dyDescent="0.2">
      <c r="A93" s="122"/>
      <c r="B93" s="286"/>
      <c r="C93" s="289"/>
      <c r="D93" s="286"/>
      <c r="E93" s="288"/>
      <c r="F93" s="290"/>
      <c r="G93" s="201"/>
      <c r="H93" s="291"/>
      <c r="I93" s="293"/>
      <c r="J93" s="292"/>
      <c r="K93" s="292"/>
      <c r="L93" s="292"/>
      <c r="M93" s="292"/>
      <c r="N93" s="288"/>
      <c r="O93" s="288"/>
      <c r="P93" s="288"/>
      <c r="Q93" s="288"/>
      <c r="R93" s="288"/>
      <c r="S93" s="122"/>
    </row>
    <row r="94" spans="1:27" s="81" customFormat="1" x14ac:dyDescent="0.2">
      <c r="A94" s="122"/>
      <c r="B94" s="286"/>
      <c r="C94" s="289"/>
      <c r="D94" s="286"/>
      <c r="E94" s="286"/>
      <c r="F94" s="286"/>
      <c r="G94" s="201"/>
      <c r="H94" s="287"/>
      <c r="I94" s="122"/>
      <c r="J94" s="122"/>
      <c r="K94" s="292"/>
      <c r="L94" s="201"/>
      <c r="M94" s="292"/>
      <c r="N94" s="286"/>
      <c r="O94" s="286"/>
      <c r="P94" s="286"/>
      <c r="Q94" s="286"/>
      <c r="R94" s="286"/>
      <c r="S94" s="122"/>
    </row>
    <row r="95" spans="1:27" s="97" customFormat="1" x14ac:dyDescent="0.2">
      <c r="A95" s="122"/>
      <c r="B95" s="286"/>
      <c r="C95" s="289"/>
      <c r="D95" s="286"/>
      <c r="E95" s="286"/>
      <c r="F95" s="286"/>
      <c r="G95" s="201"/>
      <c r="H95" s="287"/>
      <c r="I95" s="122"/>
      <c r="J95" s="122"/>
      <c r="K95" s="292"/>
      <c r="L95" s="292"/>
      <c r="M95" s="292"/>
      <c r="N95" s="286"/>
      <c r="O95" s="286"/>
      <c r="P95" s="286"/>
      <c r="Q95" s="286"/>
      <c r="R95" s="286"/>
      <c r="S95" s="122"/>
    </row>
    <row r="96" spans="1:27" s="97" customFormat="1" x14ac:dyDescent="0.2">
      <c r="A96" s="122"/>
      <c r="B96" s="286"/>
      <c r="C96" s="289"/>
      <c r="D96" s="286"/>
      <c r="E96" s="286"/>
      <c r="F96" s="286"/>
      <c r="G96" s="201"/>
      <c r="H96" s="287"/>
      <c r="I96" s="122"/>
      <c r="J96" s="122"/>
      <c r="K96" s="201"/>
      <c r="L96" s="201"/>
      <c r="M96" s="201"/>
      <c r="N96" s="286"/>
      <c r="O96" s="286"/>
      <c r="P96" s="286"/>
      <c r="Q96" s="286"/>
      <c r="R96" s="286"/>
      <c r="S96" s="122"/>
    </row>
    <row r="97" spans="1:19" s="97" customFormat="1" x14ac:dyDescent="0.2">
      <c r="A97" s="122"/>
      <c r="B97" s="286"/>
      <c r="C97" s="289"/>
      <c r="D97" s="286"/>
      <c r="E97" s="286"/>
      <c r="F97" s="286"/>
      <c r="G97" s="201"/>
      <c r="H97" s="287"/>
      <c r="I97" s="122"/>
      <c r="J97" s="122"/>
      <c r="K97" s="294"/>
      <c r="L97" s="294"/>
      <c r="M97" s="294"/>
      <c r="N97" s="286"/>
      <c r="O97" s="286"/>
      <c r="P97" s="286"/>
      <c r="Q97" s="286"/>
      <c r="R97" s="286"/>
      <c r="S97" s="122"/>
    </row>
    <row r="98" spans="1:19" s="97" customFormat="1" x14ac:dyDescent="0.2">
      <c r="A98" s="122"/>
      <c r="B98" s="286"/>
      <c r="C98" s="289"/>
      <c r="D98" s="286"/>
      <c r="E98" s="286"/>
      <c r="F98" s="286"/>
      <c r="G98" s="201"/>
      <c r="H98" s="287"/>
      <c r="I98" s="122"/>
      <c r="J98" s="122"/>
      <c r="K98" s="292"/>
      <c r="L98" s="292"/>
      <c r="M98" s="292"/>
      <c r="N98" s="286"/>
      <c r="O98" s="286"/>
      <c r="P98" s="286"/>
      <c r="Q98" s="286"/>
      <c r="R98" s="286"/>
      <c r="S98" s="122"/>
    </row>
    <row r="99" spans="1:19" s="97" customFormat="1" x14ac:dyDescent="0.2">
      <c r="A99" s="122"/>
      <c r="B99" s="286"/>
      <c r="C99" s="289"/>
      <c r="D99" s="286"/>
      <c r="E99" s="286"/>
      <c r="F99" s="286"/>
      <c r="G99" s="201"/>
      <c r="H99" s="287"/>
      <c r="I99" s="122"/>
      <c r="J99" s="122"/>
      <c r="K99" s="198"/>
      <c r="L99" s="295"/>
      <c r="M99" s="292"/>
      <c r="N99" s="286"/>
      <c r="O99" s="286"/>
      <c r="P99" s="286"/>
      <c r="Q99" s="286"/>
      <c r="R99" s="286"/>
      <c r="S99" s="122"/>
    </row>
    <row r="100" spans="1:19" s="97" customFormat="1" x14ac:dyDescent="0.2">
      <c r="A100" s="122"/>
      <c r="B100" s="286"/>
      <c r="C100" s="289"/>
      <c r="D100" s="286"/>
      <c r="E100" s="286"/>
      <c r="F100" s="286"/>
      <c r="G100" s="201"/>
      <c r="H100" s="287"/>
      <c r="I100" s="122"/>
      <c r="J100" s="122"/>
      <c r="K100" s="121"/>
      <c r="L100" s="202"/>
      <c r="M100" s="292"/>
      <c r="N100" s="286"/>
      <c r="O100" s="286"/>
      <c r="P100" s="286"/>
      <c r="Q100" s="286"/>
      <c r="R100" s="286"/>
      <c r="S100" s="122"/>
    </row>
    <row r="101" spans="1:19" s="97" customFormat="1" x14ac:dyDescent="0.2">
      <c r="A101" s="122"/>
      <c r="B101" s="286"/>
      <c r="C101" s="289"/>
      <c r="D101" s="286"/>
      <c r="E101" s="286"/>
      <c r="F101" s="286"/>
      <c r="G101" s="201"/>
      <c r="H101" s="287"/>
      <c r="I101" s="122"/>
      <c r="J101" s="122"/>
      <c r="K101" s="201"/>
      <c r="L101" s="202"/>
      <c r="M101" s="292"/>
      <c r="N101" s="286"/>
      <c r="O101" s="286"/>
      <c r="P101" s="286"/>
      <c r="Q101" s="286"/>
      <c r="R101" s="286"/>
      <c r="S101" s="122"/>
    </row>
    <row r="102" spans="1:19" s="97" customFormat="1" x14ac:dyDescent="0.2">
      <c r="A102" s="122"/>
      <c r="B102" s="286"/>
      <c r="C102" s="289"/>
      <c r="D102" s="286"/>
      <c r="E102" s="286"/>
      <c r="F102" s="286"/>
      <c r="G102" s="201"/>
      <c r="H102" s="287"/>
      <c r="I102" s="122"/>
      <c r="J102" s="122"/>
      <c r="K102" s="121"/>
      <c r="L102" s="202"/>
      <c r="M102" s="292"/>
      <c r="N102" s="286"/>
      <c r="O102" s="286"/>
      <c r="P102" s="286"/>
      <c r="Q102" s="286"/>
      <c r="R102" s="286"/>
      <c r="S102" s="122"/>
    </row>
    <row r="103" spans="1:19" s="97" customFormat="1" x14ac:dyDescent="0.2">
      <c r="A103" s="122"/>
      <c r="B103" s="286"/>
      <c r="C103" s="289"/>
      <c r="D103" s="286"/>
      <c r="E103" s="286"/>
      <c r="F103" s="286"/>
      <c r="G103" s="201"/>
      <c r="H103" s="287"/>
      <c r="I103" s="122"/>
      <c r="J103" s="122"/>
      <c r="K103" s="201"/>
      <c r="L103" s="202"/>
      <c r="M103" s="292"/>
      <c r="N103" s="286"/>
      <c r="O103" s="286"/>
      <c r="P103" s="286"/>
      <c r="Q103" s="286"/>
      <c r="R103" s="286"/>
      <c r="S103" s="122"/>
    </row>
    <row r="104" spans="1:19" s="97" customFormat="1" x14ac:dyDescent="0.2">
      <c r="A104" s="122"/>
      <c r="B104" s="286"/>
      <c r="C104" s="289"/>
      <c r="D104" s="286"/>
      <c r="E104" s="286"/>
      <c r="F104" s="286"/>
      <c r="G104" s="201"/>
      <c r="H104" s="287"/>
      <c r="I104" s="122"/>
      <c r="J104" s="122"/>
      <c r="K104" s="121"/>
      <c r="L104" s="202"/>
      <c r="M104" s="292"/>
      <c r="N104" s="286"/>
      <c r="O104" s="286"/>
      <c r="P104" s="286"/>
      <c r="Q104" s="286"/>
      <c r="R104" s="286"/>
      <c r="S104" s="122"/>
    </row>
    <row r="105" spans="1:19" s="97" customFormat="1" x14ac:dyDescent="0.2">
      <c r="A105" s="122"/>
      <c r="B105" s="286"/>
      <c r="C105" s="289"/>
      <c r="D105" s="286"/>
      <c r="E105" s="286"/>
      <c r="F105" s="286"/>
      <c r="G105" s="201"/>
      <c r="H105" s="287"/>
      <c r="I105" s="122"/>
      <c r="J105" s="122"/>
      <c r="K105" s="202"/>
      <c r="L105" s="202"/>
      <c r="M105" s="292"/>
      <c r="N105" s="286"/>
      <c r="O105" s="286"/>
      <c r="P105" s="286"/>
      <c r="Q105" s="286"/>
      <c r="R105" s="286"/>
      <c r="S105" s="122"/>
    </row>
    <row r="106" spans="1:19" s="97" customFormat="1" x14ac:dyDescent="0.2">
      <c r="A106" s="122"/>
      <c r="B106" s="286"/>
      <c r="C106" s="289"/>
      <c r="D106" s="286"/>
      <c r="E106" s="286"/>
      <c r="F106" s="286"/>
      <c r="G106" s="201"/>
      <c r="H106" s="287"/>
      <c r="I106" s="122"/>
      <c r="J106" s="122"/>
      <c r="K106" s="292"/>
      <c r="L106" s="292"/>
      <c r="M106" s="292"/>
      <c r="N106" s="286"/>
      <c r="O106" s="286"/>
      <c r="P106" s="286"/>
      <c r="Q106" s="286"/>
      <c r="R106" s="286"/>
      <c r="S106" s="122"/>
    </row>
    <row r="107" spans="1:19" s="81" customFormat="1" x14ac:dyDescent="0.2">
      <c r="A107" s="122"/>
      <c r="B107" s="286"/>
      <c r="C107" s="289"/>
      <c r="D107" s="286"/>
      <c r="E107" s="286"/>
      <c r="F107" s="286"/>
      <c r="G107" s="201"/>
      <c r="H107" s="287"/>
      <c r="I107" s="122"/>
      <c r="J107" s="122"/>
      <c r="K107" s="122"/>
      <c r="L107" s="122"/>
      <c r="M107" s="122"/>
      <c r="N107" s="286"/>
      <c r="O107" s="286"/>
      <c r="P107" s="286"/>
      <c r="Q107" s="286"/>
      <c r="R107" s="286"/>
      <c r="S107" s="122"/>
    </row>
    <row r="108" spans="1:19" s="81" customFormat="1" x14ac:dyDescent="0.2">
      <c r="A108" s="122"/>
      <c r="B108" s="286"/>
      <c r="C108" s="289"/>
      <c r="D108" s="286"/>
      <c r="E108" s="286"/>
      <c r="F108" s="286"/>
      <c r="G108" s="201"/>
      <c r="H108" s="287"/>
      <c r="I108" s="122"/>
      <c r="J108" s="122"/>
      <c r="K108" s="201"/>
      <c r="L108" s="201"/>
      <c r="M108" s="201"/>
      <c r="N108" s="286"/>
      <c r="O108" s="286"/>
      <c r="P108" s="286"/>
      <c r="Q108" s="286"/>
      <c r="R108" s="286"/>
      <c r="S108" s="294"/>
    </row>
    <row r="109" spans="1:19" s="81" customFormat="1" x14ac:dyDescent="0.2">
      <c r="A109" s="122"/>
      <c r="B109" s="286"/>
      <c r="C109" s="289"/>
      <c r="D109" s="286"/>
      <c r="E109" s="286"/>
      <c r="F109" s="286"/>
      <c r="G109" s="201"/>
      <c r="H109" s="287"/>
      <c r="I109" s="122"/>
      <c r="J109" s="122"/>
      <c r="K109" s="122"/>
      <c r="L109" s="122"/>
      <c r="M109" s="122"/>
      <c r="N109" s="286"/>
      <c r="O109" s="286"/>
      <c r="P109" s="286"/>
      <c r="Q109" s="286"/>
      <c r="R109" s="286"/>
      <c r="S109" s="122"/>
    </row>
    <row r="110" spans="1:19" s="81" customFormat="1" x14ac:dyDescent="0.2">
      <c r="A110" s="122"/>
      <c r="B110" s="286"/>
      <c r="C110" s="289"/>
      <c r="D110" s="286"/>
      <c r="E110" s="286"/>
      <c r="F110" s="286"/>
      <c r="G110" s="201"/>
      <c r="H110" s="287"/>
      <c r="I110" s="122"/>
      <c r="J110" s="122"/>
      <c r="K110" s="201"/>
      <c r="L110" s="201"/>
      <c r="M110" s="201"/>
      <c r="N110" s="286"/>
      <c r="O110" s="286"/>
      <c r="P110" s="286"/>
      <c r="Q110" s="286"/>
      <c r="R110" s="286"/>
      <c r="S110" s="201"/>
    </row>
    <row r="111" spans="1:19" x14ac:dyDescent="0.2">
      <c r="A111" s="121"/>
      <c r="B111" s="288"/>
      <c r="C111" s="296"/>
      <c r="D111" s="288"/>
      <c r="E111" s="288"/>
      <c r="F111" s="288"/>
      <c r="G111" s="201"/>
      <c r="H111" s="297"/>
      <c r="I111" s="121"/>
      <c r="J111" s="121"/>
      <c r="K111" s="201"/>
      <c r="L111" s="201"/>
      <c r="M111" s="201"/>
      <c r="N111" s="288"/>
      <c r="O111" s="288"/>
      <c r="P111" s="288"/>
      <c r="Q111" s="288"/>
      <c r="R111" s="288"/>
      <c r="S111" s="121"/>
    </row>
    <row r="112" spans="1:19" x14ac:dyDescent="0.2">
      <c r="A112" s="121"/>
      <c r="B112" s="288"/>
      <c r="C112" s="296"/>
      <c r="D112" s="288"/>
      <c r="E112" s="288"/>
      <c r="F112" s="288"/>
      <c r="G112" s="121"/>
      <c r="H112" s="288"/>
      <c r="I112" s="121"/>
      <c r="J112" s="121"/>
      <c r="K112" s="121"/>
      <c r="L112" s="121"/>
      <c r="M112" s="121"/>
      <c r="N112" s="288"/>
      <c r="O112" s="288"/>
      <c r="P112" s="288"/>
      <c r="Q112" s="288"/>
      <c r="R112" s="288"/>
      <c r="S112" s="121"/>
    </row>
    <row r="113" spans="1:19" x14ac:dyDescent="0.2">
      <c r="A113" s="121"/>
      <c r="B113" s="288"/>
      <c r="C113" s="296"/>
      <c r="D113" s="288"/>
      <c r="E113" s="288"/>
      <c r="F113" s="288"/>
      <c r="G113" s="121"/>
      <c r="H113" s="288"/>
      <c r="I113" s="121"/>
      <c r="J113" s="121"/>
      <c r="K113" s="121"/>
      <c r="L113" s="121"/>
      <c r="M113" s="121"/>
      <c r="N113" s="288"/>
      <c r="O113" s="288"/>
      <c r="P113" s="288"/>
      <c r="Q113" s="288"/>
      <c r="R113" s="288"/>
      <c r="S113" s="121"/>
    </row>
    <row r="114" spans="1:19" x14ac:dyDescent="0.2">
      <c r="A114" s="121"/>
      <c r="B114" s="288"/>
      <c r="C114" s="296"/>
      <c r="D114" s="288"/>
      <c r="E114" s="288"/>
      <c r="F114" s="288"/>
      <c r="G114" s="121"/>
      <c r="H114" s="288"/>
      <c r="I114" s="121"/>
      <c r="J114" s="121"/>
      <c r="K114" s="121"/>
      <c r="L114" s="121"/>
      <c r="M114" s="121"/>
      <c r="N114" s="288"/>
      <c r="O114" s="288"/>
      <c r="P114" s="288"/>
      <c r="Q114" s="288"/>
      <c r="R114" s="288"/>
      <c r="S114" s="121"/>
    </row>
    <row r="115" spans="1:19" x14ac:dyDescent="0.2">
      <c r="A115" s="121"/>
      <c r="B115" s="288"/>
      <c r="C115" s="296"/>
      <c r="D115" s="288"/>
      <c r="E115" s="288"/>
      <c r="F115" s="288"/>
      <c r="G115" s="121"/>
      <c r="H115" s="288"/>
      <c r="I115" s="121"/>
      <c r="J115" s="121"/>
      <c r="K115" s="121"/>
      <c r="L115" s="121"/>
      <c r="M115" s="121"/>
      <c r="N115" s="288"/>
      <c r="O115" s="288"/>
      <c r="P115" s="288"/>
      <c r="Q115" s="288"/>
      <c r="R115" s="288"/>
      <c r="S115" s="121"/>
    </row>
    <row r="116" spans="1:19" x14ac:dyDescent="0.2">
      <c r="A116" s="121"/>
      <c r="B116" s="288"/>
      <c r="C116" s="296"/>
      <c r="D116" s="288"/>
      <c r="E116" s="288"/>
      <c r="F116" s="288"/>
      <c r="G116" s="121"/>
      <c r="H116" s="288"/>
      <c r="I116" s="121"/>
      <c r="J116" s="121"/>
      <c r="K116" s="121"/>
      <c r="L116" s="121"/>
      <c r="M116" s="121"/>
      <c r="N116" s="288"/>
      <c r="O116" s="288"/>
      <c r="P116" s="288"/>
      <c r="Q116" s="288"/>
      <c r="R116" s="288"/>
      <c r="S116" s="121"/>
    </row>
    <row r="117" spans="1:19" x14ac:dyDescent="0.2">
      <c r="A117" s="121"/>
      <c r="B117" s="288"/>
      <c r="C117" s="296"/>
      <c r="D117" s="288"/>
      <c r="E117" s="288"/>
      <c r="F117" s="288"/>
      <c r="G117" s="121"/>
      <c r="H117" s="288"/>
      <c r="I117" s="121"/>
      <c r="J117" s="121"/>
      <c r="K117" s="121"/>
      <c r="L117" s="121"/>
      <c r="M117" s="121"/>
      <c r="N117" s="288"/>
      <c r="O117" s="288"/>
      <c r="P117" s="288"/>
      <c r="Q117" s="288"/>
      <c r="R117" s="288"/>
      <c r="S117" s="121"/>
    </row>
    <row r="118" spans="1:19" x14ac:dyDescent="0.2">
      <c r="A118" s="121"/>
      <c r="B118" s="288"/>
      <c r="C118" s="296"/>
      <c r="D118" s="288"/>
      <c r="E118" s="288"/>
      <c r="F118" s="288"/>
      <c r="G118" s="121"/>
      <c r="H118" s="288"/>
      <c r="I118" s="121"/>
      <c r="J118" s="121"/>
      <c r="K118" s="121"/>
      <c r="L118" s="121"/>
      <c r="M118" s="121"/>
      <c r="N118" s="288"/>
      <c r="O118" s="288"/>
      <c r="P118" s="288"/>
      <c r="Q118" s="288"/>
      <c r="R118" s="288"/>
      <c r="S118" s="121"/>
    </row>
    <row r="119" spans="1:19" x14ac:dyDescent="0.2">
      <c r="A119" s="121"/>
      <c r="B119" s="288"/>
      <c r="C119" s="296"/>
      <c r="D119" s="288"/>
      <c r="E119" s="288"/>
      <c r="F119" s="288"/>
      <c r="G119" s="121"/>
      <c r="H119" s="288"/>
      <c r="I119" s="121"/>
      <c r="J119" s="121"/>
      <c r="K119" s="121"/>
      <c r="L119" s="121"/>
      <c r="M119" s="121"/>
      <c r="N119" s="288"/>
      <c r="O119" s="288"/>
      <c r="P119" s="288"/>
      <c r="Q119" s="288"/>
      <c r="R119" s="288"/>
      <c r="S119" s="121"/>
    </row>
    <row r="120" spans="1:19" x14ac:dyDescent="0.2">
      <c r="A120" s="121"/>
      <c r="B120" s="288"/>
      <c r="C120" s="296"/>
      <c r="D120" s="288"/>
      <c r="E120" s="288"/>
      <c r="F120" s="288"/>
      <c r="G120" s="121"/>
      <c r="H120" s="288"/>
      <c r="I120" s="121"/>
      <c r="J120" s="121"/>
      <c r="K120" s="121"/>
      <c r="L120" s="121"/>
      <c r="M120" s="121"/>
      <c r="N120" s="288"/>
      <c r="O120" s="288"/>
      <c r="P120" s="288"/>
      <c r="Q120" s="288"/>
      <c r="R120" s="288"/>
      <c r="S120" s="121"/>
    </row>
    <row r="121" spans="1:19" x14ac:dyDescent="0.2">
      <c r="A121" s="121"/>
      <c r="B121" s="288"/>
      <c r="C121" s="296"/>
      <c r="D121" s="288"/>
      <c r="E121" s="288"/>
      <c r="F121" s="288"/>
      <c r="G121" s="121"/>
      <c r="H121" s="288"/>
      <c r="I121" s="121"/>
      <c r="J121" s="121"/>
      <c r="K121" s="121"/>
      <c r="L121" s="121"/>
      <c r="M121" s="121"/>
      <c r="N121" s="288"/>
      <c r="O121" s="288"/>
      <c r="P121" s="288"/>
      <c r="Q121" s="288"/>
      <c r="R121" s="288"/>
      <c r="S121" s="121"/>
    </row>
    <row r="122" spans="1:19" x14ac:dyDescent="0.2">
      <c r="A122" s="121"/>
      <c r="B122" s="288"/>
      <c r="C122" s="296"/>
      <c r="D122" s="288"/>
      <c r="E122" s="288"/>
      <c r="F122" s="288"/>
      <c r="G122" s="121"/>
      <c r="H122" s="288"/>
      <c r="I122" s="121"/>
      <c r="J122" s="121"/>
      <c r="K122" s="121"/>
      <c r="L122" s="121"/>
      <c r="M122" s="121"/>
      <c r="N122" s="288"/>
      <c r="O122" s="288"/>
      <c r="P122" s="288"/>
      <c r="Q122" s="288"/>
      <c r="R122" s="288"/>
      <c r="S122" s="121"/>
    </row>
    <row r="123" spans="1:19" x14ac:dyDescent="0.2">
      <c r="A123" s="121"/>
      <c r="B123" s="288"/>
      <c r="C123" s="296"/>
      <c r="D123" s="288"/>
      <c r="E123" s="288"/>
      <c r="F123" s="288"/>
      <c r="G123" s="121"/>
      <c r="H123" s="288"/>
      <c r="I123" s="121"/>
      <c r="J123" s="121"/>
      <c r="K123" s="121"/>
      <c r="L123" s="121"/>
      <c r="M123" s="121"/>
      <c r="N123" s="288"/>
      <c r="O123" s="288"/>
      <c r="P123" s="288"/>
      <c r="Q123" s="288"/>
      <c r="R123" s="288"/>
      <c r="S123" s="121"/>
    </row>
    <row r="124" spans="1:19" x14ac:dyDescent="0.2">
      <c r="A124" s="121"/>
      <c r="B124" s="288"/>
      <c r="C124" s="296"/>
      <c r="D124" s="288"/>
      <c r="E124" s="288"/>
      <c r="F124" s="288"/>
      <c r="G124" s="121"/>
      <c r="H124" s="288"/>
      <c r="I124" s="121"/>
      <c r="J124" s="121"/>
      <c r="K124" s="121"/>
      <c r="L124" s="121"/>
      <c r="M124" s="121"/>
      <c r="N124" s="288"/>
      <c r="O124" s="288"/>
      <c r="P124" s="288"/>
      <c r="Q124" s="288"/>
      <c r="R124" s="288"/>
      <c r="S124" s="121"/>
    </row>
    <row r="125" spans="1:19" x14ac:dyDescent="0.2">
      <c r="A125" s="121"/>
      <c r="B125" s="288"/>
      <c r="C125" s="296"/>
      <c r="D125" s="288"/>
      <c r="E125" s="288"/>
      <c r="F125" s="288"/>
      <c r="G125" s="121"/>
      <c r="H125" s="288"/>
      <c r="I125" s="121"/>
      <c r="J125" s="121"/>
      <c r="K125" s="121"/>
      <c r="L125" s="121"/>
      <c r="M125" s="121"/>
      <c r="N125" s="288"/>
      <c r="O125" s="288"/>
      <c r="P125" s="288"/>
      <c r="Q125" s="288"/>
      <c r="R125" s="288"/>
      <c r="S125" s="121"/>
    </row>
    <row r="126" spans="1:19" x14ac:dyDescent="0.2">
      <c r="A126" s="121"/>
      <c r="B126" s="288"/>
      <c r="C126" s="296"/>
      <c r="D126" s="288"/>
      <c r="E126" s="288"/>
      <c r="F126" s="288"/>
      <c r="G126" s="121"/>
      <c r="H126" s="288"/>
      <c r="I126" s="121"/>
      <c r="J126" s="121"/>
      <c r="K126" s="121"/>
      <c r="L126" s="121"/>
      <c r="M126" s="121"/>
      <c r="N126" s="288"/>
      <c r="O126" s="288"/>
      <c r="P126" s="288"/>
      <c r="Q126" s="288"/>
      <c r="R126" s="288"/>
      <c r="S126" s="121"/>
    </row>
    <row r="127" spans="1:19" x14ac:dyDescent="0.2">
      <c r="A127" s="121"/>
      <c r="B127" s="288"/>
      <c r="C127" s="296"/>
      <c r="D127" s="288"/>
      <c r="E127" s="288"/>
      <c r="F127" s="288"/>
      <c r="G127" s="121"/>
      <c r="H127" s="288"/>
      <c r="I127" s="121"/>
      <c r="J127" s="121"/>
      <c r="K127" s="121"/>
      <c r="L127" s="121"/>
      <c r="M127" s="121"/>
      <c r="N127" s="288"/>
      <c r="O127" s="288"/>
      <c r="P127" s="288"/>
      <c r="Q127" s="288"/>
      <c r="R127" s="288"/>
      <c r="S127" s="121"/>
    </row>
    <row r="128" spans="1:19" x14ac:dyDescent="0.2">
      <c r="A128" s="121"/>
      <c r="B128" s="288"/>
      <c r="C128" s="296"/>
      <c r="D128" s="288"/>
      <c r="E128" s="288"/>
      <c r="F128" s="288"/>
      <c r="G128" s="121"/>
      <c r="H128" s="288"/>
      <c r="I128" s="121"/>
      <c r="J128" s="121"/>
      <c r="K128" s="121"/>
      <c r="L128" s="121"/>
      <c r="M128" s="121"/>
      <c r="N128" s="288"/>
      <c r="O128" s="288"/>
      <c r="P128" s="288"/>
      <c r="Q128" s="288"/>
      <c r="R128" s="288"/>
      <c r="S128" s="121"/>
    </row>
    <row r="129" spans="1:19" x14ac:dyDescent="0.2">
      <c r="A129" s="121"/>
      <c r="B129" s="288"/>
      <c r="C129" s="296"/>
      <c r="D129" s="288"/>
      <c r="E129" s="288"/>
      <c r="F129" s="288"/>
      <c r="G129" s="121"/>
      <c r="H129" s="288"/>
      <c r="I129" s="121"/>
      <c r="J129" s="121"/>
      <c r="K129" s="121"/>
      <c r="L129" s="121"/>
      <c r="M129" s="121"/>
      <c r="N129" s="288"/>
      <c r="O129" s="288"/>
      <c r="P129" s="288"/>
      <c r="Q129" s="288"/>
      <c r="R129" s="288"/>
      <c r="S129" s="121"/>
    </row>
    <row r="130" spans="1:19" x14ac:dyDescent="0.2">
      <c r="A130" s="121"/>
      <c r="B130" s="288"/>
      <c r="C130" s="296"/>
      <c r="D130" s="288"/>
      <c r="E130" s="288"/>
      <c r="F130" s="288"/>
      <c r="G130" s="121"/>
      <c r="H130" s="288"/>
      <c r="I130" s="121"/>
      <c r="J130" s="121"/>
      <c r="K130" s="121"/>
      <c r="L130" s="121"/>
      <c r="M130" s="121"/>
      <c r="N130" s="288"/>
      <c r="O130" s="288"/>
      <c r="P130" s="288"/>
      <c r="Q130" s="288"/>
      <c r="R130" s="288"/>
      <c r="S130" s="121"/>
    </row>
    <row r="131" spans="1:19" x14ac:dyDescent="0.2">
      <c r="A131" s="121"/>
      <c r="B131" s="288"/>
      <c r="C131" s="296"/>
      <c r="D131" s="288"/>
      <c r="E131" s="288"/>
      <c r="F131" s="288"/>
      <c r="G131" s="121"/>
      <c r="H131" s="288"/>
      <c r="I131" s="121"/>
      <c r="J131" s="121"/>
      <c r="K131" s="121"/>
      <c r="L131" s="121"/>
      <c r="M131" s="121"/>
      <c r="N131" s="288"/>
      <c r="O131" s="288"/>
      <c r="P131" s="288"/>
      <c r="Q131" s="288"/>
      <c r="R131" s="288"/>
      <c r="S131" s="121"/>
    </row>
    <row r="132" spans="1:19" x14ac:dyDescent="0.2">
      <c r="C132" s="89"/>
    </row>
  </sheetData>
  <printOptions horizontalCentered="1"/>
  <pageMargins left="0.39370078740157483" right="0.39370078740157483" top="0.39370078740157483" bottom="0.78740157480314965" header="0" footer="0.59055118110236227"/>
  <pageSetup scale="77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00"/>
  <sheetViews>
    <sheetView workbookViewId="0">
      <selection activeCell="D14" sqref="D14:H18"/>
    </sheetView>
  </sheetViews>
  <sheetFormatPr defaultColWidth="9.140625" defaultRowHeight="12.75" x14ac:dyDescent="0.2"/>
  <cols>
    <col min="1" max="1" width="14.5703125" style="77" customWidth="1"/>
    <col min="2" max="2" width="10.5703125" style="79" customWidth="1"/>
    <col min="3" max="3" width="9.28515625" style="79" customWidth="1"/>
    <col min="4" max="4" width="6.85546875" style="79" customWidth="1"/>
    <col min="5" max="5" width="10.140625" style="79" bestFit="1" customWidth="1"/>
    <col min="6" max="6" width="9.140625" style="79"/>
    <col min="7" max="7" width="13.5703125" style="77" bestFit="1" customWidth="1"/>
    <col min="8" max="8" width="9.85546875" style="79" customWidth="1"/>
    <col min="9" max="9" width="10.42578125" style="77" customWidth="1"/>
    <col min="10" max="10" width="26" style="77" bestFit="1" customWidth="1"/>
    <col min="11" max="11" width="12" style="77" bestFit="1" customWidth="1"/>
    <col min="12" max="12" width="13.5703125" style="77" bestFit="1" customWidth="1"/>
    <col min="13" max="13" width="12.42578125" style="77" customWidth="1"/>
    <col min="14" max="17" width="10.5703125" style="79" customWidth="1"/>
    <col min="18" max="18" width="12.5703125" style="79" bestFit="1" customWidth="1"/>
    <col min="19" max="19" width="12.42578125" style="77" bestFit="1" customWidth="1"/>
    <col min="20" max="20" width="13.5703125" style="77" bestFit="1" customWidth="1"/>
    <col min="21" max="21" width="15.140625" style="77" bestFit="1" customWidth="1"/>
    <col min="22" max="22" width="26.7109375" style="77" bestFit="1" customWidth="1"/>
    <col min="23" max="25" width="12.5703125" style="77" customWidth="1"/>
    <col min="26" max="26" width="6.5703125" style="77" customWidth="1"/>
    <col min="27" max="253" width="9.140625" style="77"/>
    <col min="254" max="255" width="10" style="77" customWidth="1"/>
    <col min="256" max="256" width="7" style="77" customWidth="1"/>
    <col min="257" max="257" width="24" style="77" customWidth="1"/>
    <col min="258" max="258" width="12.85546875" style="77" customWidth="1"/>
    <col min="259" max="260" width="13.140625" style="77" customWidth="1"/>
    <col min="261" max="261" width="9.140625" style="77"/>
    <col min="262" max="262" width="12.85546875" style="77" customWidth="1"/>
    <col min="263" max="263" width="9.140625" style="77"/>
    <col min="264" max="264" width="12.140625" style="77" customWidth="1"/>
    <col min="265" max="265" width="13" style="77" customWidth="1"/>
    <col min="266" max="266" width="11.7109375" style="77" customWidth="1"/>
    <col min="267" max="267" width="11.28515625" style="77" customWidth="1"/>
    <col min="268" max="268" width="14.85546875" style="77" customWidth="1"/>
    <col min="269" max="269" width="16.42578125" style="77" customWidth="1"/>
    <col min="270" max="270" width="14.85546875" style="77" customWidth="1"/>
    <col min="271" max="271" width="13.42578125" style="77" bestFit="1" customWidth="1"/>
    <col min="272" max="272" width="14.85546875" style="77" customWidth="1"/>
    <col min="273" max="273" width="16.5703125" style="77" customWidth="1"/>
    <col min="274" max="274" width="10.5703125" style="77" customWidth="1"/>
    <col min="275" max="275" width="12.42578125" style="77" bestFit="1" customWidth="1"/>
    <col min="276" max="276" width="15" style="77" bestFit="1" customWidth="1"/>
    <col min="277" max="278" width="18.28515625" style="77" bestFit="1" customWidth="1"/>
    <col min="279" max="279" width="17.42578125" style="77" bestFit="1" customWidth="1"/>
    <col min="280" max="280" width="12.85546875" style="77" bestFit="1" customWidth="1"/>
    <col min="281" max="281" width="12.28515625" style="77" bestFit="1" customWidth="1"/>
    <col min="282" max="509" width="9.140625" style="77"/>
    <col min="510" max="511" width="10" style="77" customWidth="1"/>
    <col min="512" max="512" width="7" style="77" customWidth="1"/>
    <col min="513" max="513" width="24" style="77" customWidth="1"/>
    <col min="514" max="514" width="12.85546875" style="77" customWidth="1"/>
    <col min="515" max="516" width="13.140625" style="77" customWidth="1"/>
    <col min="517" max="517" width="9.140625" style="77"/>
    <col min="518" max="518" width="12.85546875" style="77" customWidth="1"/>
    <col min="519" max="519" width="9.140625" style="77"/>
    <col min="520" max="520" width="12.140625" style="77" customWidth="1"/>
    <col min="521" max="521" width="13" style="77" customWidth="1"/>
    <col min="522" max="522" width="11.7109375" style="77" customWidth="1"/>
    <col min="523" max="523" width="11.28515625" style="77" customWidth="1"/>
    <col min="524" max="524" width="14.85546875" style="77" customWidth="1"/>
    <col min="525" max="525" width="16.42578125" style="77" customWidth="1"/>
    <col min="526" max="526" width="14.85546875" style="77" customWidth="1"/>
    <col min="527" max="527" width="13.42578125" style="77" bestFit="1" customWidth="1"/>
    <col min="528" max="528" width="14.85546875" style="77" customWidth="1"/>
    <col min="529" max="529" width="16.5703125" style="77" customWidth="1"/>
    <col min="530" max="530" width="10.5703125" style="77" customWidth="1"/>
    <col min="531" max="531" width="12.42578125" style="77" bestFit="1" customWidth="1"/>
    <col min="532" max="532" width="15" style="77" bestFit="1" customWidth="1"/>
    <col min="533" max="534" width="18.28515625" style="77" bestFit="1" customWidth="1"/>
    <col min="535" max="535" width="17.42578125" style="77" bestFit="1" customWidth="1"/>
    <col min="536" max="536" width="12.85546875" style="77" bestFit="1" customWidth="1"/>
    <col min="537" max="537" width="12.28515625" style="77" bestFit="1" customWidth="1"/>
    <col min="538" max="765" width="9.140625" style="77"/>
    <col min="766" max="767" width="10" style="77" customWidth="1"/>
    <col min="768" max="768" width="7" style="77" customWidth="1"/>
    <col min="769" max="769" width="24" style="77" customWidth="1"/>
    <col min="770" max="770" width="12.85546875" style="77" customWidth="1"/>
    <col min="771" max="772" width="13.140625" style="77" customWidth="1"/>
    <col min="773" max="773" width="9.140625" style="77"/>
    <col min="774" max="774" width="12.85546875" style="77" customWidth="1"/>
    <col min="775" max="775" width="9.140625" style="77"/>
    <col min="776" max="776" width="12.140625" style="77" customWidth="1"/>
    <col min="777" max="777" width="13" style="77" customWidth="1"/>
    <col min="778" max="778" width="11.7109375" style="77" customWidth="1"/>
    <col min="779" max="779" width="11.28515625" style="77" customWidth="1"/>
    <col min="780" max="780" width="14.85546875" style="77" customWidth="1"/>
    <col min="781" max="781" width="16.42578125" style="77" customWidth="1"/>
    <col min="782" max="782" width="14.85546875" style="77" customWidth="1"/>
    <col min="783" max="783" width="13.42578125" style="77" bestFit="1" customWidth="1"/>
    <col min="784" max="784" width="14.85546875" style="77" customWidth="1"/>
    <col min="785" max="785" width="16.5703125" style="77" customWidth="1"/>
    <col min="786" max="786" width="10.5703125" style="77" customWidth="1"/>
    <col min="787" max="787" width="12.42578125" style="77" bestFit="1" customWidth="1"/>
    <col min="788" max="788" width="15" style="77" bestFit="1" customWidth="1"/>
    <col min="789" max="790" width="18.28515625" style="77" bestFit="1" customWidth="1"/>
    <col min="791" max="791" width="17.42578125" style="77" bestFit="1" customWidth="1"/>
    <col min="792" max="792" width="12.85546875" style="77" bestFit="1" customWidth="1"/>
    <col min="793" max="793" width="12.28515625" style="77" bestFit="1" customWidth="1"/>
    <col min="794" max="1021" width="9.140625" style="77"/>
    <col min="1022" max="1023" width="10" style="77" customWidth="1"/>
    <col min="1024" max="1024" width="7" style="77" customWidth="1"/>
    <col min="1025" max="1025" width="24" style="77" customWidth="1"/>
    <col min="1026" max="1026" width="12.85546875" style="77" customWidth="1"/>
    <col min="1027" max="1028" width="13.140625" style="77" customWidth="1"/>
    <col min="1029" max="1029" width="9.140625" style="77"/>
    <col min="1030" max="1030" width="12.85546875" style="77" customWidth="1"/>
    <col min="1031" max="1031" width="9.140625" style="77"/>
    <col min="1032" max="1032" width="12.140625" style="77" customWidth="1"/>
    <col min="1033" max="1033" width="13" style="77" customWidth="1"/>
    <col min="1034" max="1034" width="11.7109375" style="77" customWidth="1"/>
    <col min="1035" max="1035" width="11.28515625" style="77" customWidth="1"/>
    <col min="1036" max="1036" width="14.85546875" style="77" customWidth="1"/>
    <col min="1037" max="1037" width="16.42578125" style="77" customWidth="1"/>
    <col min="1038" max="1038" width="14.85546875" style="77" customWidth="1"/>
    <col min="1039" max="1039" width="13.42578125" style="77" bestFit="1" customWidth="1"/>
    <col min="1040" max="1040" width="14.85546875" style="77" customWidth="1"/>
    <col min="1041" max="1041" width="16.5703125" style="77" customWidth="1"/>
    <col min="1042" max="1042" width="10.5703125" style="77" customWidth="1"/>
    <col min="1043" max="1043" width="12.42578125" style="77" bestFit="1" customWidth="1"/>
    <col min="1044" max="1044" width="15" style="77" bestFit="1" customWidth="1"/>
    <col min="1045" max="1046" width="18.28515625" style="77" bestFit="1" customWidth="1"/>
    <col min="1047" max="1047" width="17.42578125" style="77" bestFit="1" customWidth="1"/>
    <col min="1048" max="1048" width="12.85546875" style="77" bestFit="1" customWidth="1"/>
    <col min="1049" max="1049" width="12.28515625" style="77" bestFit="1" customWidth="1"/>
    <col min="1050" max="1277" width="9.140625" style="77"/>
    <col min="1278" max="1279" width="10" style="77" customWidth="1"/>
    <col min="1280" max="1280" width="7" style="77" customWidth="1"/>
    <col min="1281" max="1281" width="24" style="77" customWidth="1"/>
    <col min="1282" max="1282" width="12.85546875" style="77" customWidth="1"/>
    <col min="1283" max="1284" width="13.140625" style="77" customWidth="1"/>
    <col min="1285" max="1285" width="9.140625" style="77"/>
    <col min="1286" max="1286" width="12.85546875" style="77" customWidth="1"/>
    <col min="1287" max="1287" width="9.140625" style="77"/>
    <col min="1288" max="1288" width="12.140625" style="77" customWidth="1"/>
    <col min="1289" max="1289" width="13" style="77" customWidth="1"/>
    <col min="1290" max="1290" width="11.7109375" style="77" customWidth="1"/>
    <col min="1291" max="1291" width="11.28515625" style="77" customWidth="1"/>
    <col min="1292" max="1292" width="14.85546875" style="77" customWidth="1"/>
    <col min="1293" max="1293" width="16.42578125" style="77" customWidth="1"/>
    <col min="1294" max="1294" width="14.85546875" style="77" customWidth="1"/>
    <col min="1295" max="1295" width="13.42578125" style="77" bestFit="1" customWidth="1"/>
    <col min="1296" max="1296" width="14.85546875" style="77" customWidth="1"/>
    <col min="1297" max="1297" width="16.5703125" style="77" customWidth="1"/>
    <col min="1298" max="1298" width="10.5703125" style="77" customWidth="1"/>
    <col min="1299" max="1299" width="12.42578125" style="77" bestFit="1" customWidth="1"/>
    <col min="1300" max="1300" width="15" style="77" bestFit="1" customWidth="1"/>
    <col min="1301" max="1302" width="18.28515625" style="77" bestFit="1" customWidth="1"/>
    <col min="1303" max="1303" width="17.42578125" style="77" bestFit="1" customWidth="1"/>
    <col min="1304" max="1304" width="12.85546875" style="77" bestFit="1" customWidth="1"/>
    <col min="1305" max="1305" width="12.28515625" style="77" bestFit="1" customWidth="1"/>
    <col min="1306" max="1533" width="9.140625" style="77"/>
    <col min="1534" max="1535" width="10" style="77" customWidth="1"/>
    <col min="1536" max="1536" width="7" style="77" customWidth="1"/>
    <col min="1537" max="1537" width="24" style="77" customWidth="1"/>
    <col min="1538" max="1538" width="12.85546875" style="77" customWidth="1"/>
    <col min="1539" max="1540" width="13.140625" style="77" customWidth="1"/>
    <col min="1541" max="1541" width="9.140625" style="77"/>
    <col min="1542" max="1542" width="12.85546875" style="77" customWidth="1"/>
    <col min="1543" max="1543" width="9.140625" style="77"/>
    <col min="1544" max="1544" width="12.140625" style="77" customWidth="1"/>
    <col min="1545" max="1545" width="13" style="77" customWidth="1"/>
    <col min="1546" max="1546" width="11.7109375" style="77" customWidth="1"/>
    <col min="1547" max="1547" width="11.28515625" style="77" customWidth="1"/>
    <col min="1548" max="1548" width="14.85546875" style="77" customWidth="1"/>
    <col min="1549" max="1549" width="16.42578125" style="77" customWidth="1"/>
    <col min="1550" max="1550" width="14.85546875" style="77" customWidth="1"/>
    <col min="1551" max="1551" width="13.42578125" style="77" bestFit="1" customWidth="1"/>
    <col min="1552" max="1552" width="14.85546875" style="77" customWidth="1"/>
    <col min="1553" max="1553" width="16.5703125" style="77" customWidth="1"/>
    <col min="1554" max="1554" width="10.5703125" style="77" customWidth="1"/>
    <col min="1555" max="1555" width="12.42578125" style="77" bestFit="1" customWidth="1"/>
    <col min="1556" max="1556" width="15" style="77" bestFit="1" customWidth="1"/>
    <col min="1557" max="1558" width="18.28515625" style="77" bestFit="1" customWidth="1"/>
    <col min="1559" max="1559" width="17.42578125" style="77" bestFit="1" customWidth="1"/>
    <col min="1560" max="1560" width="12.85546875" style="77" bestFit="1" customWidth="1"/>
    <col min="1561" max="1561" width="12.28515625" style="77" bestFit="1" customWidth="1"/>
    <col min="1562" max="1789" width="9.140625" style="77"/>
    <col min="1790" max="1791" width="10" style="77" customWidth="1"/>
    <col min="1792" max="1792" width="7" style="77" customWidth="1"/>
    <col min="1793" max="1793" width="24" style="77" customWidth="1"/>
    <col min="1794" max="1794" width="12.85546875" style="77" customWidth="1"/>
    <col min="1795" max="1796" width="13.140625" style="77" customWidth="1"/>
    <col min="1797" max="1797" width="9.140625" style="77"/>
    <col min="1798" max="1798" width="12.85546875" style="77" customWidth="1"/>
    <col min="1799" max="1799" width="9.140625" style="77"/>
    <col min="1800" max="1800" width="12.140625" style="77" customWidth="1"/>
    <col min="1801" max="1801" width="13" style="77" customWidth="1"/>
    <col min="1802" max="1802" width="11.7109375" style="77" customWidth="1"/>
    <col min="1803" max="1803" width="11.28515625" style="77" customWidth="1"/>
    <col min="1804" max="1804" width="14.85546875" style="77" customWidth="1"/>
    <col min="1805" max="1805" width="16.42578125" style="77" customWidth="1"/>
    <col min="1806" max="1806" width="14.85546875" style="77" customWidth="1"/>
    <col min="1807" max="1807" width="13.42578125" style="77" bestFit="1" customWidth="1"/>
    <col min="1808" max="1808" width="14.85546875" style="77" customWidth="1"/>
    <col min="1809" max="1809" width="16.5703125" style="77" customWidth="1"/>
    <col min="1810" max="1810" width="10.5703125" style="77" customWidth="1"/>
    <col min="1811" max="1811" width="12.42578125" style="77" bestFit="1" customWidth="1"/>
    <col min="1812" max="1812" width="15" style="77" bestFit="1" customWidth="1"/>
    <col min="1813" max="1814" width="18.28515625" style="77" bestFit="1" customWidth="1"/>
    <col min="1815" max="1815" width="17.42578125" style="77" bestFit="1" customWidth="1"/>
    <col min="1816" max="1816" width="12.85546875" style="77" bestFit="1" customWidth="1"/>
    <col min="1817" max="1817" width="12.28515625" style="77" bestFit="1" customWidth="1"/>
    <col min="1818" max="2045" width="9.140625" style="77"/>
    <col min="2046" max="2047" width="10" style="77" customWidth="1"/>
    <col min="2048" max="2048" width="7" style="77" customWidth="1"/>
    <col min="2049" max="2049" width="24" style="77" customWidth="1"/>
    <col min="2050" max="2050" width="12.85546875" style="77" customWidth="1"/>
    <col min="2051" max="2052" width="13.140625" style="77" customWidth="1"/>
    <col min="2053" max="2053" width="9.140625" style="77"/>
    <col min="2054" max="2054" width="12.85546875" style="77" customWidth="1"/>
    <col min="2055" max="2055" width="9.140625" style="77"/>
    <col min="2056" max="2056" width="12.140625" style="77" customWidth="1"/>
    <col min="2057" max="2057" width="13" style="77" customWidth="1"/>
    <col min="2058" max="2058" width="11.7109375" style="77" customWidth="1"/>
    <col min="2059" max="2059" width="11.28515625" style="77" customWidth="1"/>
    <col min="2060" max="2060" width="14.85546875" style="77" customWidth="1"/>
    <col min="2061" max="2061" width="16.42578125" style="77" customWidth="1"/>
    <col min="2062" max="2062" width="14.85546875" style="77" customWidth="1"/>
    <col min="2063" max="2063" width="13.42578125" style="77" bestFit="1" customWidth="1"/>
    <col min="2064" max="2064" width="14.85546875" style="77" customWidth="1"/>
    <col min="2065" max="2065" width="16.5703125" style="77" customWidth="1"/>
    <col min="2066" max="2066" width="10.5703125" style="77" customWidth="1"/>
    <col min="2067" max="2067" width="12.42578125" style="77" bestFit="1" customWidth="1"/>
    <col min="2068" max="2068" width="15" style="77" bestFit="1" customWidth="1"/>
    <col min="2069" max="2070" width="18.28515625" style="77" bestFit="1" customWidth="1"/>
    <col min="2071" max="2071" width="17.42578125" style="77" bestFit="1" customWidth="1"/>
    <col min="2072" max="2072" width="12.85546875" style="77" bestFit="1" customWidth="1"/>
    <col min="2073" max="2073" width="12.28515625" style="77" bestFit="1" customWidth="1"/>
    <col min="2074" max="2301" width="9.140625" style="77"/>
    <col min="2302" max="2303" width="10" style="77" customWidth="1"/>
    <col min="2304" max="2304" width="7" style="77" customWidth="1"/>
    <col min="2305" max="2305" width="24" style="77" customWidth="1"/>
    <col min="2306" max="2306" width="12.85546875" style="77" customWidth="1"/>
    <col min="2307" max="2308" width="13.140625" style="77" customWidth="1"/>
    <col min="2309" max="2309" width="9.140625" style="77"/>
    <col min="2310" max="2310" width="12.85546875" style="77" customWidth="1"/>
    <col min="2311" max="2311" width="9.140625" style="77"/>
    <col min="2312" max="2312" width="12.140625" style="77" customWidth="1"/>
    <col min="2313" max="2313" width="13" style="77" customWidth="1"/>
    <col min="2314" max="2314" width="11.7109375" style="77" customWidth="1"/>
    <col min="2315" max="2315" width="11.28515625" style="77" customWidth="1"/>
    <col min="2316" max="2316" width="14.85546875" style="77" customWidth="1"/>
    <col min="2317" max="2317" width="16.42578125" style="77" customWidth="1"/>
    <col min="2318" max="2318" width="14.85546875" style="77" customWidth="1"/>
    <col min="2319" max="2319" width="13.42578125" style="77" bestFit="1" customWidth="1"/>
    <col min="2320" max="2320" width="14.85546875" style="77" customWidth="1"/>
    <col min="2321" max="2321" width="16.5703125" style="77" customWidth="1"/>
    <col min="2322" max="2322" width="10.5703125" style="77" customWidth="1"/>
    <col min="2323" max="2323" width="12.42578125" style="77" bestFit="1" customWidth="1"/>
    <col min="2324" max="2324" width="15" style="77" bestFit="1" customWidth="1"/>
    <col min="2325" max="2326" width="18.28515625" style="77" bestFit="1" customWidth="1"/>
    <col min="2327" max="2327" width="17.42578125" style="77" bestFit="1" customWidth="1"/>
    <col min="2328" max="2328" width="12.85546875" style="77" bestFit="1" customWidth="1"/>
    <col min="2329" max="2329" width="12.28515625" style="77" bestFit="1" customWidth="1"/>
    <col min="2330" max="2557" width="9.140625" style="77"/>
    <col min="2558" max="2559" width="10" style="77" customWidth="1"/>
    <col min="2560" max="2560" width="7" style="77" customWidth="1"/>
    <col min="2561" max="2561" width="24" style="77" customWidth="1"/>
    <col min="2562" max="2562" width="12.85546875" style="77" customWidth="1"/>
    <col min="2563" max="2564" width="13.140625" style="77" customWidth="1"/>
    <col min="2565" max="2565" width="9.140625" style="77"/>
    <col min="2566" max="2566" width="12.85546875" style="77" customWidth="1"/>
    <col min="2567" max="2567" width="9.140625" style="77"/>
    <col min="2568" max="2568" width="12.140625" style="77" customWidth="1"/>
    <col min="2569" max="2569" width="13" style="77" customWidth="1"/>
    <col min="2570" max="2570" width="11.7109375" style="77" customWidth="1"/>
    <col min="2571" max="2571" width="11.28515625" style="77" customWidth="1"/>
    <col min="2572" max="2572" width="14.85546875" style="77" customWidth="1"/>
    <col min="2573" max="2573" width="16.42578125" style="77" customWidth="1"/>
    <col min="2574" max="2574" width="14.85546875" style="77" customWidth="1"/>
    <col min="2575" max="2575" width="13.42578125" style="77" bestFit="1" customWidth="1"/>
    <col min="2576" max="2576" width="14.85546875" style="77" customWidth="1"/>
    <col min="2577" max="2577" width="16.5703125" style="77" customWidth="1"/>
    <col min="2578" max="2578" width="10.5703125" style="77" customWidth="1"/>
    <col min="2579" max="2579" width="12.42578125" style="77" bestFit="1" customWidth="1"/>
    <col min="2580" max="2580" width="15" style="77" bestFit="1" customWidth="1"/>
    <col min="2581" max="2582" width="18.28515625" style="77" bestFit="1" customWidth="1"/>
    <col min="2583" max="2583" width="17.42578125" style="77" bestFit="1" customWidth="1"/>
    <col min="2584" max="2584" width="12.85546875" style="77" bestFit="1" customWidth="1"/>
    <col min="2585" max="2585" width="12.28515625" style="77" bestFit="1" customWidth="1"/>
    <col min="2586" max="2813" width="9.140625" style="77"/>
    <col min="2814" max="2815" width="10" style="77" customWidth="1"/>
    <col min="2816" max="2816" width="7" style="77" customWidth="1"/>
    <col min="2817" max="2817" width="24" style="77" customWidth="1"/>
    <col min="2818" max="2818" width="12.85546875" style="77" customWidth="1"/>
    <col min="2819" max="2820" width="13.140625" style="77" customWidth="1"/>
    <col min="2821" max="2821" width="9.140625" style="77"/>
    <col min="2822" max="2822" width="12.85546875" style="77" customWidth="1"/>
    <col min="2823" max="2823" width="9.140625" style="77"/>
    <col min="2824" max="2824" width="12.140625" style="77" customWidth="1"/>
    <col min="2825" max="2825" width="13" style="77" customWidth="1"/>
    <col min="2826" max="2826" width="11.7109375" style="77" customWidth="1"/>
    <col min="2827" max="2827" width="11.28515625" style="77" customWidth="1"/>
    <col min="2828" max="2828" width="14.85546875" style="77" customWidth="1"/>
    <col min="2829" max="2829" width="16.42578125" style="77" customWidth="1"/>
    <col min="2830" max="2830" width="14.85546875" style="77" customWidth="1"/>
    <col min="2831" max="2831" width="13.42578125" style="77" bestFit="1" customWidth="1"/>
    <col min="2832" max="2832" width="14.85546875" style="77" customWidth="1"/>
    <col min="2833" max="2833" width="16.5703125" style="77" customWidth="1"/>
    <col min="2834" max="2834" width="10.5703125" style="77" customWidth="1"/>
    <col min="2835" max="2835" width="12.42578125" style="77" bestFit="1" customWidth="1"/>
    <col min="2836" max="2836" width="15" style="77" bestFit="1" customWidth="1"/>
    <col min="2837" max="2838" width="18.28515625" style="77" bestFit="1" customWidth="1"/>
    <col min="2839" max="2839" width="17.42578125" style="77" bestFit="1" customWidth="1"/>
    <col min="2840" max="2840" width="12.85546875" style="77" bestFit="1" customWidth="1"/>
    <col min="2841" max="2841" width="12.28515625" style="77" bestFit="1" customWidth="1"/>
    <col min="2842" max="3069" width="9.140625" style="77"/>
    <col min="3070" max="3071" width="10" style="77" customWidth="1"/>
    <col min="3072" max="3072" width="7" style="77" customWidth="1"/>
    <col min="3073" max="3073" width="24" style="77" customWidth="1"/>
    <col min="3074" max="3074" width="12.85546875" style="77" customWidth="1"/>
    <col min="3075" max="3076" width="13.140625" style="77" customWidth="1"/>
    <col min="3077" max="3077" width="9.140625" style="77"/>
    <col min="3078" max="3078" width="12.85546875" style="77" customWidth="1"/>
    <col min="3079" max="3079" width="9.140625" style="77"/>
    <col min="3080" max="3080" width="12.140625" style="77" customWidth="1"/>
    <col min="3081" max="3081" width="13" style="77" customWidth="1"/>
    <col min="3082" max="3082" width="11.7109375" style="77" customWidth="1"/>
    <col min="3083" max="3083" width="11.28515625" style="77" customWidth="1"/>
    <col min="3084" max="3084" width="14.85546875" style="77" customWidth="1"/>
    <col min="3085" max="3085" width="16.42578125" style="77" customWidth="1"/>
    <col min="3086" max="3086" width="14.85546875" style="77" customWidth="1"/>
    <col min="3087" max="3087" width="13.42578125" style="77" bestFit="1" customWidth="1"/>
    <col min="3088" max="3088" width="14.85546875" style="77" customWidth="1"/>
    <col min="3089" max="3089" width="16.5703125" style="77" customWidth="1"/>
    <col min="3090" max="3090" width="10.5703125" style="77" customWidth="1"/>
    <col min="3091" max="3091" width="12.42578125" style="77" bestFit="1" customWidth="1"/>
    <col min="3092" max="3092" width="15" style="77" bestFit="1" customWidth="1"/>
    <col min="3093" max="3094" width="18.28515625" style="77" bestFit="1" customWidth="1"/>
    <col min="3095" max="3095" width="17.42578125" style="77" bestFit="1" customWidth="1"/>
    <col min="3096" max="3096" width="12.85546875" style="77" bestFit="1" customWidth="1"/>
    <col min="3097" max="3097" width="12.28515625" style="77" bestFit="1" customWidth="1"/>
    <col min="3098" max="3325" width="9.140625" style="77"/>
    <col min="3326" max="3327" width="10" style="77" customWidth="1"/>
    <col min="3328" max="3328" width="7" style="77" customWidth="1"/>
    <col min="3329" max="3329" width="24" style="77" customWidth="1"/>
    <col min="3330" max="3330" width="12.85546875" style="77" customWidth="1"/>
    <col min="3331" max="3332" width="13.140625" style="77" customWidth="1"/>
    <col min="3333" max="3333" width="9.140625" style="77"/>
    <col min="3334" max="3334" width="12.85546875" style="77" customWidth="1"/>
    <col min="3335" max="3335" width="9.140625" style="77"/>
    <col min="3336" max="3336" width="12.140625" style="77" customWidth="1"/>
    <col min="3337" max="3337" width="13" style="77" customWidth="1"/>
    <col min="3338" max="3338" width="11.7109375" style="77" customWidth="1"/>
    <col min="3339" max="3339" width="11.28515625" style="77" customWidth="1"/>
    <col min="3340" max="3340" width="14.85546875" style="77" customWidth="1"/>
    <col min="3341" max="3341" width="16.42578125" style="77" customWidth="1"/>
    <col min="3342" max="3342" width="14.85546875" style="77" customWidth="1"/>
    <col min="3343" max="3343" width="13.42578125" style="77" bestFit="1" customWidth="1"/>
    <col min="3344" max="3344" width="14.85546875" style="77" customWidth="1"/>
    <col min="3345" max="3345" width="16.5703125" style="77" customWidth="1"/>
    <col min="3346" max="3346" width="10.5703125" style="77" customWidth="1"/>
    <col min="3347" max="3347" width="12.42578125" style="77" bestFit="1" customWidth="1"/>
    <col min="3348" max="3348" width="15" style="77" bestFit="1" customWidth="1"/>
    <col min="3349" max="3350" width="18.28515625" style="77" bestFit="1" customWidth="1"/>
    <col min="3351" max="3351" width="17.42578125" style="77" bestFit="1" customWidth="1"/>
    <col min="3352" max="3352" width="12.85546875" style="77" bestFit="1" customWidth="1"/>
    <col min="3353" max="3353" width="12.28515625" style="77" bestFit="1" customWidth="1"/>
    <col min="3354" max="3581" width="9.140625" style="77"/>
    <col min="3582" max="3583" width="10" style="77" customWidth="1"/>
    <col min="3584" max="3584" width="7" style="77" customWidth="1"/>
    <col min="3585" max="3585" width="24" style="77" customWidth="1"/>
    <col min="3586" max="3586" width="12.85546875" style="77" customWidth="1"/>
    <col min="3587" max="3588" width="13.140625" style="77" customWidth="1"/>
    <col min="3589" max="3589" width="9.140625" style="77"/>
    <col min="3590" max="3590" width="12.85546875" style="77" customWidth="1"/>
    <col min="3591" max="3591" width="9.140625" style="77"/>
    <col min="3592" max="3592" width="12.140625" style="77" customWidth="1"/>
    <col min="3593" max="3593" width="13" style="77" customWidth="1"/>
    <col min="3594" max="3594" width="11.7109375" style="77" customWidth="1"/>
    <col min="3595" max="3595" width="11.28515625" style="77" customWidth="1"/>
    <col min="3596" max="3596" width="14.85546875" style="77" customWidth="1"/>
    <col min="3597" max="3597" width="16.42578125" style="77" customWidth="1"/>
    <col min="3598" max="3598" width="14.85546875" style="77" customWidth="1"/>
    <col min="3599" max="3599" width="13.42578125" style="77" bestFit="1" customWidth="1"/>
    <col min="3600" max="3600" width="14.85546875" style="77" customWidth="1"/>
    <col min="3601" max="3601" width="16.5703125" style="77" customWidth="1"/>
    <col min="3602" max="3602" width="10.5703125" style="77" customWidth="1"/>
    <col min="3603" max="3603" width="12.42578125" style="77" bestFit="1" customWidth="1"/>
    <col min="3604" max="3604" width="15" style="77" bestFit="1" customWidth="1"/>
    <col min="3605" max="3606" width="18.28515625" style="77" bestFit="1" customWidth="1"/>
    <col min="3607" max="3607" width="17.42578125" style="77" bestFit="1" customWidth="1"/>
    <col min="3608" max="3608" width="12.85546875" style="77" bestFit="1" customWidth="1"/>
    <col min="3609" max="3609" width="12.28515625" style="77" bestFit="1" customWidth="1"/>
    <col min="3610" max="3837" width="9.140625" style="77"/>
    <col min="3838" max="3839" width="10" style="77" customWidth="1"/>
    <col min="3840" max="3840" width="7" style="77" customWidth="1"/>
    <col min="3841" max="3841" width="24" style="77" customWidth="1"/>
    <col min="3842" max="3842" width="12.85546875" style="77" customWidth="1"/>
    <col min="3843" max="3844" width="13.140625" style="77" customWidth="1"/>
    <col min="3845" max="3845" width="9.140625" style="77"/>
    <col min="3846" max="3846" width="12.85546875" style="77" customWidth="1"/>
    <col min="3847" max="3847" width="9.140625" style="77"/>
    <col min="3848" max="3848" width="12.140625" style="77" customWidth="1"/>
    <col min="3849" max="3849" width="13" style="77" customWidth="1"/>
    <col min="3850" max="3850" width="11.7109375" style="77" customWidth="1"/>
    <col min="3851" max="3851" width="11.28515625" style="77" customWidth="1"/>
    <col min="3852" max="3852" width="14.85546875" style="77" customWidth="1"/>
    <col min="3853" max="3853" width="16.42578125" style="77" customWidth="1"/>
    <col min="3854" max="3854" width="14.85546875" style="77" customWidth="1"/>
    <col min="3855" max="3855" width="13.42578125" style="77" bestFit="1" customWidth="1"/>
    <col min="3856" max="3856" width="14.85546875" style="77" customWidth="1"/>
    <col min="3857" max="3857" width="16.5703125" style="77" customWidth="1"/>
    <col min="3858" max="3858" width="10.5703125" style="77" customWidth="1"/>
    <col min="3859" max="3859" width="12.42578125" style="77" bestFit="1" customWidth="1"/>
    <col min="3860" max="3860" width="15" style="77" bestFit="1" customWidth="1"/>
    <col min="3861" max="3862" width="18.28515625" style="77" bestFit="1" customWidth="1"/>
    <col min="3863" max="3863" width="17.42578125" style="77" bestFit="1" customWidth="1"/>
    <col min="3864" max="3864" width="12.85546875" style="77" bestFit="1" customWidth="1"/>
    <col min="3865" max="3865" width="12.28515625" style="77" bestFit="1" customWidth="1"/>
    <col min="3866" max="4093" width="9.140625" style="77"/>
    <col min="4094" max="4095" width="10" style="77" customWidth="1"/>
    <col min="4096" max="4096" width="7" style="77" customWidth="1"/>
    <col min="4097" max="4097" width="24" style="77" customWidth="1"/>
    <col min="4098" max="4098" width="12.85546875" style="77" customWidth="1"/>
    <col min="4099" max="4100" width="13.140625" style="77" customWidth="1"/>
    <col min="4101" max="4101" width="9.140625" style="77"/>
    <col min="4102" max="4102" width="12.85546875" style="77" customWidth="1"/>
    <col min="4103" max="4103" width="9.140625" style="77"/>
    <col min="4104" max="4104" width="12.140625" style="77" customWidth="1"/>
    <col min="4105" max="4105" width="13" style="77" customWidth="1"/>
    <col min="4106" max="4106" width="11.7109375" style="77" customWidth="1"/>
    <col min="4107" max="4107" width="11.28515625" style="77" customWidth="1"/>
    <col min="4108" max="4108" width="14.85546875" style="77" customWidth="1"/>
    <col min="4109" max="4109" width="16.42578125" style="77" customWidth="1"/>
    <col min="4110" max="4110" width="14.85546875" style="77" customWidth="1"/>
    <col min="4111" max="4111" width="13.42578125" style="77" bestFit="1" customWidth="1"/>
    <col min="4112" max="4112" width="14.85546875" style="77" customWidth="1"/>
    <col min="4113" max="4113" width="16.5703125" style="77" customWidth="1"/>
    <col min="4114" max="4114" width="10.5703125" style="77" customWidth="1"/>
    <col min="4115" max="4115" width="12.42578125" style="77" bestFit="1" customWidth="1"/>
    <col min="4116" max="4116" width="15" style="77" bestFit="1" customWidth="1"/>
    <col min="4117" max="4118" width="18.28515625" style="77" bestFit="1" customWidth="1"/>
    <col min="4119" max="4119" width="17.42578125" style="77" bestFit="1" customWidth="1"/>
    <col min="4120" max="4120" width="12.85546875" style="77" bestFit="1" customWidth="1"/>
    <col min="4121" max="4121" width="12.28515625" style="77" bestFit="1" customWidth="1"/>
    <col min="4122" max="4349" width="9.140625" style="77"/>
    <col min="4350" max="4351" width="10" style="77" customWidth="1"/>
    <col min="4352" max="4352" width="7" style="77" customWidth="1"/>
    <col min="4353" max="4353" width="24" style="77" customWidth="1"/>
    <col min="4354" max="4354" width="12.85546875" style="77" customWidth="1"/>
    <col min="4355" max="4356" width="13.140625" style="77" customWidth="1"/>
    <col min="4357" max="4357" width="9.140625" style="77"/>
    <col min="4358" max="4358" width="12.85546875" style="77" customWidth="1"/>
    <col min="4359" max="4359" width="9.140625" style="77"/>
    <col min="4360" max="4360" width="12.140625" style="77" customWidth="1"/>
    <col min="4361" max="4361" width="13" style="77" customWidth="1"/>
    <col min="4362" max="4362" width="11.7109375" style="77" customWidth="1"/>
    <col min="4363" max="4363" width="11.28515625" style="77" customWidth="1"/>
    <col min="4364" max="4364" width="14.85546875" style="77" customWidth="1"/>
    <col min="4365" max="4365" width="16.42578125" style="77" customWidth="1"/>
    <col min="4366" max="4366" width="14.85546875" style="77" customWidth="1"/>
    <col min="4367" max="4367" width="13.42578125" style="77" bestFit="1" customWidth="1"/>
    <col min="4368" max="4368" width="14.85546875" style="77" customWidth="1"/>
    <col min="4369" max="4369" width="16.5703125" style="77" customWidth="1"/>
    <col min="4370" max="4370" width="10.5703125" style="77" customWidth="1"/>
    <col min="4371" max="4371" width="12.42578125" style="77" bestFit="1" customWidth="1"/>
    <col min="4372" max="4372" width="15" style="77" bestFit="1" customWidth="1"/>
    <col min="4373" max="4374" width="18.28515625" style="77" bestFit="1" customWidth="1"/>
    <col min="4375" max="4375" width="17.42578125" style="77" bestFit="1" customWidth="1"/>
    <col min="4376" max="4376" width="12.85546875" style="77" bestFit="1" customWidth="1"/>
    <col min="4377" max="4377" width="12.28515625" style="77" bestFit="1" customWidth="1"/>
    <col min="4378" max="4605" width="9.140625" style="77"/>
    <col min="4606" max="4607" width="10" style="77" customWidth="1"/>
    <col min="4608" max="4608" width="7" style="77" customWidth="1"/>
    <col min="4609" max="4609" width="24" style="77" customWidth="1"/>
    <col min="4610" max="4610" width="12.85546875" style="77" customWidth="1"/>
    <col min="4611" max="4612" width="13.140625" style="77" customWidth="1"/>
    <col min="4613" max="4613" width="9.140625" style="77"/>
    <col min="4614" max="4614" width="12.85546875" style="77" customWidth="1"/>
    <col min="4615" max="4615" width="9.140625" style="77"/>
    <col min="4616" max="4616" width="12.140625" style="77" customWidth="1"/>
    <col min="4617" max="4617" width="13" style="77" customWidth="1"/>
    <col min="4618" max="4618" width="11.7109375" style="77" customWidth="1"/>
    <col min="4619" max="4619" width="11.28515625" style="77" customWidth="1"/>
    <col min="4620" max="4620" width="14.85546875" style="77" customWidth="1"/>
    <col min="4621" max="4621" width="16.42578125" style="77" customWidth="1"/>
    <col min="4622" max="4622" width="14.85546875" style="77" customWidth="1"/>
    <col min="4623" max="4623" width="13.42578125" style="77" bestFit="1" customWidth="1"/>
    <col min="4624" max="4624" width="14.85546875" style="77" customWidth="1"/>
    <col min="4625" max="4625" width="16.5703125" style="77" customWidth="1"/>
    <col min="4626" max="4626" width="10.5703125" style="77" customWidth="1"/>
    <col min="4627" max="4627" width="12.42578125" style="77" bestFit="1" customWidth="1"/>
    <col min="4628" max="4628" width="15" style="77" bestFit="1" customWidth="1"/>
    <col min="4629" max="4630" width="18.28515625" style="77" bestFit="1" customWidth="1"/>
    <col min="4631" max="4631" width="17.42578125" style="77" bestFit="1" customWidth="1"/>
    <col min="4632" max="4632" width="12.85546875" style="77" bestFit="1" customWidth="1"/>
    <col min="4633" max="4633" width="12.28515625" style="77" bestFit="1" customWidth="1"/>
    <col min="4634" max="4861" width="9.140625" style="77"/>
    <col min="4862" max="4863" width="10" style="77" customWidth="1"/>
    <col min="4864" max="4864" width="7" style="77" customWidth="1"/>
    <col min="4865" max="4865" width="24" style="77" customWidth="1"/>
    <col min="4866" max="4866" width="12.85546875" style="77" customWidth="1"/>
    <col min="4867" max="4868" width="13.140625" style="77" customWidth="1"/>
    <col min="4869" max="4869" width="9.140625" style="77"/>
    <col min="4870" max="4870" width="12.85546875" style="77" customWidth="1"/>
    <col min="4871" max="4871" width="9.140625" style="77"/>
    <col min="4872" max="4872" width="12.140625" style="77" customWidth="1"/>
    <col min="4873" max="4873" width="13" style="77" customWidth="1"/>
    <col min="4874" max="4874" width="11.7109375" style="77" customWidth="1"/>
    <col min="4875" max="4875" width="11.28515625" style="77" customWidth="1"/>
    <col min="4876" max="4876" width="14.85546875" style="77" customWidth="1"/>
    <col min="4877" max="4877" width="16.42578125" style="77" customWidth="1"/>
    <col min="4878" max="4878" width="14.85546875" style="77" customWidth="1"/>
    <col min="4879" max="4879" width="13.42578125" style="77" bestFit="1" customWidth="1"/>
    <col min="4880" max="4880" width="14.85546875" style="77" customWidth="1"/>
    <col min="4881" max="4881" width="16.5703125" style="77" customWidth="1"/>
    <col min="4882" max="4882" width="10.5703125" style="77" customWidth="1"/>
    <col min="4883" max="4883" width="12.42578125" style="77" bestFit="1" customWidth="1"/>
    <col min="4884" max="4884" width="15" style="77" bestFit="1" customWidth="1"/>
    <col min="4885" max="4886" width="18.28515625" style="77" bestFit="1" customWidth="1"/>
    <col min="4887" max="4887" width="17.42578125" style="77" bestFit="1" customWidth="1"/>
    <col min="4888" max="4888" width="12.85546875" style="77" bestFit="1" customWidth="1"/>
    <col min="4889" max="4889" width="12.28515625" style="77" bestFit="1" customWidth="1"/>
    <col min="4890" max="5117" width="9.140625" style="77"/>
    <col min="5118" max="5119" width="10" style="77" customWidth="1"/>
    <col min="5120" max="5120" width="7" style="77" customWidth="1"/>
    <col min="5121" max="5121" width="24" style="77" customWidth="1"/>
    <col min="5122" max="5122" width="12.85546875" style="77" customWidth="1"/>
    <col min="5123" max="5124" width="13.140625" style="77" customWidth="1"/>
    <col min="5125" max="5125" width="9.140625" style="77"/>
    <col min="5126" max="5126" width="12.85546875" style="77" customWidth="1"/>
    <col min="5127" max="5127" width="9.140625" style="77"/>
    <col min="5128" max="5128" width="12.140625" style="77" customWidth="1"/>
    <col min="5129" max="5129" width="13" style="77" customWidth="1"/>
    <col min="5130" max="5130" width="11.7109375" style="77" customWidth="1"/>
    <col min="5131" max="5131" width="11.28515625" style="77" customWidth="1"/>
    <col min="5132" max="5132" width="14.85546875" style="77" customWidth="1"/>
    <col min="5133" max="5133" width="16.42578125" style="77" customWidth="1"/>
    <col min="5134" max="5134" width="14.85546875" style="77" customWidth="1"/>
    <col min="5135" max="5135" width="13.42578125" style="77" bestFit="1" customWidth="1"/>
    <col min="5136" max="5136" width="14.85546875" style="77" customWidth="1"/>
    <col min="5137" max="5137" width="16.5703125" style="77" customWidth="1"/>
    <col min="5138" max="5138" width="10.5703125" style="77" customWidth="1"/>
    <col min="5139" max="5139" width="12.42578125" style="77" bestFit="1" customWidth="1"/>
    <col min="5140" max="5140" width="15" style="77" bestFit="1" customWidth="1"/>
    <col min="5141" max="5142" width="18.28515625" style="77" bestFit="1" customWidth="1"/>
    <col min="5143" max="5143" width="17.42578125" style="77" bestFit="1" customWidth="1"/>
    <col min="5144" max="5144" width="12.85546875" style="77" bestFit="1" customWidth="1"/>
    <col min="5145" max="5145" width="12.28515625" style="77" bestFit="1" customWidth="1"/>
    <col min="5146" max="5373" width="9.140625" style="77"/>
    <col min="5374" max="5375" width="10" style="77" customWidth="1"/>
    <col min="5376" max="5376" width="7" style="77" customWidth="1"/>
    <col min="5377" max="5377" width="24" style="77" customWidth="1"/>
    <col min="5378" max="5378" width="12.85546875" style="77" customWidth="1"/>
    <col min="5379" max="5380" width="13.140625" style="77" customWidth="1"/>
    <col min="5381" max="5381" width="9.140625" style="77"/>
    <col min="5382" max="5382" width="12.85546875" style="77" customWidth="1"/>
    <col min="5383" max="5383" width="9.140625" style="77"/>
    <col min="5384" max="5384" width="12.140625" style="77" customWidth="1"/>
    <col min="5385" max="5385" width="13" style="77" customWidth="1"/>
    <col min="5386" max="5386" width="11.7109375" style="77" customWidth="1"/>
    <col min="5387" max="5387" width="11.28515625" style="77" customWidth="1"/>
    <col min="5388" max="5388" width="14.85546875" style="77" customWidth="1"/>
    <col min="5389" max="5389" width="16.42578125" style="77" customWidth="1"/>
    <col min="5390" max="5390" width="14.85546875" style="77" customWidth="1"/>
    <col min="5391" max="5391" width="13.42578125" style="77" bestFit="1" customWidth="1"/>
    <col min="5392" max="5392" width="14.85546875" style="77" customWidth="1"/>
    <col min="5393" max="5393" width="16.5703125" style="77" customWidth="1"/>
    <col min="5394" max="5394" width="10.5703125" style="77" customWidth="1"/>
    <col min="5395" max="5395" width="12.42578125" style="77" bestFit="1" customWidth="1"/>
    <col min="5396" max="5396" width="15" style="77" bestFit="1" customWidth="1"/>
    <col min="5397" max="5398" width="18.28515625" style="77" bestFit="1" customWidth="1"/>
    <col min="5399" max="5399" width="17.42578125" style="77" bestFit="1" customWidth="1"/>
    <col min="5400" max="5400" width="12.85546875" style="77" bestFit="1" customWidth="1"/>
    <col min="5401" max="5401" width="12.28515625" style="77" bestFit="1" customWidth="1"/>
    <col min="5402" max="5629" width="9.140625" style="77"/>
    <col min="5630" max="5631" width="10" style="77" customWidth="1"/>
    <col min="5632" max="5632" width="7" style="77" customWidth="1"/>
    <col min="5633" max="5633" width="24" style="77" customWidth="1"/>
    <col min="5634" max="5634" width="12.85546875" style="77" customWidth="1"/>
    <col min="5635" max="5636" width="13.140625" style="77" customWidth="1"/>
    <col min="5637" max="5637" width="9.140625" style="77"/>
    <col min="5638" max="5638" width="12.85546875" style="77" customWidth="1"/>
    <col min="5639" max="5639" width="9.140625" style="77"/>
    <col min="5640" max="5640" width="12.140625" style="77" customWidth="1"/>
    <col min="5641" max="5641" width="13" style="77" customWidth="1"/>
    <col min="5642" max="5642" width="11.7109375" style="77" customWidth="1"/>
    <col min="5643" max="5643" width="11.28515625" style="77" customWidth="1"/>
    <col min="5644" max="5644" width="14.85546875" style="77" customWidth="1"/>
    <col min="5645" max="5645" width="16.42578125" style="77" customWidth="1"/>
    <col min="5646" max="5646" width="14.85546875" style="77" customWidth="1"/>
    <col min="5647" max="5647" width="13.42578125" style="77" bestFit="1" customWidth="1"/>
    <col min="5648" max="5648" width="14.85546875" style="77" customWidth="1"/>
    <col min="5649" max="5649" width="16.5703125" style="77" customWidth="1"/>
    <col min="5650" max="5650" width="10.5703125" style="77" customWidth="1"/>
    <col min="5651" max="5651" width="12.42578125" style="77" bestFit="1" customWidth="1"/>
    <col min="5652" max="5652" width="15" style="77" bestFit="1" customWidth="1"/>
    <col min="5653" max="5654" width="18.28515625" style="77" bestFit="1" customWidth="1"/>
    <col min="5655" max="5655" width="17.42578125" style="77" bestFit="1" customWidth="1"/>
    <col min="5656" max="5656" width="12.85546875" style="77" bestFit="1" customWidth="1"/>
    <col min="5657" max="5657" width="12.28515625" style="77" bestFit="1" customWidth="1"/>
    <col min="5658" max="5885" width="9.140625" style="77"/>
    <col min="5886" max="5887" width="10" style="77" customWidth="1"/>
    <col min="5888" max="5888" width="7" style="77" customWidth="1"/>
    <col min="5889" max="5889" width="24" style="77" customWidth="1"/>
    <col min="5890" max="5890" width="12.85546875" style="77" customWidth="1"/>
    <col min="5891" max="5892" width="13.140625" style="77" customWidth="1"/>
    <col min="5893" max="5893" width="9.140625" style="77"/>
    <col min="5894" max="5894" width="12.85546875" style="77" customWidth="1"/>
    <col min="5895" max="5895" width="9.140625" style="77"/>
    <col min="5896" max="5896" width="12.140625" style="77" customWidth="1"/>
    <col min="5897" max="5897" width="13" style="77" customWidth="1"/>
    <col min="5898" max="5898" width="11.7109375" style="77" customWidth="1"/>
    <col min="5899" max="5899" width="11.28515625" style="77" customWidth="1"/>
    <col min="5900" max="5900" width="14.85546875" style="77" customWidth="1"/>
    <col min="5901" max="5901" width="16.42578125" style="77" customWidth="1"/>
    <col min="5902" max="5902" width="14.85546875" style="77" customWidth="1"/>
    <col min="5903" max="5903" width="13.42578125" style="77" bestFit="1" customWidth="1"/>
    <col min="5904" max="5904" width="14.85546875" style="77" customWidth="1"/>
    <col min="5905" max="5905" width="16.5703125" style="77" customWidth="1"/>
    <col min="5906" max="5906" width="10.5703125" style="77" customWidth="1"/>
    <col min="5907" max="5907" width="12.42578125" style="77" bestFit="1" customWidth="1"/>
    <col min="5908" max="5908" width="15" style="77" bestFit="1" customWidth="1"/>
    <col min="5909" max="5910" width="18.28515625" style="77" bestFit="1" customWidth="1"/>
    <col min="5911" max="5911" width="17.42578125" style="77" bestFit="1" customWidth="1"/>
    <col min="5912" max="5912" width="12.85546875" style="77" bestFit="1" customWidth="1"/>
    <col min="5913" max="5913" width="12.28515625" style="77" bestFit="1" customWidth="1"/>
    <col min="5914" max="6141" width="9.140625" style="77"/>
    <col min="6142" max="6143" width="10" style="77" customWidth="1"/>
    <col min="6144" max="6144" width="7" style="77" customWidth="1"/>
    <col min="6145" max="6145" width="24" style="77" customWidth="1"/>
    <col min="6146" max="6146" width="12.85546875" style="77" customWidth="1"/>
    <col min="6147" max="6148" width="13.140625" style="77" customWidth="1"/>
    <col min="6149" max="6149" width="9.140625" style="77"/>
    <col min="6150" max="6150" width="12.85546875" style="77" customWidth="1"/>
    <col min="6151" max="6151" width="9.140625" style="77"/>
    <col min="6152" max="6152" width="12.140625" style="77" customWidth="1"/>
    <col min="6153" max="6153" width="13" style="77" customWidth="1"/>
    <col min="6154" max="6154" width="11.7109375" style="77" customWidth="1"/>
    <col min="6155" max="6155" width="11.28515625" style="77" customWidth="1"/>
    <col min="6156" max="6156" width="14.85546875" style="77" customWidth="1"/>
    <col min="6157" max="6157" width="16.42578125" style="77" customWidth="1"/>
    <col min="6158" max="6158" width="14.85546875" style="77" customWidth="1"/>
    <col min="6159" max="6159" width="13.42578125" style="77" bestFit="1" customWidth="1"/>
    <col min="6160" max="6160" width="14.85546875" style="77" customWidth="1"/>
    <col min="6161" max="6161" width="16.5703125" style="77" customWidth="1"/>
    <col min="6162" max="6162" width="10.5703125" style="77" customWidth="1"/>
    <col min="6163" max="6163" width="12.42578125" style="77" bestFit="1" customWidth="1"/>
    <col min="6164" max="6164" width="15" style="77" bestFit="1" customWidth="1"/>
    <col min="6165" max="6166" width="18.28515625" style="77" bestFit="1" customWidth="1"/>
    <col min="6167" max="6167" width="17.42578125" style="77" bestFit="1" customWidth="1"/>
    <col min="6168" max="6168" width="12.85546875" style="77" bestFit="1" customWidth="1"/>
    <col min="6169" max="6169" width="12.28515625" style="77" bestFit="1" customWidth="1"/>
    <col min="6170" max="6397" width="9.140625" style="77"/>
    <col min="6398" max="6399" width="10" style="77" customWidth="1"/>
    <col min="6400" max="6400" width="7" style="77" customWidth="1"/>
    <col min="6401" max="6401" width="24" style="77" customWidth="1"/>
    <col min="6402" max="6402" width="12.85546875" style="77" customWidth="1"/>
    <col min="6403" max="6404" width="13.140625" style="77" customWidth="1"/>
    <col min="6405" max="6405" width="9.140625" style="77"/>
    <col min="6406" max="6406" width="12.85546875" style="77" customWidth="1"/>
    <col min="6407" max="6407" width="9.140625" style="77"/>
    <col min="6408" max="6408" width="12.140625" style="77" customWidth="1"/>
    <col min="6409" max="6409" width="13" style="77" customWidth="1"/>
    <col min="6410" max="6410" width="11.7109375" style="77" customWidth="1"/>
    <col min="6411" max="6411" width="11.28515625" style="77" customWidth="1"/>
    <col min="6412" max="6412" width="14.85546875" style="77" customWidth="1"/>
    <col min="6413" max="6413" width="16.42578125" style="77" customWidth="1"/>
    <col min="6414" max="6414" width="14.85546875" style="77" customWidth="1"/>
    <col min="6415" max="6415" width="13.42578125" style="77" bestFit="1" customWidth="1"/>
    <col min="6416" max="6416" width="14.85546875" style="77" customWidth="1"/>
    <col min="6417" max="6417" width="16.5703125" style="77" customWidth="1"/>
    <col min="6418" max="6418" width="10.5703125" style="77" customWidth="1"/>
    <col min="6419" max="6419" width="12.42578125" style="77" bestFit="1" customWidth="1"/>
    <col min="6420" max="6420" width="15" style="77" bestFit="1" customWidth="1"/>
    <col min="6421" max="6422" width="18.28515625" style="77" bestFit="1" customWidth="1"/>
    <col min="6423" max="6423" width="17.42578125" style="77" bestFit="1" customWidth="1"/>
    <col min="6424" max="6424" width="12.85546875" style="77" bestFit="1" customWidth="1"/>
    <col min="6425" max="6425" width="12.28515625" style="77" bestFit="1" customWidth="1"/>
    <col min="6426" max="6653" width="9.140625" style="77"/>
    <col min="6654" max="6655" width="10" style="77" customWidth="1"/>
    <col min="6656" max="6656" width="7" style="77" customWidth="1"/>
    <col min="6657" max="6657" width="24" style="77" customWidth="1"/>
    <col min="6658" max="6658" width="12.85546875" style="77" customWidth="1"/>
    <col min="6659" max="6660" width="13.140625" style="77" customWidth="1"/>
    <col min="6661" max="6661" width="9.140625" style="77"/>
    <col min="6662" max="6662" width="12.85546875" style="77" customWidth="1"/>
    <col min="6663" max="6663" width="9.140625" style="77"/>
    <col min="6664" max="6664" width="12.140625" style="77" customWidth="1"/>
    <col min="6665" max="6665" width="13" style="77" customWidth="1"/>
    <col min="6666" max="6666" width="11.7109375" style="77" customWidth="1"/>
    <col min="6667" max="6667" width="11.28515625" style="77" customWidth="1"/>
    <col min="6668" max="6668" width="14.85546875" style="77" customWidth="1"/>
    <col min="6669" max="6669" width="16.42578125" style="77" customWidth="1"/>
    <col min="6670" max="6670" width="14.85546875" style="77" customWidth="1"/>
    <col min="6671" max="6671" width="13.42578125" style="77" bestFit="1" customWidth="1"/>
    <col min="6672" max="6672" width="14.85546875" style="77" customWidth="1"/>
    <col min="6673" max="6673" width="16.5703125" style="77" customWidth="1"/>
    <col min="6674" max="6674" width="10.5703125" style="77" customWidth="1"/>
    <col min="6675" max="6675" width="12.42578125" style="77" bestFit="1" customWidth="1"/>
    <col min="6676" max="6676" width="15" style="77" bestFit="1" customWidth="1"/>
    <col min="6677" max="6678" width="18.28515625" style="77" bestFit="1" customWidth="1"/>
    <col min="6679" max="6679" width="17.42578125" style="77" bestFit="1" customWidth="1"/>
    <col min="6680" max="6680" width="12.85546875" style="77" bestFit="1" customWidth="1"/>
    <col min="6681" max="6681" width="12.28515625" style="77" bestFit="1" customWidth="1"/>
    <col min="6682" max="6909" width="9.140625" style="77"/>
    <col min="6910" max="6911" width="10" style="77" customWidth="1"/>
    <col min="6912" max="6912" width="7" style="77" customWidth="1"/>
    <col min="6913" max="6913" width="24" style="77" customWidth="1"/>
    <col min="6914" max="6914" width="12.85546875" style="77" customWidth="1"/>
    <col min="6915" max="6916" width="13.140625" style="77" customWidth="1"/>
    <col min="6917" max="6917" width="9.140625" style="77"/>
    <col min="6918" max="6918" width="12.85546875" style="77" customWidth="1"/>
    <col min="6919" max="6919" width="9.140625" style="77"/>
    <col min="6920" max="6920" width="12.140625" style="77" customWidth="1"/>
    <col min="6921" max="6921" width="13" style="77" customWidth="1"/>
    <col min="6922" max="6922" width="11.7109375" style="77" customWidth="1"/>
    <col min="6923" max="6923" width="11.28515625" style="77" customWidth="1"/>
    <col min="6924" max="6924" width="14.85546875" style="77" customWidth="1"/>
    <col min="6925" max="6925" width="16.42578125" style="77" customWidth="1"/>
    <col min="6926" max="6926" width="14.85546875" style="77" customWidth="1"/>
    <col min="6927" max="6927" width="13.42578125" style="77" bestFit="1" customWidth="1"/>
    <col min="6928" max="6928" width="14.85546875" style="77" customWidth="1"/>
    <col min="6929" max="6929" width="16.5703125" style="77" customWidth="1"/>
    <col min="6930" max="6930" width="10.5703125" style="77" customWidth="1"/>
    <col min="6931" max="6931" width="12.42578125" style="77" bestFit="1" customWidth="1"/>
    <col min="6932" max="6932" width="15" style="77" bestFit="1" customWidth="1"/>
    <col min="6933" max="6934" width="18.28515625" style="77" bestFit="1" customWidth="1"/>
    <col min="6935" max="6935" width="17.42578125" style="77" bestFit="1" customWidth="1"/>
    <col min="6936" max="6936" width="12.85546875" style="77" bestFit="1" customWidth="1"/>
    <col min="6937" max="6937" width="12.28515625" style="77" bestFit="1" customWidth="1"/>
    <col min="6938" max="7165" width="9.140625" style="77"/>
    <col min="7166" max="7167" width="10" style="77" customWidth="1"/>
    <col min="7168" max="7168" width="7" style="77" customWidth="1"/>
    <col min="7169" max="7169" width="24" style="77" customWidth="1"/>
    <col min="7170" max="7170" width="12.85546875" style="77" customWidth="1"/>
    <col min="7171" max="7172" width="13.140625" style="77" customWidth="1"/>
    <col min="7173" max="7173" width="9.140625" style="77"/>
    <col min="7174" max="7174" width="12.85546875" style="77" customWidth="1"/>
    <col min="7175" max="7175" width="9.140625" style="77"/>
    <col min="7176" max="7176" width="12.140625" style="77" customWidth="1"/>
    <col min="7177" max="7177" width="13" style="77" customWidth="1"/>
    <col min="7178" max="7178" width="11.7109375" style="77" customWidth="1"/>
    <col min="7179" max="7179" width="11.28515625" style="77" customWidth="1"/>
    <col min="7180" max="7180" width="14.85546875" style="77" customWidth="1"/>
    <col min="7181" max="7181" width="16.42578125" style="77" customWidth="1"/>
    <col min="7182" max="7182" width="14.85546875" style="77" customWidth="1"/>
    <col min="7183" max="7183" width="13.42578125" style="77" bestFit="1" customWidth="1"/>
    <col min="7184" max="7184" width="14.85546875" style="77" customWidth="1"/>
    <col min="7185" max="7185" width="16.5703125" style="77" customWidth="1"/>
    <col min="7186" max="7186" width="10.5703125" style="77" customWidth="1"/>
    <col min="7187" max="7187" width="12.42578125" style="77" bestFit="1" customWidth="1"/>
    <col min="7188" max="7188" width="15" style="77" bestFit="1" customWidth="1"/>
    <col min="7189" max="7190" width="18.28515625" style="77" bestFit="1" customWidth="1"/>
    <col min="7191" max="7191" width="17.42578125" style="77" bestFit="1" customWidth="1"/>
    <col min="7192" max="7192" width="12.85546875" style="77" bestFit="1" customWidth="1"/>
    <col min="7193" max="7193" width="12.28515625" style="77" bestFit="1" customWidth="1"/>
    <col min="7194" max="7421" width="9.140625" style="77"/>
    <col min="7422" max="7423" width="10" style="77" customWidth="1"/>
    <col min="7424" max="7424" width="7" style="77" customWidth="1"/>
    <col min="7425" max="7425" width="24" style="77" customWidth="1"/>
    <col min="7426" max="7426" width="12.85546875" style="77" customWidth="1"/>
    <col min="7427" max="7428" width="13.140625" style="77" customWidth="1"/>
    <col min="7429" max="7429" width="9.140625" style="77"/>
    <col min="7430" max="7430" width="12.85546875" style="77" customWidth="1"/>
    <col min="7431" max="7431" width="9.140625" style="77"/>
    <col min="7432" max="7432" width="12.140625" style="77" customWidth="1"/>
    <col min="7433" max="7433" width="13" style="77" customWidth="1"/>
    <col min="7434" max="7434" width="11.7109375" style="77" customWidth="1"/>
    <col min="7435" max="7435" width="11.28515625" style="77" customWidth="1"/>
    <col min="7436" max="7436" width="14.85546875" style="77" customWidth="1"/>
    <col min="7437" max="7437" width="16.42578125" style="77" customWidth="1"/>
    <col min="7438" max="7438" width="14.85546875" style="77" customWidth="1"/>
    <col min="7439" max="7439" width="13.42578125" style="77" bestFit="1" customWidth="1"/>
    <col min="7440" max="7440" width="14.85546875" style="77" customWidth="1"/>
    <col min="7441" max="7441" width="16.5703125" style="77" customWidth="1"/>
    <col min="7442" max="7442" width="10.5703125" style="77" customWidth="1"/>
    <col min="7443" max="7443" width="12.42578125" style="77" bestFit="1" customWidth="1"/>
    <col min="7444" max="7444" width="15" style="77" bestFit="1" customWidth="1"/>
    <col min="7445" max="7446" width="18.28515625" style="77" bestFit="1" customWidth="1"/>
    <col min="7447" max="7447" width="17.42578125" style="77" bestFit="1" customWidth="1"/>
    <col min="7448" max="7448" width="12.85546875" style="77" bestFit="1" customWidth="1"/>
    <col min="7449" max="7449" width="12.28515625" style="77" bestFit="1" customWidth="1"/>
    <col min="7450" max="7677" width="9.140625" style="77"/>
    <col min="7678" max="7679" width="10" style="77" customWidth="1"/>
    <col min="7680" max="7680" width="7" style="77" customWidth="1"/>
    <col min="7681" max="7681" width="24" style="77" customWidth="1"/>
    <col min="7682" max="7682" width="12.85546875" style="77" customWidth="1"/>
    <col min="7683" max="7684" width="13.140625" style="77" customWidth="1"/>
    <col min="7685" max="7685" width="9.140625" style="77"/>
    <col min="7686" max="7686" width="12.85546875" style="77" customWidth="1"/>
    <col min="7687" max="7687" width="9.140625" style="77"/>
    <col min="7688" max="7688" width="12.140625" style="77" customWidth="1"/>
    <col min="7689" max="7689" width="13" style="77" customWidth="1"/>
    <col min="7690" max="7690" width="11.7109375" style="77" customWidth="1"/>
    <col min="7691" max="7691" width="11.28515625" style="77" customWidth="1"/>
    <col min="7692" max="7692" width="14.85546875" style="77" customWidth="1"/>
    <col min="7693" max="7693" width="16.42578125" style="77" customWidth="1"/>
    <col min="7694" max="7694" width="14.85546875" style="77" customWidth="1"/>
    <col min="7695" max="7695" width="13.42578125" style="77" bestFit="1" customWidth="1"/>
    <col min="7696" max="7696" width="14.85546875" style="77" customWidth="1"/>
    <col min="7697" max="7697" width="16.5703125" style="77" customWidth="1"/>
    <col min="7698" max="7698" width="10.5703125" style="77" customWidth="1"/>
    <col min="7699" max="7699" width="12.42578125" style="77" bestFit="1" customWidth="1"/>
    <col min="7700" max="7700" width="15" style="77" bestFit="1" customWidth="1"/>
    <col min="7701" max="7702" width="18.28515625" style="77" bestFit="1" customWidth="1"/>
    <col min="7703" max="7703" width="17.42578125" style="77" bestFit="1" customWidth="1"/>
    <col min="7704" max="7704" width="12.85546875" style="77" bestFit="1" customWidth="1"/>
    <col min="7705" max="7705" width="12.28515625" style="77" bestFit="1" customWidth="1"/>
    <col min="7706" max="7933" width="9.140625" style="77"/>
    <col min="7934" max="7935" width="10" style="77" customWidth="1"/>
    <col min="7936" max="7936" width="7" style="77" customWidth="1"/>
    <col min="7937" max="7937" width="24" style="77" customWidth="1"/>
    <col min="7938" max="7938" width="12.85546875" style="77" customWidth="1"/>
    <col min="7939" max="7940" width="13.140625" style="77" customWidth="1"/>
    <col min="7941" max="7941" width="9.140625" style="77"/>
    <col min="7942" max="7942" width="12.85546875" style="77" customWidth="1"/>
    <col min="7943" max="7943" width="9.140625" style="77"/>
    <col min="7944" max="7944" width="12.140625" style="77" customWidth="1"/>
    <col min="7945" max="7945" width="13" style="77" customWidth="1"/>
    <col min="7946" max="7946" width="11.7109375" style="77" customWidth="1"/>
    <col min="7947" max="7947" width="11.28515625" style="77" customWidth="1"/>
    <col min="7948" max="7948" width="14.85546875" style="77" customWidth="1"/>
    <col min="7949" max="7949" width="16.42578125" style="77" customWidth="1"/>
    <col min="7950" max="7950" width="14.85546875" style="77" customWidth="1"/>
    <col min="7951" max="7951" width="13.42578125" style="77" bestFit="1" customWidth="1"/>
    <col min="7952" max="7952" width="14.85546875" style="77" customWidth="1"/>
    <col min="7953" max="7953" width="16.5703125" style="77" customWidth="1"/>
    <col min="7954" max="7954" width="10.5703125" style="77" customWidth="1"/>
    <col min="7955" max="7955" width="12.42578125" style="77" bestFit="1" customWidth="1"/>
    <col min="7956" max="7956" width="15" style="77" bestFit="1" customWidth="1"/>
    <col min="7957" max="7958" width="18.28515625" style="77" bestFit="1" customWidth="1"/>
    <col min="7959" max="7959" width="17.42578125" style="77" bestFit="1" customWidth="1"/>
    <col min="7960" max="7960" width="12.85546875" style="77" bestFit="1" customWidth="1"/>
    <col min="7961" max="7961" width="12.28515625" style="77" bestFit="1" customWidth="1"/>
    <col min="7962" max="8189" width="9.140625" style="77"/>
    <col min="8190" max="8191" width="10" style="77" customWidth="1"/>
    <col min="8192" max="8192" width="7" style="77" customWidth="1"/>
    <col min="8193" max="8193" width="24" style="77" customWidth="1"/>
    <col min="8194" max="8194" width="12.85546875" style="77" customWidth="1"/>
    <col min="8195" max="8196" width="13.140625" style="77" customWidth="1"/>
    <col min="8197" max="8197" width="9.140625" style="77"/>
    <col min="8198" max="8198" width="12.85546875" style="77" customWidth="1"/>
    <col min="8199" max="8199" width="9.140625" style="77"/>
    <col min="8200" max="8200" width="12.140625" style="77" customWidth="1"/>
    <col min="8201" max="8201" width="13" style="77" customWidth="1"/>
    <col min="8202" max="8202" width="11.7109375" style="77" customWidth="1"/>
    <col min="8203" max="8203" width="11.28515625" style="77" customWidth="1"/>
    <col min="8204" max="8204" width="14.85546875" style="77" customWidth="1"/>
    <col min="8205" max="8205" width="16.42578125" style="77" customWidth="1"/>
    <col min="8206" max="8206" width="14.85546875" style="77" customWidth="1"/>
    <col min="8207" max="8207" width="13.42578125" style="77" bestFit="1" customWidth="1"/>
    <col min="8208" max="8208" width="14.85546875" style="77" customWidth="1"/>
    <col min="8209" max="8209" width="16.5703125" style="77" customWidth="1"/>
    <col min="8210" max="8210" width="10.5703125" style="77" customWidth="1"/>
    <col min="8211" max="8211" width="12.42578125" style="77" bestFit="1" customWidth="1"/>
    <col min="8212" max="8212" width="15" style="77" bestFit="1" customWidth="1"/>
    <col min="8213" max="8214" width="18.28515625" style="77" bestFit="1" customWidth="1"/>
    <col min="8215" max="8215" width="17.42578125" style="77" bestFit="1" customWidth="1"/>
    <col min="8216" max="8216" width="12.85546875" style="77" bestFit="1" customWidth="1"/>
    <col min="8217" max="8217" width="12.28515625" style="77" bestFit="1" customWidth="1"/>
    <col min="8218" max="8445" width="9.140625" style="77"/>
    <col min="8446" max="8447" width="10" style="77" customWidth="1"/>
    <col min="8448" max="8448" width="7" style="77" customWidth="1"/>
    <col min="8449" max="8449" width="24" style="77" customWidth="1"/>
    <col min="8450" max="8450" width="12.85546875" style="77" customWidth="1"/>
    <col min="8451" max="8452" width="13.140625" style="77" customWidth="1"/>
    <col min="8453" max="8453" width="9.140625" style="77"/>
    <col min="8454" max="8454" width="12.85546875" style="77" customWidth="1"/>
    <col min="8455" max="8455" width="9.140625" style="77"/>
    <col min="8456" max="8456" width="12.140625" style="77" customWidth="1"/>
    <col min="8457" max="8457" width="13" style="77" customWidth="1"/>
    <col min="8458" max="8458" width="11.7109375" style="77" customWidth="1"/>
    <col min="8459" max="8459" width="11.28515625" style="77" customWidth="1"/>
    <col min="8460" max="8460" width="14.85546875" style="77" customWidth="1"/>
    <col min="8461" max="8461" width="16.42578125" style="77" customWidth="1"/>
    <col min="8462" max="8462" width="14.85546875" style="77" customWidth="1"/>
    <col min="8463" max="8463" width="13.42578125" style="77" bestFit="1" customWidth="1"/>
    <col min="8464" max="8464" width="14.85546875" style="77" customWidth="1"/>
    <col min="8465" max="8465" width="16.5703125" style="77" customWidth="1"/>
    <col min="8466" max="8466" width="10.5703125" style="77" customWidth="1"/>
    <col min="8467" max="8467" width="12.42578125" style="77" bestFit="1" customWidth="1"/>
    <col min="8468" max="8468" width="15" style="77" bestFit="1" customWidth="1"/>
    <col min="8469" max="8470" width="18.28515625" style="77" bestFit="1" customWidth="1"/>
    <col min="8471" max="8471" width="17.42578125" style="77" bestFit="1" customWidth="1"/>
    <col min="8472" max="8472" width="12.85546875" style="77" bestFit="1" customWidth="1"/>
    <col min="8473" max="8473" width="12.28515625" style="77" bestFit="1" customWidth="1"/>
    <col min="8474" max="8701" width="9.140625" style="77"/>
    <col min="8702" max="8703" width="10" style="77" customWidth="1"/>
    <col min="8704" max="8704" width="7" style="77" customWidth="1"/>
    <col min="8705" max="8705" width="24" style="77" customWidth="1"/>
    <col min="8706" max="8706" width="12.85546875" style="77" customWidth="1"/>
    <col min="8707" max="8708" width="13.140625" style="77" customWidth="1"/>
    <col min="8709" max="8709" width="9.140625" style="77"/>
    <col min="8710" max="8710" width="12.85546875" style="77" customWidth="1"/>
    <col min="8711" max="8711" width="9.140625" style="77"/>
    <col min="8712" max="8712" width="12.140625" style="77" customWidth="1"/>
    <col min="8713" max="8713" width="13" style="77" customWidth="1"/>
    <col min="8714" max="8714" width="11.7109375" style="77" customWidth="1"/>
    <col min="8715" max="8715" width="11.28515625" style="77" customWidth="1"/>
    <col min="8716" max="8716" width="14.85546875" style="77" customWidth="1"/>
    <col min="8717" max="8717" width="16.42578125" style="77" customWidth="1"/>
    <col min="8718" max="8718" width="14.85546875" style="77" customWidth="1"/>
    <col min="8719" max="8719" width="13.42578125" style="77" bestFit="1" customWidth="1"/>
    <col min="8720" max="8720" width="14.85546875" style="77" customWidth="1"/>
    <col min="8721" max="8721" width="16.5703125" style="77" customWidth="1"/>
    <col min="8722" max="8722" width="10.5703125" style="77" customWidth="1"/>
    <col min="8723" max="8723" width="12.42578125" style="77" bestFit="1" customWidth="1"/>
    <col min="8724" max="8724" width="15" style="77" bestFit="1" customWidth="1"/>
    <col min="8725" max="8726" width="18.28515625" style="77" bestFit="1" customWidth="1"/>
    <col min="8727" max="8727" width="17.42578125" style="77" bestFit="1" customWidth="1"/>
    <col min="8728" max="8728" width="12.85546875" style="77" bestFit="1" customWidth="1"/>
    <col min="8729" max="8729" width="12.28515625" style="77" bestFit="1" customWidth="1"/>
    <col min="8730" max="8957" width="9.140625" style="77"/>
    <col min="8958" max="8959" width="10" style="77" customWidth="1"/>
    <col min="8960" max="8960" width="7" style="77" customWidth="1"/>
    <col min="8961" max="8961" width="24" style="77" customWidth="1"/>
    <col min="8962" max="8962" width="12.85546875" style="77" customWidth="1"/>
    <col min="8963" max="8964" width="13.140625" style="77" customWidth="1"/>
    <col min="8965" max="8965" width="9.140625" style="77"/>
    <col min="8966" max="8966" width="12.85546875" style="77" customWidth="1"/>
    <col min="8967" max="8967" width="9.140625" style="77"/>
    <col min="8968" max="8968" width="12.140625" style="77" customWidth="1"/>
    <col min="8969" max="8969" width="13" style="77" customWidth="1"/>
    <col min="8970" max="8970" width="11.7109375" style="77" customWidth="1"/>
    <col min="8971" max="8971" width="11.28515625" style="77" customWidth="1"/>
    <col min="8972" max="8972" width="14.85546875" style="77" customWidth="1"/>
    <col min="8973" max="8973" width="16.42578125" style="77" customWidth="1"/>
    <col min="8974" max="8974" width="14.85546875" style="77" customWidth="1"/>
    <col min="8975" max="8975" width="13.42578125" style="77" bestFit="1" customWidth="1"/>
    <col min="8976" max="8976" width="14.85546875" style="77" customWidth="1"/>
    <col min="8977" max="8977" width="16.5703125" style="77" customWidth="1"/>
    <col min="8978" max="8978" width="10.5703125" style="77" customWidth="1"/>
    <col min="8979" max="8979" width="12.42578125" style="77" bestFit="1" customWidth="1"/>
    <col min="8980" max="8980" width="15" style="77" bestFit="1" customWidth="1"/>
    <col min="8981" max="8982" width="18.28515625" style="77" bestFit="1" customWidth="1"/>
    <col min="8983" max="8983" width="17.42578125" style="77" bestFit="1" customWidth="1"/>
    <col min="8984" max="8984" width="12.85546875" style="77" bestFit="1" customWidth="1"/>
    <col min="8985" max="8985" width="12.28515625" style="77" bestFit="1" customWidth="1"/>
    <col min="8986" max="9213" width="9.140625" style="77"/>
    <col min="9214" max="9215" width="10" style="77" customWidth="1"/>
    <col min="9216" max="9216" width="7" style="77" customWidth="1"/>
    <col min="9217" max="9217" width="24" style="77" customWidth="1"/>
    <col min="9218" max="9218" width="12.85546875" style="77" customWidth="1"/>
    <col min="9219" max="9220" width="13.140625" style="77" customWidth="1"/>
    <col min="9221" max="9221" width="9.140625" style="77"/>
    <col min="9222" max="9222" width="12.85546875" style="77" customWidth="1"/>
    <col min="9223" max="9223" width="9.140625" style="77"/>
    <col min="9224" max="9224" width="12.140625" style="77" customWidth="1"/>
    <col min="9225" max="9225" width="13" style="77" customWidth="1"/>
    <col min="9226" max="9226" width="11.7109375" style="77" customWidth="1"/>
    <col min="9227" max="9227" width="11.28515625" style="77" customWidth="1"/>
    <col min="9228" max="9228" width="14.85546875" style="77" customWidth="1"/>
    <col min="9229" max="9229" width="16.42578125" style="77" customWidth="1"/>
    <col min="9230" max="9230" width="14.85546875" style="77" customWidth="1"/>
    <col min="9231" max="9231" width="13.42578125" style="77" bestFit="1" customWidth="1"/>
    <col min="9232" max="9232" width="14.85546875" style="77" customWidth="1"/>
    <col min="9233" max="9233" width="16.5703125" style="77" customWidth="1"/>
    <col min="9234" max="9234" width="10.5703125" style="77" customWidth="1"/>
    <col min="9235" max="9235" width="12.42578125" style="77" bestFit="1" customWidth="1"/>
    <col min="9236" max="9236" width="15" style="77" bestFit="1" customWidth="1"/>
    <col min="9237" max="9238" width="18.28515625" style="77" bestFit="1" customWidth="1"/>
    <col min="9239" max="9239" width="17.42578125" style="77" bestFit="1" customWidth="1"/>
    <col min="9240" max="9240" width="12.85546875" style="77" bestFit="1" customWidth="1"/>
    <col min="9241" max="9241" width="12.28515625" style="77" bestFit="1" customWidth="1"/>
    <col min="9242" max="9469" width="9.140625" style="77"/>
    <col min="9470" max="9471" width="10" style="77" customWidth="1"/>
    <col min="9472" max="9472" width="7" style="77" customWidth="1"/>
    <col min="9473" max="9473" width="24" style="77" customWidth="1"/>
    <col min="9474" max="9474" width="12.85546875" style="77" customWidth="1"/>
    <col min="9475" max="9476" width="13.140625" style="77" customWidth="1"/>
    <col min="9477" max="9477" width="9.140625" style="77"/>
    <col min="9478" max="9478" width="12.85546875" style="77" customWidth="1"/>
    <col min="9479" max="9479" width="9.140625" style="77"/>
    <col min="9480" max="9480" width="12.140625" style="77" customWidth="1"/>
    <col min="9481" max="9481" width="13" style="77" customWidth="1"/>
    <col min="9482" max="9482" width="11.7109375" style="77" customWidth="1"/>
    <col min="9483" max="9483" width="11.28515625" style="77" customWidth="1"/>
    <col min="9484" max="9484" width="14.85546875" style="77" customWidth="1"/>
    <col min="9485" max="9485" width="16.42578125" style="77" customWidth="1"/>
    <col min="9486" max="9486" width="14.85546875" style="77" customWidth="1"/>
    <col min="9487" max="9487" width="13.42578125" style="77" bestFit="1" customWidth="1"/>
    <col min="9488" max="9488" width="14.85546875" style="77" customWidth="1"/>
    <col min="9489" max="9489" width="16.5703125" style="77" customWidth="1"/>
    <col min="9490" max="9490" width="10.5703125" style="77" customWidth="1"/>
    <col min="9491" max="9491" width="12.42578125" style="77" bestFit="1" customWidth="1"/>
    <col min="9492" max="9492" width="15" style="77" bestFit="1" customWidth="1"/>
    <col min="9493" max="9494" width="18.28515625" style="77" bestFit="1" customWidth="1"/>
    <col min="9495" max="9495" width="17.42578125" style="77" bestFit="1" customWidth="1"/>
    <col min="9496" max="9496" width="12.85546875" style="77" bestFit="1" customWidth="1"/>
    <col min="9497" max="9497" width="12.28515625" style="77" bestFit="1" customWidth="1"/>
    <col min="9498" max="9725" width="9.140625" style="77"/>
    <col min="9726" max="9727" width="10" style="77" customWidth="1"/>
    <col min="9728" max="9728" width="7" style="77" customWidth="1"/>
    <col min="9729" max="9729" width="24" style="77" customWidth="1"/>
    <col min="9730" max="9730" width="12.85546875" style="77" customWidth="1"/>
    <col min="9731" max="9732" width="13.140625" style="77" customWidth="1"/>
    <col min="9733" max="9733" width="9.140625" style="77"/>
    <col min="9734" max="9734" width="12.85546875" style="77" customWidth="1"/>
    <col min="9735" max="9735" width="9.140625" style="77"/>
    <col min="9736" max="9736" width="12.140625" style="77" customWidth="1"/>
    <col min="9737" max="9737" width="13" style="77" customWidth="1"/>
    <col min="9738" max="9738" width="11.7109375" style="77" customWidth="1"/>
    <col min="9739" max="9739" width="11.28515625" style="77" customWidth="1"/>
    <col min="9740" max="9740" width="14.85546875" style="77" customWidth="1"/>
    <col min="9741" max="9741" width="16.42578125" style="77" customWidth="1"/>
    <col min="9742" max="9742" width="14.85546875" style="77" customWidth="1"/>
    <col min="9743" max="9743" width="13.42578125" style="77" bestFit="1" customWidth="1"/>
    <col min="9744" max="9744" width="14.85546875" style="77" customWidth="1"/>
    <col min="9745" max="9745" width="16.5703125" style="77" customWidth="1"/>
    <col min="9746" max="9746" width="10.5703125" style="77" customWidth="1"/>
    <col min="9747" max="9747" width="12.42578125" style="77" bestFit="1" customWidth="1"/>
    <col min="9748" max="9748" width="15" style="77" bestFit="1" customWidth="1"/>
    <col min="9749" max="9750" width="18.28515625" style="77" bestFit="1" customWidth="1"/>
    <col min="9751" max="9751" width="17.42578125" style="77" bestFit="1" customWidth="1"/>
    <col min="9752" max="9752" width="12.85546875" style="77" bestFit="1" customWidth="1"/>
    <col min="9753" max="9753" width="12.28515625" style="77" bestFit="1" customWidth="1"/>
    <col min="9754" max="9981" width="9.140625" style="77"/>
    <col min="9982" max="9983" width="10" style="77" customWidth="1"/>
    <col min="9984" max="9984" width="7" style="77" customWidth="1"/>
    <col min="9985" max="9985" width="24" style="77" customWidth="1"/>
    <col min="9986" max="9986" width="12.85546875" style="77" customWidth="1"/>
    <col min="9987" max="9988" width="13.140625" style="77" customWidth="1"/>
    <col min="9989" max="9989" width="9.140625" style="77"/>
    <col min="9990" max="9990" width="12.85546875" style="77" customWidth="1"/>
    <col min="9991" max="9991" width="9.140625" style="77"/>
    <col min="9992" max="9992" width="12.140625" style="77" customWidth="1"/>
    <col min="9993" max="9993" width="13" style="77" customWidth="1"/>
    <col min="9994" max="9994" width="11.7109375" style="77" customWidth="1"/>
    <col min="9995" max="9995" width="11.28515625" style="77" customWidth="1"/>
    <col min="9996" max="9996" width="14.85546875" style="77" customWidth="1"/>
    <col min="9997" max="9997" width="16.42578125" style="77" customWidth="1"/>
    <col min="9998" max="9998" width="14.85546875" style="77" customWidth="1"/>
    <col min="9999" max="9999" width="13.42578125" style="77" bestFit="1" customWidth="1"/>
    <col min="10000" max="10000" width="14.85546875" style="77" customWidth="1"/>
    <col min="10001" max="10001" width="16.5703125" style="77" customWidth="1"/>
    <col min="10002" max="10002" width="10.5703125" style="77" customWidth="1"/>
    <col min="10003" max="10003" width="12.42578125" style="77" bestFit="1" customWidth="1"/>
    <col min="10004" max="10004" width="15" style="77" bestFit="1" customWidth="1"/>
    <col min="10005" max="10006" width="18.28515625" style="77" bestFit="1" customWidth="1"/>
    <col min="10007" max="10007" width="17.42578125" style="77" bestFit="1" customWidth="1"/>
    <col min="10008" max="10008" width="12.85546875" style="77" bestFit="1" customWidth="1"/>
    <col min="10009" max="10009" width="12.28515625" style="77" bestFit="1" customWidth="1"/>
    <col min="10010" max="10237" width="9.140625" style="77"/>
    <col min="10238" max="10239" width="10" style="77" customWidth="1"/>
    <col min="10240" max="10240" width="7" style="77" customWidth="1"/>
    <col min="10241" max="10241" width="24" style="77" customWidth="1"/>
    <col min="10242" max="10242" width="12.85546875" style="77" customWidth="1"/>
    <col min="10243" max="10244" width="13.140625" style="77" customWidth="1"/>
    <col min="10245" max="10245" width="9.140625" style="77"/>
    <col min="10246" max="10246" width="12.85546875" style="77" customWidth="1"/>
    <col min="10247" max="10247" width="9.140625" style="77"/>
    <col min="10248" max="10248" width="12.140625" style="77" customWidth="1"/>
    <col min="10249" max="10249" width="13" style="77" customWidth="1"/>
    <col min="10250" max="10250" width="11.7109375" style="77" customWidth="1"/>
    <col min="10251" max="10251" width="11.28515625" style="77" customWidth="1"/>
    <col min="10252" max="10252" width="14.85546875" style="77" customWidth="1"/>
    <col min="10253" max="10253" width="16.42578125" style="77" customWidth="1"/>
    <col min="10254" max="10254" width="14.85546875" style="77" customWidth="1"/>
    <col min="10255" max="10255" width="13.42578125" style="77" bestFit="1" customWidth="1"/>
    <col min="10256" max="10256" width="14.85546875" style="77" customWidth="1"/>
    <col min="10257" max="10257" width="16.5703125" style="77" customWidth="1"/>
    <col min="10258" max="10258" width="10.5703125" style="77" customWidth="1"/>
    <col min="10259" max="10259" width="12.42578125" style="77" bestFit="1" customWidth="1"/>
    <col min="10260" max="10260" width="15" style="77" bestFit="1" customWidth="1"/>
    <col min="10261" max="10262" width="18.28515625" style="77" bestFit="1" customWidth="1"/>
    <col min="10263" max="10263" width="17.42578125" style="77" bestFit="1" customWidth="1"/>
    <col min="10264" max="10264" width="12.85546875" style="77" bestFit="1" customWidth="1"/>
    <col min="10265" max="10265" width="12.28515625" style="77" bestFit="1" customWidth="1"/>
    <col min="10266" max="10493" width="9.140625" style="77"/>
    <col min="10494" max="10495" width="10" style="77" customWidth="1"/>
    <col min="10496" max="10496" width="7" style="77" customWidth="1"/>
    <col min="10497" max="10497" width="24" style="77" customWidth="1"/>
    <col min="10498" max="10498" width="12.85546875" style="77" customWidth="1"/>
    <col min="10499" max="10500" width="13.140625" style="77" customWidth="1"/>
    <col min="10501" max="10501" width="9.140625" style="77"/>
    <col min="10502" max="10502" width="12.85546875" style="77" customWidth="1"/>
    <col min="10503" max="10503" width="9.140625" style="77"/>
    <col min="10504" max="10504" width="12.140625" style="77" customWidth="1"/>
    <col min="10505" max="10505" width="13" style="77" customWidth="1"/>
    <col min="10506" max="10506" width="11.7109375" style="77" customWidth="1"/>
    <col min="10507" max="10507" width="11.28515625" style="77" customWidth="1"/>
    <col min="10508" max="10508" width="14.85546875" style="77" customWidth="1"/>
    <col min="10509" max="10509" width="16.42578125" style="77" customWidth="1"/>
    <col min="10510" max="10510" width="14.85546875" style="77" customWidth="1"/>
    <col min="10511" max="10511" width="13.42578125" style="77" bestFit="1" customWidth="1"/>
    <col min="10512" max="10512" width="14.85546875" style="77" customWidth="1"/>
    <col min="10513" max="10513" width="16.5703125" style="77" customWidth="1"/>
    <col min="10514" max="10514" width="10.5703125" style="77" customWidth="1"/>
    <col min="10515" max="10515" width="12.42578125" style="77" bestFit="1" customWidth="1"/>
    <col min="10516" max="10516" width="15" style="77" bestFit="1" customWidth="1"/>
    <col min="10517" max="10518" width="18.28515625" style="77" bestFit="1" customWidth="1"/>
    <col min="10519" max="10519" width="17.42578125" style="77" bestFit="1" customWidth="1"/>
    <col min="10520" max="10520" width="12.85546875" style="77" bestFit="1" customWidth="1"/>
    <col min="10521" max="10521" width="12.28515625" style="77" bestFit="1" customWidth="1"/>
    <col min="10522" max="10749" width="9.140625" style="77"/>
    <col min="10750" max="10751" width="10" style="77" customWidth="1"/>
    <col min="10752" max="10752" width="7" style="77" customWidth="1"/>
    <col min="10753" max="10753" width="24" style="77" customWidth="1"/>
    <col min="10754" max="10754" width="12.85546875" style="77" customWidth="1"/>
    <col min="10755" max="10756" width="13.140625" style="77" customWidth="1"/>
    <col min="10757" max="10757" width="9.140625" style="77"/>
    <col min="10758" max="10758" width="12.85546875" style="77" customWidth="1"/>
    <col min="10759" max="10759" width="9.140625" style="77"/>
    <col min="10760" max="10760" width="12.140625" style="77" customWidth="1"/>
    <col min="10761" max="10761" width="13" style="77" customWidth="1"/>
    <col min="10762" max="10762" width="11.7109375" style="77" customWidth="1"/>
    <col min="10763" max="10763" width="11.28515625" style="77" customWidth="1"/>
    <col min="10764" max="10764" width="14.85546875" style="77" customWidth="1"/>
    <col min="10765" max="10765" width="16.42578125" style="77" customWidth="1"/>
    <col min="10766" max="10766" width="14.85546875" style="77" customWidth="1"/>
    <col min="10767" max="10767" width="13.42578125" style="77" bestFit="1" customWidth="1"/>
    <col min="10768" max="10768" width="14.85546875" style="77" customWidth="1"/>
    <col min="10769" max="10769" width="16.5703125" style="77" customWidth="1"/>
    <col min="10770" max="10770" width="10.5703125" style="77" customWidth="1"/>
    <col min="10771" max="10771" width="12.42578125" style="77" bestFit="1" customWidth="1"/>
    <col min="10772" max="10772" width="15" style="77" bestFit="1" customWidth="1"/>
    <col min="10773" max="10774" width="18.28515625" style="77" bestFit="1" customWidth="1"/>
    <col min="10775" max="10775" width="17.42578125" style="77" bestFit="1" customWidth="1"/>
    <col min="10776" max="10776" width="12.85546875" style="77" bestFit="1" customWidth="1"/>
    <col min="10777" max="10777" width="12.28515625" style="77" bestFit="1" customWidth="1"/>
    <col min="10778" max="11005" width="9.140625" style="77"/>
    <col min="11006" max="11007" width="10" style="77" customWidth="1"/>
    <col min="11008" max="11008" width="7" style="77" customWidth="1"/>
    <col min="11009" max="11009" width="24" style="77" customWidth="1"/>
    <col min="11010" max="11010" width="12.85546875" style="77" customWidth="1"/>
    <col min="11011" max="11012" width="13.140625" style="77" customWidth="1"/>
    <col min="11013" max="11013" width="9.140625" style="77"/>
    <col min="11014" max="11014" width="12.85546875" style="77" customWidth="1"/>
    <col min="11015" max="11015" width="9.140625" style="77"/>
    <col min="11016" max="11016" width="12.140625" style="77" customWidth="1"/>
    <col min="11017" max="11017" width="13" style="77" customWidth="1"/>
    <col min="11018" max="11018" width="11.7109375" style="77" customWidth="1"/>
    <col min="11019" max="11019" width="11.28515625" style="77" customWidth="1"/>
    <col min="11020" max="11020" width="14.85546875" style="77" customWidth="1"/>
    <col min="11021" max="11021" width="16.42578125" style="77" customWidth="1"/>
    <col min="11022" max="11022" width="14.85546875" style="77" customWidth="1"/>
    <col min="11023" max="11023" width="13.42578125" style="77" bestFit="1" customWidth="1"/>
    <col min="11024" max="11024" width="14.85546875" style="77" customWidth="1"/>
    <col min="11025" max="11025" width="16.5703125" style="77" customWidth="1"/>
    <col min="11026" max="11026" width="10.5703125" style="77" customWidth="1"/>
    <col min="11027" max="11027" width="12.42578125" style="77" bestFit="1" customWidth="1"/>
    <col min="11028" max="11028" width="15" style="77" bestFit="1" customWidth="1"/>
    <col min="11029" max="11030" width="18.28515625" style="77" bestFit="1" customWidth="1"/>
    <col min="11031" max="11031" width="17.42578125" style="77" bestFit="1" customWidth="1"/>
    <col min="11032" max="11032" width="12.85546875" style="77" bestFit="1" customWidth="1"/>
    <col min="11033" max="11033" width="12.28515625" style="77" bestFit="1" customWidth="1"/>
    <col min="11034" max="11261" width="9.140625" style="77"/>
    <col min="11262" max="11263" width="10" style="77" customWidth="1"/>
    <col min="11264" max="11264" width="7" style="77" customWidth="1"/>
    <col min="11265" max="11265" width="24" style="77" customWidth="1"/>
    <col min="11266" max="11266" width="12.85546875" style="77" customWidth="1"/>
    <col min="11267" max="11268" width="13.140625" style="77" customWidth="1"/>
    <col min="11269" max="11269" width="9.140625" style="77"/>
    <col min="11270" max="11270" width="12.85546875" style="77" customWidth="1"/>
    <col min="11271" max="11271" width="9.140625" style="77"/>
    <col min="11272" max="11272" width="12.140625" style="77" customWidth="1"/>
    <col min="11273" max="11273" width="13" style="77" customWidth="1"/>
    <col min="11274" max="11274" width="11.7109375" style="77" customWidth="1"/>
    <col min="11275" max="11275" width="11.28515625" style="77" customWidth="1"/>
    <col min="11276" max="11276" width="14.85546875" style="77" customWidth="1"/>
    <col min="11277" max="11277" width="16.42578125" style="77" customWidth="1"/>
    <col min="11278" max="11278" width="14.85546875" style="77" customWidth="1"/>
    <col min="11279" max="11279" width="13.42578125" style="77" bestFit="1" customWidth="1"/>
    <col min="11280" max="11280" width="14.85546875" style="77" customWidth="1"/>
    <col min="11281" max="11281" width="16.5703125" style="77" customWidth="1"/>
    <col min="11282" max="11282" width="10.5703125" style="77" customWidth="1"/>
    <col min="11283" max="11283" width="12.42578125" style="77" bestFit="1" customWidth="1"/>
    <col min="11284" max="11284" width="15" style="77" bestFit="1" customWidth="1"/>
    <col min="11285" max="11286" width="18.28515625" style="77" bestFit="1" customWidth="1"/>
    <col min="11287" max="11287" width="17.42578125" style="77" bestFit="1" customWidth="1"/>
    <col min="11288" max="11288" width="12.85546875" style="77" bestFit="1" customWidth="1"/>
    <col min="11289" max="11289" width="12.28515625" style="77" bestFit="1" customWidth="1"/>
    <col min="11290" max="11517" width="9.140625" style="77"/>
    <col min="11518" max="11519" width="10" style="77" customWidth="1"/>
    <col min="11520" max="11520" width="7" style="77" customWidth="1"/>
    <col min="11521" max="11521" width="24" style="77" customWidth="1"/>
    <col min="11522" max="11522" width="12.85546875" style="77" customWidth="1"/>
    <col min="11523" max="11524" width="13.140625" style="77" customWidth="1"/>
    <col min="11525" max="11525" width="9.140625" style="77"/>
    <col min="11526" max="11526" width="12.85546875" style="77" customWidth="1"/>
    <col min="11527" max="11527" width="9.140625" style="77"/>
    <col min="11528" max="11528" width="12.140625" style="77" customWidth="1"/>
    <col min="11529" max="11529" width="13" style="77" customWidth="1"/>
    <col min="11530" max="11530" width="11.7109375" style="77" customWidth="1"/>
    <col min="11531" max="11531" width="11.28515625" style="77" customWidth="1"/>
    <col min="11532" max="11532" width="14.85546875" style="77" customWidth="1"/>
    <col min="11533" max="11533" width="16.42578125" style="77" customWidth="1"/>
    <col min="11534" max="11534" width="14.85546875" style="77" customWidth="1"/>
    <col min="11535" max="11535" width="13.42578125" style="77" bestFit="1" customWidth="1"/>
    <col min="11536" max="11536" width="14.85546875" style="77" customWidth="1"/>
    <col min="11537" max="11537" width="16.5703125" style="77" customWidth="1"/>
    <col min="11538" max="11538" width="10.5703125" style="77" customWidth="1"/>
    <col min="11539" max="11539" width="12.42578125" style="77" bestFit="1" customWidth="1"/>
    <col min="11540" max="11540" width="15" style="77" bestFit="1" customWidth="1"/>
    <col min="11541" max="11542" width="18.28515625" style="77" bestFit="1" customWidth="1"/>
    <col min="11543" max="11543" width="17.42578125" style="77" bestFit="1" customWidth="1"/>
    <col min="11544" max="11544" width="12.85546875" style="77" bestFit="1" customWidth="1"/>
    <col min="11545" max="11545" width="12.28515625" style="77" bestFit="1" customWidth="1"/>
    <col min="11546" max="11773" width="9.140625" style="77"/>
    <col min="11774" max="11775" width="10" style="77" customWidth="1"/>
    <col min="11776" max="11776" width="7" style="77" customWidth="1"/>
    <col min="11777" max="11777" width="24" style="77" customWidth="1"/>
    <col min="11778" max="11778" width="12.85546875" style="77" customWidth="1"/>
    <col min="11779" max="11780" width="13.140625" style="77" customWidth="1"/>
    <col min="11781" max="11781" width="9.140625" style="77"/>
    <col min="11782" max="11782" width="12.85546875" style="77" customWidth="1"/>
    <col min="11783" max="11783" width="9.140625" style="77"/>
    <col min="11784" max="11784" width="12.140625" style="77" customWidth="1"/>
    <col min="11785" max="11785" width="13" style="77" customWidth="1"/>
    <col min="11786" max="11786" width="11.7109375" style="77" customWidth="1"/>
    <col min="11787" max="11787" width="11.28515625" style="77" customWidth="1"/>
    <col min="11788" max="11788" width="14.85546875" style="77" customWidth="1"/>
    <col min="11789" max="11789" width="16.42578125" style="77" customWidth="1"/>
    <col min="11790" max="11790" width="14.85546875" style="77" customWidth="1"/>
    <col min="11791" max="11791" width="13.42578125" style="77" bestFit="1" customWidth="1"/>
    <col min="11792" max="11792" width="14.85546875" style="77" customWidth="1"/>
    <col min="11793" max="11793" width="16.5703125" style="77" customWidth="1"/>
    <col min="11794" max="11794" width="10.5703125" style="77" customWidth="1"/>
    <col min="11795" max="11795" width="12.42578125" style="77" bestFit="1" customWidth="1"/>
    <col min="11796" max="11796" width="15" style="77" bestFit="1" customWidth="1"/>
    <col min="11797" max="11798" width="18.28515625" style="77" bestFit="1" customWidth="1"/>
    <col min="11799" max="11799" width="17.42578125" style="77" bestFit="1" customWidth="1"/>
    <col min="11800" max="11800" width="12.85546875" style="77" bestFit="1" customWidth="1"/>
    <col min="11801" max="11801" width="12.28515625" style="77" bestFit="1" customWidth="1"/>
    <col min="11802" max="12029" width="9.140625" style="77"/>
    <col min="12030" max="12031" width="10" style="77" customWidth="1"/>
    <col min="12032" max="12032" width="7" style="77" customWidth="1"/>
    <col min="12033" max="12033" width="24" style="77" customWidth="1"/>
    <col min="12034" max="12034" width="12.85546875" style="77" customWidth="1"/>
    <col min="12035" max="12036" width="13.140625" style="77" customWidth="1"/>
    <col min="12037" max="12037" width="9.140625" style="77"/>
    <col min="12038" max="12038" width="12.85546875" style="77" customWidth="1"/>
    <col min="12039" max="12039" width="9.140625" style="77"/>
    <col min="12040" max="12040" width="12.140625" style="77" customWidth="1"/>
    <col min="12041" max="12041" width="13" style="77" customWidth="1"/>
    <col min="12042" max="12042" width="11.7109375" style="77" customWidth="1"/>
    <col min="12043" max="12043" width="11.28515625" style="77" customWidth="1"/>
    <col min="12044" max="12044" width="14.85546875" style="77" customWidth="1"/>
    <col min="12045" max="12045" width="16.42578125" style="77" customWidth="1"/>
    <col min="12046" max="12046" width="14.85546875" style="77" customWidth="1"/>
    <col min="12047" max="12047" width="13.42578125" style="77" bestFit="1" customWidth="1"/>
    <col min="12048" max="12048" width="14.85546875" style="77" customWidth="1"/>
    <col min="12049" max="12049" width="16.5703125" style="77" customWidth="1"/>
    <col min="12050" max="12050" width="10.5703125" style="77" customWidth="1"/>
    <col min="12051" max="12051" width="12.42578125" style="77" bestFit="1" customWidth="1"/>
    <col min="12052" max="12052" width="15" style="77" bestFit="1" customWidth="1"/>
    <col min="12053" max="12054" width="18.28515625" style="77" bestFit="1" customWidth="1"/>
    <col min="12055" max="12055" width="17.42578125" style="77" bestFit="1" customWidth="1"/>
    <col min="12056" max="12056" width="12.85546875" style="77" bestFit="1" customWidth="1"/>
    <col min="12057" max="12057" width="12.28515625" style="77" bestFit="1" customWidth="1"/>
    <col min="12058" max="12285" width="9.140625" style="77"/>
    <col min="12286" max="12287" width="10" style="77" customWidth="1"/>
    <col min="12288" max="12288" width="7" style="77" customWidth="1"/>
    <col min="12289" max="12289" width="24" style="77" customWidth="1"/>
    <col min="12290" max="12290" width="12.85546875" style="77" customWidth="1"/>
    <col min="12291" max="12292" width="13.140625" style="77" customWidth="1"/>
    <col min="12293" max="12293" width="9.140625" style="77"/>
    <col min="12294" max="12294" width="12.85546875" style="77" customWidth="1"/>
    <col min="12295" max="12295" width="9.140625" style="77"/>
    <col min="12296" max="12296" width="12.140625" style="77" customWidth="1"/>
    <col min="12297" max="12297" width="13" style="77" customWidth="1"/>
    <col min="12298" max="12298" width="11.7109375" style="77" customWidth="1"/>
    <col min="12299" max="12299" width="11.28515625" style="77" customWidth="1"/>
    <col min="12300" max="12300" width="14.85546875" style="77" customWidth="1"/>
    <col min="12301" max="12301" width="16.42578125" style="77" customWidth="1"/>
    <col min="12302" max="12302" width="14.85546875" style="77" customWidth="1"/>
    <col min="12303" max="12303" width="13.42578125" style="77" bestFit="1" customWidth="1"/>
    <col min="12304" max="12304" width="14.85546875" style="77" customWidth="1"/>
    <col min="12305" max="12305" width="16.5703125" style="77" customWidth="1"/>
    <col min="12306" max="12306" width="10.5703125" style="77" customWidth="1"/>
    <col min="12307" max="12307" width="12.42578125" style="77" bestFit="1" customWidth="1"/>
    <col min="12308" max="12308" width="15" style="77" bestFit="1" customWidth="1"/>
    <col min="12309" max="12310" width="18.28515625" style="77" bestFit="1" customWidth="1"/>
    <col min="12311" max="12311" width="17.42578125" style="77" bestFit="1" customWidth="1"/>
    <col min="12312" max="12312" width="12.85546875" style="77" bestFit="1" customWidth="1"/>
    <col min="12313" max="12313" width="12.28515625" style="77" bestFit="1" customWidth="1"/>
    <col min="12314" max="12541" width="9.140625" style="77"/>
    <col min="12542" max="12543" width="10" style="77" customWidth="1"/>
    <col min="12544" max="12544" width="7" style="77" customWidth="1"/>
    <col min="12545" max="12545" width="24" style="77" customWidth="1"/>
    <col min="12546" max="12546" width="12.85546875" style="77" customWidth="1"/>
    <col min="12547" max="12548" width="13.140625" style="77" customWidth="1"/>
    <col min="12549" max="12549" width="9.140625" style="77"/>
    <col min="12550" max="12550" width="12.85546875" style="77" customWidth="1"/>
    <col min="12551" max="12551" width="9.140625" style="77"/>
    <col min="12552" max="12552" width="12.140625" style="77" customWidth="1"/>
    <col min="12553" max="12553" width="13" style="77" customWidth="1"/>
    <col min="12554" max="12554" width="11.7109375" style="77" customWidth="1"/>
    <col min="12555" max="12555" width="11.28515625" style="77" customWidth="1"/>
    <col min="12556" max="12556" width="14.85546875" style="77" customWidth="1"/>
    <col min="12557" max="12557" width="16.42578125" style="77" customWidth="1"/>
    <col min="12558" max="12558" width="14.85546875" style="77" customWidth="1"/>
    <col min="12559" max="12559" width="13.42578125" style="77" bestFit="1" customWidth="1"/>
    <col min="12560" max="12560" width="14.85546875" style="77" customWidth="1"/>
    <col min="12561" max="12561" width="16.5703125" style="77" customWidth="1"/>
    <col min="12562" max="12562" width="10.5703125" style="77" customWidth="1"/>
    <col min="12563" max="12563" width="12.42578125" style="77" bestFit="1" customWidth="1"/>
    <col min="12564" max="12564" width="15" style="77" bestFit="1" customWidth="1"/>
    <col min="12565" max="12566" width="18.28515625" style="77" bestFit="1" customWidth="1"/>
    <col min="12567" max="12567" width="17.42578125" style="77" bestFit="1" customWidth="1"/>
    <col min="12568" max="12568" width="12.85546875" style="77" bestFit="1" customWidth="1"/>
    <col min="12569" max="12569" width="12.28515625" style="77" bestFit="1" customWidth="1"/>
    <col min="12570" max="12797" width="9.140625" style="77"/>
    <col min="12798" max="12799" width="10" style="77" customWidth="1"/>
    <col min="12800" max="12800" width="7" style="77" customWidth="1"/>
    <col min="12801" max="12801" width="24" style="77" customWidth="1"/>
    <col min="12802" max="12802" width="12.85546875" style="77" customWidth="1"/>
    <col min="12803" max="12804" width="13.140625" style="77" customWidth="1"/>
    <col min="12805" max="12805" width="9.140625" style="77"/>
    <col min="12806" max="12806" width="12.85546875" style="77" customWidth="1"/>
    <col min="12807" max="12807" width="9.140625" style="77"/>
    <col min="12808" max="12808" width="12.140625" style="77" customWidth="1"/>
    <col min="12809" max="12809" width="13" style="77" customWidth="1"/>
    <col min="12810" max="12810" width="11.7109375" style="77" customWidth="1"/>
    <col min="12811" max="12811" width="11.28515625" style="77" customWidth="1"/>
    <col min="12812" max="12812" width="14.85546875" style="77" customWidth="1"/>
    <col min="12813" max="12813" width="16.42578125" style="77" customWidth="1"/>
    <col min="12814" max="12814" width="14.85546875" style="77" customWidth="1"/>
    <col min="12815" max="12815" width="13.42578125" style="77" bestFit="1" customWidth="1"/>
    <col min="12816" max="12816" width="14.85546875" style="77" customWidth="1"/>
    <col min="12817" max="12817" width="16.5703125" style="77" customWidth="1"/>
    <col min="12818" max="12818" width="10.5703125" style="77" customWidth="1"/>
    <col min="12819" max="12819" width="12.42578125" style="77" bestFit="1" customWidth="1"/>
    <col min="12820" max="12820" width="15" style="77" bestFit="1" customWidth="1"/>
    <col min="12821" max="12822" width="18.28515625" style="77" bestFit="1" customWidth="1"/>
    <col min="12823" max="12823" width="17.42578125" style="77" bestFit="1" customWidth="1"/>
    <col min="12824" max="12824" width="12.85546875" style="77" bestFit="1" customWidth="1"/>
    <col min="12825" max="12825" width="12.28515625" style="77" bestFit="1" customWidth="1"/>
    <col min="12826" max="13053" width="9.140625" style="77"/>
    <col min="13054" max="13055" width="10" style="77" customWidth="1"/>
    <col min="13056" max="13056" width="7" style="77" customWidth="1"/>
    <col min="13057" max="13057" width="24" style="77" customWidth="1"/>
    <col min="13058" max="13058" width="12.85546875" style="77" customWidth="1"/>
    <col min="13059" max="13060" width="13.140625" style="77" customWidth="1"/>
    <col min="13061" max="13061" width="9.140625" style="77"/>
    <col min="13062" max="13062" width="12.85546875" style="77" customWidth="1"/>
    <col min="13063" max="13063" width="9.140625" style="77"/>
    <col min="13064" max="13064" width="12.140625" style="77" customWidth="1"/>
    <col min="13065" max="13065" width="13" style="77" customWidth="1"/>
    <col min="13066" max="13066" width="11.7109375" style="77" customWidth="1"/>
    <col min="13067" max="13067" width="11.28515625" style="77" customWidth="1"/>
    <col min="13068" max="13068" width="14.85546875" style="77" customWidth="1"/>
    <col min="13069" max="13069" width="16.42578125" style="77" customWidth="1"/>
    <col min="13070" max="13070" width="14.85546875" style="77" customWidth="1"/>
    <col min="13071" max="13071" width="13.42578125" style="77" bestFit="1" customWidth="1"/>
    <col min="13072" max="13072" width="14.85546875" style="77" customWidth="1"/>
    <col min="13073" max="13073" width="16.5703125" style="77" customWidth="1"/>
    <col min="13074" max="13074" width="10.5703125" style="77" customWidth="1"/>
    <col min="13075" max="13075" width="12.42578125" style="77" bestFit="1" customWidth="1"/>
    <col min="13076" max="13076" width="15" style="77" bestFit="1" customWidth="1"/>
    <col min="13077" max="13078" width="18.28515625" style="77" bestFit="1" customWidth="1"/>
    <col min="13079" max="13079" width="17.42578125" style="77" bestFit="1" customWidth="1"/>
    <col min="13080" max="13080" width="12.85546875" style="77" bestFit="1" customWidth="1"/>
    <col min="13081" max="13081" width="12.28515625" style="77" bestFit="1" customWidth="1"/>
    <col min="13082" max="13309" width="9.140625" style="77"/>
    <col min="13310" max="13311" width="10" style="77" customWidth="1"/>
    <col min="13312" max="13312" width="7" style="77" customWidth="1"/>
    <col min="13313" max="13313" width="24" style="77" customWidth="1"/>
    <col min="13314" max="13314" width="12.85546875" style="77" customWidth="1"/>
    <col min="13315" max="13316" width="13.140625" style="77" customWidth="1"/>
    <col min="13317" max="13317" width="9.140625" style="77"/>
    <col min="13318" max="13318" width="12.85546875" style="77" customWidth="1"/>
    <col min="13319" max="13319" width="9.140625" style="77"/>
    <col min="13320" max="13320" width="12.140625" style="77" customWidth="1"/>
    <col min="13321" max="13321" width="13" style="77" customWidth="1"/>
    <col min="13322" max="13322" width="11.7109375" style="77" customWidth="1"/>
    <col min="13323" max="13323" width="11.28515625" style="77" customWidth="1"/>
    <col min="13324" max="13324" width="14.85546875" style="77" customWidth="1"/>
    <col min="13325" max="13325" width="16.42578125" style="77" customWidth="1"/>
    <col min="13326" max="13326" width="14.85546875" style="77" customWidth="1"/>
    <col min="13327" max="13327" width="13.42578125" style="77" bestFit="1" customWidth="1"/>
    <col min="13328" max="13328" width="14.85546875" style="77" customWidth="1"/>
    <col min="13329" max="13329" width="16.5703125" style="77" customWidth="1"/>
    <col min="13330" max="13330" width="10.5703125" style="77" customWidth="1"/>
    <col min="13331" max="13331" width="12.42578125" style="77" bestFit="1" customWidth="1"/>
    <col min="13332" max="13332" width="15" style="77" bestFit="1" customWidth="1"/>
    <col min="13333" max="13334" width="18.28515625" style="77" bestFit="1" customWidth="1"/>
    <col min="13335" max="13335" width="17.42578125" style="77" bestFit="1" customWidth="1"/>
    <col min="13336" max="13336" width="12.85546875" style="77" bestFit="1" customWidth="1"/>
    <col min="13337" max="13337" width="12.28515625" style="77" bestFit="1" customWidth="1"/>
    <col min="13338" max="13565" width="9.140625" style="77"/>
    <col min="13566" max="13567" width="10" style="77" customWidth="1"/>
    <col min="13568" max="13568" width="7" style="77" customWidth="1"/>
    <col min="13569" max="13569" width="24" style="77" customWidth="1"/>
    <col min="13570" max="13570" width="12.85546875" style="77" customWidth="1"/>
    <col min="13571" max="13572" width="13.140625" style="77" customWidth="1"/>
    <col min="13573" max="13573" width="9.140625" style="77"/>
    <col min="13574" max="13574" width="12.85546875" style="77" customWidth="1"/>
    <col min="13575" max="13575" width="9.140625" style="77"/>
    <col min="13576" max="13576" width="12.140625" style="77" customWidth="1"/>
    <col min="13577" max="13577" width="13" style="77" customWidth="1"/>
    <col min="13578" max="13578" width="11.7109375" style="77" customWidth="1"/>
    <col min="13579" max="13579" width="11.28515625" style="77" customWidth="1"/>
    <col min="13580" max="13580" width="14.85546875" style="77" customWidth="1"/>
    <col min="13581" max="13581" width="16.42578125" style="77" customWidth="1"/>
    <col min="13582" max="13582" width="14.85546875" style="77" customWidth="1"/>
    <col min="13583" max="13583" width="13.42578125" style="77" bestFit="1" customWidth="1"/>
    <col min="13584" max="13584" width="14.85546875" style="77" customWidth="1"/>
    <col min="13585" max="13585" width="16.5703125" style="77" customWidth="1"/>
    <col min="13586" max="13586" width="10.5703125" style="77" customWidth="1"/>
    <col min="13587" max="13587" width="12.42578125" style="77" bestFit="1" customWidth="1"/>
    <col min="13588" max="13588" width="15" style="77" bestFit="1" customWidth="1"/>
    <col min="13589" max="13590" width="18.28515625" style="77" bestFit="1" customWidth="1"/>
    <col min="13591" max="13591" width="17.42578125" style="77" bestFit="1" customWidth="1"/>
    <col min="13592" max="13592" width="12.85546875" style="77" bestFit="1" customWidth="1"/>
    <col min="13593" max="13593" width="12.28515625" style="77" bestFit="1" customWidth="1"/>
    <col min="13594" max="13821" width="9.140625" style="77"/>
    <col min="13822" max="13823" width="10" style="77" customWidth="1"/>
    <col min="13824" max="13824" width="7" style="77" customWidth="1"/>
    <col min="13825" max="13825" width="24" style="77" customWidth="1"/>
    <col min="13826" max="13826" width="12.85546875" style="77" customWidth="1"/>
    <col min="13827" max="13828" width="13.140625" style="77" customWidth="1"/>
    <col min="13829" max="13829" width="9.140625" style="77"/>
    <col min="13830" max="13830" width="12.85546875" style="77" customWidth="1"/>
    <col min="13831" max="13831" width="9.140625" style="77"/>
    <col min="13832" max="13832" width="12.140625" style="77" customWidth="1"/>
    <col min="13833" max="13833" width="13" style="77" customWidth="1"/>
    <col min="13834" max="13834" width="11.7109375" style="77" customWidth="1"/>
    <col min="13835" max="13835" width="11.28515625" style="77" customWidth="1"/>
    <col min="13836" max="13836" width="14.85546875" style="77" customWidth="1"/>
    <col min="13837" max="13837" width="16.42578125" style="77" customWidth="1"/>
    <col min="13838" max="13838" width="14.85546875" style="77" customWidth="1"/>
    <col min="13839" max="13839" width="13.42578125" style="77" bestFit="1" customWidth="1"/>
    <col min="13840" max="13840" width="14.85546875" style="77" customWidth="1"/>
    <col min="13841" max="13841" width="16.5703125" style="77" customWidth="1"/>
    <col min="13842" max="13842" width="10.5703125" style="77" customWidth="1"/>
    <col min="13843" max="13843" width="12.42578125" style="77" bestFit="1" customWidth="1"/>
    <col min="13844" max="13844" width="15" style="77" bestFit="1" customWidth="1"/>
    <col min="13845" max="13846" width="18.28515625" style="77" bestFit="1" customWidth="1"/>
    <col min="13847" max="13847" width="17.42578125" style="77" bestFit="1" customWidth="1"/>
    <col min="13848" max="13848" width="12.85546875" style="77" bestFit="1" customWidth="1"/>
    <col min="13849" max="13849" width="12.28515625" style="77" bestFit="1" customWidth="1"/>
    <col min="13850" max="14077" width="9.140625" style="77"/>
    <col min="14078" max="14079" width="10" style="77" customWidth="1"/>
    <col min="14080" max="14080" width="7" style="77" customWidth="1"/>
    <col min="14081" max="14081" width="24" style="77" customWidth="1"/>
    <col min="14082" max="14082" width="12.85546875" style="77" customWidth="1"/>
    <col min="14083" max="14084" width="13.140625" style="77" customWidth="1"/>
    <col min="14085" max="14085" width="9.140625" style="77"/>
    <col min="14086" max="14086" width="12.85546875" style="77" customWidth="1"/>
    <col min="14087" max="14087" width="9.140625" style="77"/>
    <col min="14088" max="14088" width="12.140625" style="77" customWidth="1"/>
    <col min="14089" max="14089" width="13" style="77" customWidth="1"/>
    <col min="14090" max="14090" width="11.7109375" style="77" customWidth="1"/>
    <col min="14091" max="14091" width="11.28515625" style="77" customWidth="1"/>
    <col min="14092" max="14092" width="14.85546875" style="77" customWidth="1"/>
    <col min="14093" max="14093" width="16.42578125" style="77" customWidth="1"/>
    <col min="14094" max="14094" width="14.85546875" style="77" customWidth="1"/>
    <col min="14095" max="14095" width="13.42578125" style="77" bestFit="1" customWidth="1"/>
    <col min="14096" max="14096" width="14.85546875" style="77" customWidth="1"/>
    <col min="14097" max="14097" width="16.5703125" style="77" customWidth="1"/>
    <col min="14098" max="14098" width="10.5703125" style="77" customWidth="1"/>
    <col min="14099" max="14099" width="12.42578125" style="77" bestFit="1" customWidth="1"/>
    <col min="14100" max="14100" width="15" style="77" bestFit="1" customWidth="1"/>
    <col min="14101" max="14102" width="18.28515625" style="77" bestFit="1" customWidth="1"/>
    <col min="14103" max="14103" width="17.42578125" style="77" bestFit="1" customWidth="1"/>
    <col min="14104" max="14104" width="12.85546875" style="77" bestFit="1" customWidth="1"/>
    <col min="14105" max="14105" width="12.28515625" style="77" bestFit="1" customWidth="1"/>
    <col min="14106" max="14333" width="9.140625" style="77"/>
    <col min="14334" max="14335" width="10" style="77" customWidth="1"/>
    <col min="14336" max="14336" width="7" style="77" customWidth="1"/>
    <col min="14337" max="14337" width="24" style="77" customWidth="1"/>
    <col min="14338" max="14338" width="12.85546875" style="77" customWidth="1"/>
    <col min="14339" max="14340" width="13.140625" style="77" customWidth="1"/>
    <col min="14341" max="14341" width="9.140625" style="77"/>
    <col min="14342" max="14342" width="12.85546875" style="77" customWidth="1"/>
    <col min="14343" max="14343" width="9.140625" style="77"/>
    <col min="14344" max="14344" width="12.140625" style="77" customWidth="1"/>
    <col min="14345" max="14345" width="13" style="77" customWidth="1"/>
    <col min="14346" max="14346" width="11.7109375" style="77" customWidth="1"/>
    <col min="14347" max="14347" width="11.28515625" style="77" customWidth="1"/>
    <col min="14348" max="14348" width="14.85546875" style="77" customWidth="1"/>
    <col min="14349" max="14349" width="16.42578125" style="77" customWidth="1"/>
    <col min="14350" max="14350" width="14.85546875" style="77" customWidth="1"/>
    <col min="14351" max="14351" width="13.42578125" style="77" bestFit="1" customWidth="1"/>
    <col min="14352" max="14352" width="14.85546875" style="77" customWidth="1"/>
    <col min="14353" max="14353" width="16.5703125" style="77" customWidth="1"/>
    <col min="14354" max="14354" width="10.5703125" style="77" customWidth="1"/>
    <col min="14355" max="14355" width="12.42578125" style="77" bestFit="1" customWidth="1"/>
    <col min="14356" max="14356" width="15" style="77" bestFit="1" customWidth="1"/>
    <col min="14357" max="14358" width="18.28515625" style="77" bestFit="1" customWidth="1"/>
    <col min="14359" max="14359" width="17.42578125" style="77" bestFit="1" customWidth="1"/>
    <col min="14360" max="14360" width="12.85546875" style="77" bestFit="1" customWidth="1"/>
    <col min="14361" max="14361" width="12.28515625" style="77" bestFit="1" customWidth="1"/>
    <col min="14362" max="14589" width="9.140625" style="77"/>
    <col min="14590" max="14591" width="10" style="77" customWidth="1"/>
    <col min="14592" max="14592" width="7" style="77" customWidth="1"/>
    <col min="14593" max="14593" width="24" style="77" customWidth="1"/>
    <col min="14594" max="14594" width="12.85546875" style="77" customWidth="1"/>
    <col min="14595" max="14596" width="13.140625" style="77" customWidth="1"/>
    <col min="14597" max="14597" width="9.140625" style="77"/>
    <col min="14598" max="14598" width="12.85546875" style="77" customWidth="1"/>
    <col min="14599" max="14599" width="9.140625" style="77"/>
    <col min="14600" max="14600" width="12.140625" style="77" customWidth="1"/>
    <col min="14601" max="14601" width="13" style="77" customWidth="1"/>
    <col min="14602" max="14602" width="11.7109375" style="77" customWidth="1"/>
    <col min="14603" max="14603" width="11.28515625" style="77" customWidth="1"/>
    <col min="14604" max="14604" width="14.85546875" style="77" customWidth="1"/>
    <col min="14605" max="14605" width="16.42578125" style="77" customWidth="1"/>
    <col min="14606" max="14606" width="14.85546875" style="77" customWidth="1"/>
    <col min="14607" max="14607" width="13.42578125" style="77" bestFit="1" customWidth="1"/>
    <col min="14608" max="14608" width="14.85546875" style="77" customWidth="1"/>
    <col min="14609" max="14609" width="16.5703125" style="77" customWidth="1"/>
    <col min="14610" max="14610" width="10.5703125" style="77" customWidth="1"/>
    <col min="14611" max="14611" width="12.42578125" style="77" bestFit="1" customWidth="1"/>
    <col min="14612" max="14612" width="15" style="77" bestFit="1" customWidth="1"/>
    <col min="14613" max="14614" width="18.28515625" style="77" bestFit="1" customWidth="1"/>
    <col min="14615" max="14615" width="17.42578125" style="77" bestFit="1" customWidth="1"/>
    <col min="14616" max="14616" width="12.85546875" style="77" bestFit="1" customWidth="1"/>
    <col min="14617" max="14617" width="12.28515625" style="77" bestFit="1" customWidth="1"/>
    <col min="14618" max="14845" width="9.140625" style="77"/>
    <col min="14846" max="14847" width="10" style="77" customWidth="1"/>
    <col min="14848" max="14848" width="7" style="77" customWidth="1"/>
    <col min="14849" max="14849" width="24" style="77" customWidth="1"/>
    <col min="14850" max="14850" width="12.85546875" style="77" customWidth="1"/>
    <col min="14851" max="14852" width="13.140625" style="77" customWidth="1"/>
    <col min="14853" max="14853" width="9.140625" style="77"/>
    <col min="14854" max="14854" width="12.85546875" style="77" customWidth="1"/>
    <col min="14855" max="14855" width="9.140625" style="77"/>
    <col min="14856" max="14856" width="12.140625" style="77" customWidth="1"/>
    <col min="14857" max="14857" width="13" style="77" customWidth="1"/>
    <col min="14858" max="14858" width="11.7109375" style="77" customWidth="1"/>
    <col min="14859" max="14859" width="11.28515625" style="77" customWidth="1"/>
    <col min="14860" max="14860" width="14.85546875" style="77" customWidth="1"/>
    <col min="14861" max="14861" width="16.42578125" style="77" customWidth="1"/>
    <col min="14862" max="14862" width="14.85546875" style="77" customWidth="1"/>
    <col min="14863" max="14863" width="13.42578125" style="77" bestFit="1" customWidth="1"/>
    <col min="14864" max="14864" width="14.85546875" style="77" customWidth="1"/>
    <col min="14865" max="14865" width="16.5703125" style="77" customWidth="1"/>
    <col min="14866" max="14866" width="10.5703125" style="77" customWidth="1"/>
    <col min="14867" max="14867" width="12.42578125" style="77" bestFit="1" customWidth="1"/>
    <col min="14868" max="14868" width="15" style="77" bestFit="1" customWidth="1"/>
    <col min="14869" max="14870" width="18.28515625" style="77" bestFit="1" customWidth="1"/>
    <col min="14871" max="14871" width="17.42578125" style="77" bestFit="1" customWidth="1"/>
    <col min="14872" max="14872" width="12.85546875" style="77" bestFit="1" customWidth="1"/>
    <col min="14873" max="14873" width="12.28515625" style="77" bestFit="1" customWidth="1"/>
    <col min="14874" max="15101" width="9.140625" style="77"/>
    <col min="15102" max="15103" width="10" style="77" customWidth="1"/>
    <col min="15104" max="15104" width="7" style="77" customWidth="1"/>
    <col min="15105" max="15105" width="24" style="77" customWidth="1"/>
    <col min="15106" max="15106" width="12.85546875" style="77" customWidth="1"/>
    <col min="15107" max="15108" width="13.140625" style="77" customWidth="1"/>
    <col min="15109" max="15109" width="9.140625" style="77"/>
    <col min="15110" max="15110" width="12.85546875" style="77" customWidth="1"/>
    <col min="15111" max="15111" width="9.140625" style="77"/>
    <col min="15112" max="15112" width="12.140625" style="77" customWidth="1"/>
    <col min="15113" max="15113" width="13" style="77" customWidth="1"/>
    <col min="15114" max="15114" width="11.7109375" style="77" customWidth="1"/>
    <col min="15115" max="15115" width="11.28515625" style="77" customWidth="1"/>
    <col min="15116" max="15116" width="14.85546875" style="77" customWidth="1"/>
    <col min="15117" max="15117" width="16.42578125" style="77" customWidth="1"/>
    <col min="15118" max="15118" width="14.85546875" style="77" customWidth="1"/>
    <col min="15119" max="15119" width="13.42578125" style="77" bestFit="1" customWidth="1"/>
    <col min="15120" max="15120" width="14.85546875" style="77" customWidth="1"/>
    <col min="15121" max="15121" width="16.5703125" style="77" customWidth="1"/>
    <col min="15122" max="15122" width="10.5703125" style="77" customWidth="1"/>
    <col min="15123" max="15123" width="12.42578125" style="77" bestFit="1" customWidth="1"/>
    <col min="15124" max="15124" width="15" style="77" bestFit="1" customWidth="1"/>
    <col min="15125" max="15126" width="18.28515625" style="77" bestFit="1" customWidth="1"/>
    <col min="15127" max="15127" width="17.42578125" style="77" bestFit="1" customWidth="1"/>
    <col min="15128" max="15128" width="12.85546875" style="77" bestFit="1" customWidth="1"/>
    <col min="15129" max="15129" width="12.28515625" style="77" bestFit="1" customWidth="1"/>
    <col min="15130" max="15357" width="9.140625" style="77"/>
    <col min="15358" max="15359" width="10" style="77" customWidth="1"/>
    <col min="15360" max="15360" width="7" style="77" customWidth="1"/>
    <col min="15361" max="15361" width="24" style="77" customWidth="1"/>
    <col min="15362" max="15362" width="12.85546875" style="77" customWidth="1"/>
    <col min="15363" max="15364" width="13.140625" style="77" customWidth="1"/>
    <col min="15365" max="15365" width="9.140625" style="77"/>
    <col min="15366" max="15366" width="12.85546875" style="77" customWidth="1"/>
    <col min="15367" max="15367" width="9.140625" style="77"/>
    <col min="15368" max="15368" width="12.140625" style="77" customWidth="1"/>
    <col min="15369" max="15369" width="13" style="77" customWidth="1"/>
    <col min="15370" max="15370" width="11.7109375" style="77" customWidth="1"/>
    <col min="15371" max="15371" width="11.28515625" style="77" customWidth="1"/>
    <col min="15372" max="15372" width="14.85546875" style="77" customWidth="1"/>
    <col min="15373" max="15373" width="16.42578125" style="77" customWidth="1"/>
    <col min="15374" max="15374" width="14.85546875" style="77" customWidth="1"/>
    <col min="15375" max="15375" width="13.42578125" style="77" bestFit="1" customWidth="1"/>
    <col min="15376" max="15376" width="14.85546875" style="77" customWidth="1"/>
    <col min="15377" max="15377" width="16.5703125" style="77" customWidth="1"/>
    <col min="15378" max="15378" width="10.5703125" style="77" customWidth="1"/>
    <col min="15379" max="15379" width="12.42578125" style="77" bestFit="1" customWidth="1"/>
    <col min="15380" max="15380" width="15" style="77" bestFit="1" customWidth="1"/>
    <col min="15381" max="15382" width="18.28515625" style="77" bestFit="1" customWidth="1"/>
    <col min="15383" max="15383" width="17.42578125" style="77" bestFit="1" customWidth="1"/>
    <col min="15384" max="15384" width="12.85546875" style="77" bestFit="1" customWidth="1"/>
    <col min="15385" max="15385" width="12.28515625" style="77" bestFit="1" customWidth="1"/>
    <col min="15386" max="15613" width="9.140625" style="77"/>
    <col min="15614" max="15615" width="10" style="77" customWidth="1"/>
    <col min="15616" max="15616" width="7" style="77" customWidth="1"/>
    <col min="15617" max="15617" width="24" style="77" customWidth="1"/>
    <col min="15618" max="15618" width="12.85546875" style="77" customWidth="1"/>
    <col min="15619" max="15620" width="13.140625" style="77" customWidth="1"/>
    <col min="15621" max="15621" width="9.140625" style="77"/>
    <col min="15622" max="15622" width="12.85546875" style="77" customWidth="1"/>
    <col min="15623" max="15623" width="9.140625" style="77"/>
    <col min="15624" max="15624" width="12.140625" style="77" customWidth="1"/>
    <col min="15625" max="15625" width="13" style="77" customWidth="1"/>
    <col min="15626" max="15626" width="11.7109375" style="77" customWidth="1"/>
    <col min="15627" max="15627" width="11.28515625" style="77" customWidth="1"/>
    <col min="15628" max="15628" width="14.85546875" style="77" customWidth="1"/>
    <col min="15629" max="15629" width="16.42578125" style="77" customWidth="1"/>
    <col min="15630" max="15630" width="14.85546875" style="77" customWidth="1"/>
    <col min="15631" max="15631" width="13.42578125" style="77" bestFit="1" customWidth="1"/>
    <col min="15632" max="15632" width="14.85546875" style="77" customWidth="1"/>
    <col min="15633" max="15633" width="16.5703125" style="77" customWidth="1"/>
    <col min="15634" max="15634" width="10.5703125" style="77" customWidth="1"/>
    <col min="15635" max="15635" width="12.42578125" style="77" bestFit="1" customWidth="1"/>
    <col min="15636" max="15636" width="15" style="77" bestFit="1" customWidth="1"/>
    <col min="15637" max="15638" width="18.28515625" style="77" bestFit="1" customWidth="1"/>
    <col min="15639" max="15639" width="17.42578125" style="77" bestFit="1" customWidth="1"/>
    <col min="15640" max="15640" width="12.85546875" style="77" bestFit="1" customWidth="1"/>
    <col min="15641" max="15641" width="12.28515625" style="77" bestFit="1" customWidth="1"/>
    <col min="15642" max="15869" width="9.140625" style="77"/>
    <col min="15870" max="15871" width="10" style="77" customWidth="1"/>
    <col min="15872" max="15872" width="7" style="77" customWidth="1"/>
    <col min="15873" max="15873" width="24" style="77" customWidth="1"/>
    <col min="15874" max="15874" width="12.85546875" style="77" customWidth="1"/>
    <col min="15875" max="15876" width="13.140625" style="77" customWidth="1"/>
    <col min="15877" max="15877" width="9.140625" style="77"/>
    <col min="15878" max="15878" width="12.85546875" style="77" customWidth="1"/>
    <col min="15879" max="15879" width="9.140625" style="77"/>
    <col min="15880" max="15880" width="12.140625" style="77" customWidth="1"/>
    <col min="15881" max="15881" width="13" style="77" customWidth="1"/>
    <col min="15882" max="15882" width="11.7109375" style="77" customWidth="1"/>
    <col min="15883" max="15883" width="11.28515625" style="77" customWidth="1"/>
    <col min="15884" max="15884" width="14.85546875" style="77" customWidth="1"/>
    <col min="15885" max="15885" width="16.42578125" style="77" customWidth="1"/>
    <col min="15886" max="15886" width="14.85546875" style="77" customWidth="1"/>
    <col min="15887" max="15887" width="13.42578125" style="77" bestFit="1" customWidth="1"/>
    <col min="15888" max="15888" width="14.85546875" style="77" customWidth="1"/>
    <col min="15889" max="15889" width="16.5703125" style="77" customWidth="1"/>
    <col min="15890" max="15890" width="10.5703125" style="77" customWidth="1"/>
    <col min="15891" max="15891" width="12.42578125" style="77" bestFit="1" customWidth="1"/>
    <col min="15892" max="15892" width="15" style="77" bestFit="1" customWidth="1"/>
    <col min="15893" max="15894" width="18.28515625" style="77" bestFit="1" customWidth="1"/>
    <col min="15895" max="15895" width="17.42578125" style="77" bestFit="1" customWidth="1"/>
    <col min="15896" max="15896" width="12.85546875" style="77" bestFit="1" customWidth="1"/>
    <col min="15897" max="15897" width="12.28515625" style="77" bestFit="1" customWidth="1"/>
    <col min="15898" max="16125" width="9.140625" style="77"/>
    <col min="16126" max="16127" width="10" style="77" customWidth="1"/>
    <col min="16128" max="16128" width="7" style="77" customWidth="1"/>
    <col min="16129" max="16129" width="24" style="77" customWidth="1"/>
    <col min="16130" max="16130" width="12.85546875" style="77" customWidth="1"/>
    <col min="16131" max="16132" width="13.140625" style="77" customWidth="1"/>
    <col min="16133" max="16133" width="9.140625" style="77"/>
    <col min="16134" max="16134" width="12.85546875" style="77" customWidth="1"/>
    <col min="16135" max="16135" width="9.140625" style="77"/>
    <col min="16136" max="16136" width="12.140625" style="77" customWidth="1"/>
    <col min="16137" max="16137" width="13" style="77" customWidth="1"/>
    <col min="16138" max="16138" width="11.7109375" style="77" customWidth="1"/>
    <col min="16139" max="16139" width="11.28515625" style="77" customWidth="1"/>
    <col min="16140" max="16140" width="14.85546875" style="77" customWidth="1"/>
    <col min="16141" max="16141" width="16.42578125" style="77" customWidth="1"/>
    <col min="16142" max="16142" width="14.85546875" style="77" customWidth="1"/>
    <col min="16143" max="16143" width="13.42578125" style="77" bestFit="1" customWidth="1"/>
    <col min="16144" max="16144" width="14.85546875" style="77" customWidth="1"/>
    <col min="16145" max="16145" width="16.5703125" style="77" customWidth="1"/>
    <col min="16146" max="16146" width="10.5703125" style="77" customWidth="1"/>
    <col min="16147" max="16147" width="12.42578125" style="77" bestFit="1" customWidth="1"/>
    <col min="16148" max="16148" width="15" style="77" bestFit="1" customWidth="1"/>
    <col min="16149" max="16150" width="18.28515625" style="77" bestFit="1" customWidth="1"/>
    <col min="16151" max="16151" width="17.42578125" style="77" bestFit="1" customWidth="1"/>
    <col min="16152" max="16152" width="12.85546875" style="77" bestFit="1" customWidth="1"/>
    <col min="16153" max="16153" width="12.28515625" style="77" bestFit="1" customWidth="1"/>
    <col min="16154" max="16384" width="9.140625" style="77"/>
  </cols>
  <sheetData>
    <row r="1" spans="1:26" x14ac:dyDescent="0.2">
      <c r="A1" s="75" t="s">
        <v>102</v>
      </c>
    </row>
    <row r="2" spans="1:26" x14ac:dyDescent="0.2">
      <c r="A2" s="76" t="s">
        <v>126</v>
      </c>
      <c r="J2" s="97" t="s">
        <v>103</v>
      </c>
      <c r="M2" s="371" t="s">
        <v>104</v>
      </c>
    </row>
    <row r="3" spans="1:26" x14ac:dyDescent="0.2">
      <c r="A3" s="76" t="s">
        <v>315</v>
      </c>
      <c r="J3" s="97"/>
      <c r="M3" s="371"/>
    </row>
    <row r="4" spans="1:26" x14ac:dyDescent="0.2">
      <c r="A4" s="371" t="s">
        <v>113</v>
      </c>
      <c r="B4" s="371" t="s">
        <v>233</v>
      </c>
      <c r="J4" s="371" t="s">
        <v>92</v>
      </c>
      <c r="M4" s="371" t="s">
        <v>235</v>
      </c>
    </row>
    <row r="5" spans="1:26" x14ac:dyDescent="0.2">
      <c r="A5" s="76"/>
      <c r="B5" s="76"/>
    </row>
    <row r="6" spans="1:26" x14ac:dyDescent="0.2">
      <c r="A6" s="76" t="s">
        <v>1</v>
      </c>
      <c r="B6" s="188">
        <v>2012</v>
      </c>
      <c r="R6" s="79" t="s">
        <v>308</v>
      </c>
    </row>
    <row r="7" spans="1:26" x14ac:dyDescent="0.2">
      <c r="L7" s="92"/>
      <c r="R7" s="262">
        <v>-199932</v>
      </c>
      <c r="T7" s="92">
        <v>2012</v>
      </c>
      <c r="U7" s="92">
        <v>2013</v>
      </c>
      <c r="V7" s="92">
        <v>2014</v>
      </c>
    </row>
    <row r="8" spans="1:26" s="81" customFormat="1" ht="40.700000000000003" customHeight="1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O8" s="406"/>
      <c r="P8" s="406"/>
      <c r="Q8" s="406"/>
      <c r="R8" s="406"/>
      <c r="S8" s="83"/>
      <c r="T8" s="187" t="s">
        <v>109</v>
      </c>
      <c r="U8" s="187" t="s">
        <v>109</v>
      </c>
      <c r="V8" s="187" t="s">
        <v>109</v>
      </c>
      <c r="W8" s="83"/>
      <c r="X8" s="83"/>
      <c r="Y8" s="83"/>
      <c r="Z8" s="83"/>
    </row>
    <row r="9" spans="1:26" x14ac:dyDescent="0.2">
      <c r="A9" s="203" t="s">
        <v>234</v>
      </c>
      <c r="B9" s="205">
        <v>40543</v>
      </c>
      <c r="C9" s="206">
        <v>2010</v>
      </c>
      <c r="D9" s="206">
        <v>15</v>
      </c>
      <c r="E9" s="206">
        <f>+C9+D9-1</f>
        <v>2024</v>
      </c>
      <c r="F9" s="207">
        <f>IF(D9&gt;0,1/D9,0)</f>
        <v>6.6666666666666666E-2</v>
      </c>
      <c r="G9" s="221">
        <v>2393291</v>
      </c>
      <c r="H9" s="176">
        <f t="shared" ref="H9:H11" si="0">IF(+G9&gt;0,IF(+$B$6-C9+1&gt;D9,D9,+$B$6-C9+1),0)</f>
        <v>3</v>
      </c>
      <c r="I9" s="273">
        <f t="shared" ref="I9:I11" si="1">IF(E9&gt;=$B$6,+D9-H9,0)</f>
        <v>12</v>
      </c>
      <c r="J9" s="221">
        <f t="shared" ref="J9:J11" si="2">+G9*F9</f>
        <v>159552.73333333334</v>
      </c>
      <c r="K9" s="221">
        <f t="shared" ref="K9:K11" si="3">IF(E9&gt;=$B$6,+J9,0)</f>
        <v>159552.73333333334</v>
      </c>
      <c r="L9" s="221">
        <f t="shared" ref="L9:L11" si="4">+J9*H9</f>
        <v>478658.2</v>
      </c>
      <c r="M9" s="220">
        <f t="shared" ref="M9:M11" si="5">+G9-L9</f>
        <v>1914632.8</v>
      </c>
      <c r="N9" s="206"/>
      <c r="O9" s="407">
        <f>+M9/$M$12</f>
        <v>0.75704345816938579</v>
      </c>
      <c r="P9" s="408" t="e">
        <f>+#REF!-H9</f>
        <v>#REF!</v>
      </c>
      <c r="Q9" s="137" t="e">
        <f t="shared" ref="Q9:Q10" si="6">+O9*P9</f>
        <v>#REF!</v>
      </c>
      <c r="R9" s="416" t="e">
        <f>+#REF!*O9</f>
        <v>#REF!</v>
      </c>
      <c r="T9" s="282">
        <f t="shared" ref="T9:T10" si="7">+L9+K9</f>
        <v>638210.93333333335</v>
      </c>
      <c r="U9" s="282">
        <f t="shared" ref="U9:U10" si="8">+T9+K9</f>
        <v>797763.66666666674</v>
      </c>
      <c r="V9" s="282">
        <f t="shared" ref="V9:V10" si="9">+U9+K9</f>
        <v>957316.40000000014</v>
      </c>
      <c r="W9" s="283">
        <f t="shared" ref="W9:W10" si="10">+G9-V9</f>
        <v>1435974.5999999999</v>
      </c>
      <c r="X9" s="284">
        <f t="shared" ref="X9:X10" si="11">+J9</f>
        <v>159552.73333333334</v>
      </c>
      <c r="Y9" s="284" t="e">
        <f t="shared" ref="Y9:Y10" si="12">+X9*Z9</f>
        <v>#REF!</v>
      </c>
      <c r="Z9" s="77" t="e">
        <f>+#REF!+1</f>
        <v>#REF!</v>
      </c>
    </row>
    <row r="10" spans="1:26" x14ac:dyDescent="0.2">
      <c r="A10" s="203" t="s">
        <v>234</v>
      </c>
      <c r="B10" s="205">
        <v>40908</v>
      </c>
      <c r="C10" s="206">
        <v>2011</v>
      </c>
      <c r="D10" s="206">
        <v>15</v>
      </c>
      <c r="E10" s="206">
        <f>+C10+D10-1</f>
        <v>2025</v>
      </c>
      <c r="F10" s="207">
        <f>IF(D10&gt;0,1/D10,0)</f>
        <v>6.6666666666666666E-2</v>
      </c>
      <c r="G10" s="221">
        <v>689196.88</v>
      </c>
      <c r="H10" s="176">
        <f t="shared" si="0"/>
        <v>2</v>
      </c>
      <c r="I10" s="273">
        <f t="shared" si="1"/>
        <v>13</v>
      </c>
      <c r="J10" s="221">
        <f t="shared" si="2"/>
        <v>45946.458666666666</v>
      </c>
      <c r="K10" s="221">
        <f t="shared" si="3"/>
        <v>45946.458666666666</v>
      </c>
      <c r="L10" s="221">
        <f t="shared" si="4"/>
        <v>91892.917333333331</v>
      </c>
      <c r="M10" s="220">
        <f t="shared" si="5"/>
        <v>597303.96266666672</v>
      </c>
      <c r="N10" s="206"/>
      <c r="O10" s="407">
        <f>+M10/$M$12</f>
        <v>0.23617325341728765</v>
      </c>
      <c r="P10" s="408" t="e">
        <f>+#REF!-H10</f>
        <v>#REF!</v>
      </c>
      <c r="Q10" s="137" t="e">
        <f t="shared" si="6"/>
        <v>#REF!</v>
      </c>
      <c r="R10" s="416" t="e">
        <f>+#REF!*O10</f>
        <v>#REF!</v>
      </c>
      <c r="T10" s="282">
        <f t="shared" si="7"/>
        <v>137839.37599999999</v>
      </c>
      <c r="U10" s="282">
        <f t="shared" si="8"/>
        <v>183785.83466666666</v>
      </c>
      <c r="V10" s="282">
        <f t="shared" si="9"/>
        <v>229732.29333333333</v>
      </c>
      <c r="W10" s="283">
        <f t="shared" si="10"/>
        <v>459464.58666666667</v>
      </c>
      <c r="X10" s="284">
        <f t="shared" si="11"/>
        <v>45946.458666666666</v>
      </c>
      <c r="Y10" s="284" t="e">
        <f t="shared" si="12"/>
        <v>#REF!</v>
      </c>
      <c r="Z10" s="77" t="e">
        <f t="shared" ref="Z10" si="13">+Z9+1</f>
        <v>#REF!</v>
      </c>
    </row>
    <row r="11" spans="1:26" x14ac:dyDescent="0.2">
      <c r="A11" s="203" t="s">
        <v>234</v>
      </c>
      <c r="B11" s="205">
        <v>41274</v>
      </c>
      <c r="C11" s="206">
        <v>2012</v>
      </c>
      <c r="D11" s="206">
        <v>15</v>
      </c>
      <c r="E11" s="206">
        <f>+C11+D11-1</f>
        <v>2026</v>
      </c>
      <c r="F11" s="207">
        <f>IF(D11&gt;0,1/D11,0)</f>
        <v>6.6666666666666666E-2</v>
      </c>
      <c r="G11" s="221">
        <v>18380.96</v>
      </c>
      <c r="H11" s="176">
        <f t="shared" si="0"/>
        <v>1</v>
      </c>
      <c r="I11" s="273">
        <f t="shared" si="1"/>
        <v>14</v>
      </c>
      <c r="J11" s="221">
        <f t="shared" si="2"/>
        <v>1225.3973333333333</v>
      </c>
      <c r="K11" s="221">
        <f t="shared" si="3"/>
        <v>1225.3973333333333</v>
      </c>
      <c r="L11" s="221">
        <f t="shared" si="4"/>
        <v>1225.3973333333333</v>
      </c>
      <c r="M11" s="220">
        <f t="shared" si="5"/>
        <v>17155.562666666665</v>
      </c>
      <c r="N11" s="206"/>
      <c r="O11" s="137"/>
      <c r="P11" s="137"/>
      <c r="Q11" s="137"/>
      <c r="R11" s="137"/>
      <c r="T11" s="285"/>
      <c r="U11" s="285"/>
      <c r="V11" s="285"/>
      <c r="W11" s="284"/>
      <c r="X11" s="284"/>
      <c r="Y11" s="284"/>
    </row>
    <row r="12" spans="1:26" s="81" customFormat="1" x14ac:dyDescent="0.2">
      <c r="A12" s="148" t="s">
        <v>100</v>
      </c>
      <c r="B12" s="212"/>
      <c r="C12" s="274"/>
      <c r="D12" s="212"/>
      <c r="E12" s="206"/>
      <c r="F12" s="207"/>
      <c r="G12" s="223">
        <f>SUM(G9:G11)</f>
        <v>3100868.84</v>
      </c>
      <c r="H12" s="241"/>
      <c r="I12" s="279"/>
      <c r="J12" s="261"/>
      <c r="K12" s="230">
        <f>SUM(K9:K11)</f>
        <v>206724.58933333334</v>
      </c>
      <c r="L12" s="223">
        <f>SUM(L9:L11)</f>
        <v>571776.51466666674</v>
      </c>
      <c r="M12" s="242">
        <f>SUM(M9:M11)</f>
        <v>2529092.3253333336</v>
      </c>
      <c r="N12" s="206"/>
      <c r="O12" s="137"/>
      <c r="P12" s="137"/>
      <c r="Q12" s="417" t="e">
        <f>SUM(Q9:Q11)</f>
        <v>#REF!</v>
      </c>
      <c r="R12" s="262" t="e">
        <f>SUM(R9:R11)</f>
        <v>#REF!</v>
      </c>
      <c r="T12" s="225">
        <f>SUM(T9:T11)</f>
        <v>776050.30933333328</v>
      </c>
      <c r="U12" s="225">
        <f>SUM(U9:U11)</f>
        <v>981549.50133333344</v>
      </c>
      <c r="V12" s="225">
        <f>SUM(V9:V11)</f>
        <v>1187048.6933333334</v>
      </c>
    </row>
    <row r="13" spans="1:26" x14ac:dyDescent="0.2">
      <c r="A13" s="81"/>
      <c r="B13" s="127"/>
      <c r="F13" s="84"/>
      <c r="G13" s="252"/>
      <c r="H13" s="251"/>
      <c r="I13" s="280"/>
      <c r="J13" s="252"/>
      <c r="K13" s="252"/>
      <c r="L13" s="252"/>
      <c r="M13" s="252"/>
      <c r="T13" s="250">
        <f>+T12-L12</f>
        <v>204273.79466666654</v>
      </c>
      <c r="U13" s="250">
        <f>+U12-T12</f>
        <v>205499.19200000016</v>
      </c>
      <c r="V13" s="250">
        <f>+V12-U12</f>
        <v>205499.19199999992</v>
      </c>
    </row>
    <row r="14" spans="1:26" x14ac:dyDescent="0.2">
      <c r="F14" s="100"/>
      <c r="G14" s="250"/>
      <c r="H14" s="258"/>
      <c r="I14" s="250"/>
      <c r="J14" s="250"/>
      <c r="K14" s="250"/>
      <c r="L14" s="250">
        <v>1495879.88</v>
      </c>
      <c r="M14" s="252"/>
    </row>
    <row r="15" spans="1:26" x14ac:dyDescent="0.2">
      <c r="A15" s="112"/>
      <c r="B15" s="133"/>
      <c r="C15" s="111"/>
      <c r="D15" s="111"/>
      <c r="E15" s="111"/>
      <c r="F15" s="247"/>
      <c r="G15" s="250"/>
      <c r="H15" s="258"/>
      <c r="I15" s="250"/>
      <c r="J15" s="250"/>
      <c r="K15" s="250"/>
      <c r="L15" s="250"/>
      <c r="M15" s="259"/>
      <c r="N15" s="111"/>
      <c r="O15" s="111"/>
      <c r="P15" s="111"/>
      <c r="Q15" s="111"/>
      <c r="R15" s="111"/>
      <c r="S15" s="112"/>
      <c r="U15" s="247" t="s">
        <v>174</v>
      </c>
      <c r="V15" s="247" t="s">
        <v>175</v>
      </c>
    </row>
    <row r="16" spans="1:26" x14ac:dyDescent="0.2">
      <c r="A16" s="112"/>
      <c r="B16" s="133"/>
      <c r="C16" s="111"/>
      <c r="D16" s="111"/>
      <c r="E16" s="111"/>
      <c r="F16" s="247"/>
      <c r="G16" s="250"/>
      <c r="H16" s="258"/>
      <c r="I16" s="250"/>
      <c r="J16" s="250"/>
      <c r="K16" s="250"/>
      <c r="L16" s="374">
        <f>+L12-L14</f>
        <v>-924103.36533333315</v>
      </c>
      <c r="M16" s="259"/>
      <c r="N16" s="111"/>
      <c r="O16" s="111"/>
      <c r="P16" s="111"/>
      <c r="Q16" s="111"/>
      <c r="R16" s="111"/>
      <c r="S16" s="112"/>
      <c r="U16" s="267">
        <v>14538</v>
      </c>
      <c r="V16" s="81" t="s">
        <v>176</v>
      </c>
    </row>
    <row r="17" spans="1:27" x14ac:dyDescent="0.2">
      <c r="A17" s="112"/>
      <c r="B17" s="133"/>
      <c r="C17" s="111"/>
      <c r="D17" s="111"/>
      <c r="E17" s="111"/>
      <c r="G17" s="252"/>
      <c r="H17" s="251"/>
      <c r="I17" s="252"/>
      <c r="J17" s="252"/>
      <c r="K17" s="252"/>
      <c r="L17" s="252"/>
      <c r="M17" s="259"/>
      <c r="N17" s="111"/>
      <c r="O17" s="111"/>
      <c r="P17" s="111"/>
      <c r="Q17" s="111"/>
      <c r="R17" s="111"/>
      <c r="S17" s="112"/>
      <c r="U17" s="267">
        <v>1687</v>
      </c>
      <c r="V17" s="81" t="s">
        <v>177</v>
      </c>
    </row>
    <row r="18" spans="1:27" x14ac:dyDescent="0.2">
      <c r="A18" s="112"/>
      <c r="B18" s="133"/>
      <c r="C18" s="111"/>
      <c r="D18" s="111"/>
      <c r="E18" s="111"/>
      <c r="M18" s="116"/>
      <c r="N18" s="111"/>
      <c r="O18" s="111"/>
      <c r="P18" s="111"/>
      <c r="Q18" s="111"/>
      <c r="R18" s="111"/>
      <c r="S18" s="112"/>
      <c r="U18" s="267">
        <f>194-23</f>
        <v>171</v>
      </c>
      <c r="V18" s="81" t="s">
        <v>178</v>
      </c>
    </row>
    <row r="19" spans="1:27" x14ac:dyDescent="0.2">
      <c r="A19" s="112"/>
      <c r="B19" s="133"/>
      <c r="C19" s="111"/>
      <c r="D19" s="111"/>
      <c r="E19" s="111"/>
      <c r="M19" s="116"/>
      <c r="N19" s="111"/>
      <c r="O19" s="111"/>
      <c r="P19" s="111"/>
      <c r="Q19" s="111"/>
      <c r="R19" s="111"/>
      <c r="S19" s="112"/>
      <c r="U19" s="267">
        <v>23</v>
      </c>
      <c r="V19" s="81" t="s">
        <v>179</v>
      </c>
    </row>
    <row r="20" spans="1:27" ht="13.5" thickBot="1" x14ac:dyDescent="0.25">
      <c r="A20" s="112"/>
      <c r="B20" s="133"/>
      <c r="C20" s="111"/>
      <c r="D20" s="111"/>
      <c r="E20" s="111"/>
      <c r="F20" s="378"/>
      <c r="G20" s="112"/>
      <c r="H20" s="111"/>
      <c r="I20" s="112"/>
      <c r="M20" s="116"/>
      <c r="N20" s="111"/>
      <c r="O20" s="111"/>
      <c r="P20" s="111"/>
      <c r="Q20" s="111"/>
      <c r="R20" s="111"/>
      <c r="S20" s="112"/>
      <c r="U20" s="268">
        <f>SUM(U16:U19)</f>
        <v>16419</v>
      </c>
      <c r="V20" s="81" t="s">
        <v>180</v>
      </c>
    </row>
    <row r="21" spans="1:27" ht="13.5" thickTop="1" x14ac:dyDescent="0.2">
      <c r="A21" s="112"/>
      <c r="B21" s="133"/>
      <c r="C21" s="111"/>
      <c r="D21" s="111"/>
      <c r="E21" s="111"/>
      <c r="F21" s="114"/>
      <c r="G21" s="116"/>
      <c r="H21" s="117"/>
      <c r="I21" s="275"/>
      <c r="J21" s="116"/>
      <c r="K21" s="116"/>
      <c r="L21" s="116"/>
      <c r="M21" s="116"/>
      <c r="N21" s="111"/>
      <c r="O21" s="111"/>
      <c r="P21" s="111"/>
      <c r="Q21" s="111"/>
      <c r="R21" s="111"/>
      <c r="S21" s="112"/>
      <c r="U21" s="269"/>
    </row>
    <row r="22" spans="1:27" ht="13.5" thickBot="1" x14ac:dyDescent="0.25">
      <c r="A22" s="97"/>
      <c r="B22" s="133"/>
      <c r="C22" s="111"/>
      <c r="D22" s="111"/>
      <c r="E22" s="111"/>
      <c r="F22" s="114"/>
      <c r="G22" s="116"/>
      <c r="H22" s="117"/>
      <c r="I22" s="275"/>
      <c r="J22" s="116"/>
      <c r="K22" s="116"/>
      <c r="L22" s="116"/>
      <c r="M22" s="116"/>
      <c r="N22" s="111"/>
      <c r="O22" s="111"/>
      <c r="P22" s="111"/>
      <c r="Q22" s="111"/>
      <c r="R22" s="111"/>
      <c r="S22" s="112"/>
      <c r="U22" s="270">
        <f>+U20-U19</f>
        <v>16396</v>
      </c>
      <c r="V22" s="77" t="s">
        <v>181</v>
      </c>
    </row>
    <row r="23" spans="1:27" s="81" customFormat="1" ht="13.5" thickTop="1" x14ac:dyDescent="0.2">
      <c r="A23" s="97"/>
      <c r="B23" s="193"/>
      <c r="C23" s="119"/>
      <c r="D23" s="193"/>
      <c r="E23" s="111"/>
      <c r="F23" s="114"/>
      <c r="G23" s="99"/>
      <c r="H23" s="117"/>
      <c r="I23" s="275"/>
      <c r="J23" s="116"/>
      <c r="K23" s="99"/>
      <c r="L23" s="99"/>
      <c r="M23" s="116"/>
      <c r="N23" s="111"/>
      <c r="O23" s="111"/>
      <c r="P23" s="111"/>
      <c r="Q23" s="111"/>
      <c r="R23" s="111"/>
      <c r="S23" s="97"/>
      <c r="U23" s="271"/>
    </row>
    <row r="24" spans="1:27" x14ac:dyDescent="0.2">
      <c r="A24" s="97"/>
      <c r="B24" s="133"/>
      <c r="C24" s="111"/>
      <c r="D24" s="111"/>
      <c r="E24" s="111"/>
      <c r="F24" s="114"/>
      <c r="G24" s="116"/>
      <c r="H24" s="117"/>
      <c r="I24" s="275"/>
      <c r="J24" s="116"/>
      <c r="K24" s="116"/>
      <c r="L24" s="116"/>
      <c r="M24" s="116"/>
      <c r="N24" s="111"/>
      <c r="O24" s="111"/>
      <c r="P24" s="111"/>
      <c r="Q24" s="111"/>
      <c r="R24" s="111"/>
      <c r="S24" s="112"/>
      <c r="U24" s="81" t="s">
        <v>182</v>
      </c>
    </row>
    <row r="25" spans="1:27" x14ac:dyDescent="0.2">
      <c r="A25" s="112"/>
      <c r="B25" s="133"/>
      <c r="C25" s="111"/>
      <c r="D25" s="111"/>
      <c r="E25" s="111"/>
      <c r="F25" s="114"/>
      <c r="G25" s="116"/>
      <c r="H25" s="117"/>
      <c r="I25" s="275"/>
      <c r="J25" s="116"/>
      <c r="K25" s="116"/>
      <c r="L25" s="116"/>
      <c r="M25" s="116"/>
      <c r="N25" s="111"/>
      <c r="O25" s="111"/>
      <c r="P25" s="111"/>
      <c r="Q25" s="111"/>
      <c r="R25" s="111"/>
      <c r="S25" s="112"/>
      <c r="X25" s="104"/>
    </row>
    <row r="26" spans="1:27" x14ac:dyDescent="0.2">
      <c r="A26" s="112"/>
      <c r="B26" s="133"/>
      <c r="C26" s="111"/>
      <c r="D26" s="111"/>
      <c r="E26" s="111"/>
      <c r="F26" s="114"/>
      <c r="G26" s="116"/>
      <c r="H26" s="117"/>
      <c r="I26" s="275"/>
      <c r="J26" s="116"/>
      <c r="K26" s="116"/>
      <c r="L26" s="116"/>
      <c r="M26" s="116"/>
      <c r="N26" s="111"/>
      <c r="O26" s="111"/>
      <c r="P26" s="111"/>
      <c r="Q26" s="111"/>
      <c r="R26" s="111"/>
      <c r="S26" s="112"/>
      <c r="U26" s="77" t="s">
        <v>183</v>
      </c>
      <c r="V26" s="77" t="s">
        <v>184</v>
      </c>
      <c r="X26" s="284">
        <v>14033.77</v>
      </c>
      <c r="Y26" s="284"/>
    </row>
    <row r="27" spans="1:27" x14ac:dyDescent="0.2">
      <c r="A27" s="112"/>
      <c r="B27" s="133"/>
      <c r="C27" s="111"/>
      <c r="D27" s="111"/>
      <c r="E27" s="111"/>
      <c r="F27" s="114"/>
      <c r="G27" s="116"/>
      <c r="H27" s="117"/>
      <c r="I27" s="275"/>
      <c r="J27" s="116"/>
      <c r="K27" s="116"/>
      <c r="L27" s="116"/>
      <c r="M27" s="116"/>
      <c r="N27" s="111"/>
      <c r="O27" s="111"/>
      <c r="P27" s="111"/>
      <c r="Q27" s="111"/>
      <c r="R27" s="111"/>
      <c r="S27" s="112"/>
      <c r="U27" s="77" t="s">
        <v>185</v>
      </c>
      <c r="V27" s="77" t="s">
        <v>186</v>
      </c>
      <c r="X27" s="284">
        <v>0</v>
      </c>
      <c r="Y27" s="284"/>
    </row>
    <row r="28" spans="1:27" x14ac:dyDescent="0.2">
      <c r="A28" s="112"/>
      <c r="B28" s="133"/>
      <c r="C28" s="111"/>
      <c r="D28" s="111"/>
      <c r="E28" s="111"/>
      <c r="F28" s="114"/>
      <c r="G28" s="116"/>
      <c r="H28" s="117"/>
      <c r="I28" s="275"/>
      <c r="J28" s="116"/>
      <c r="K28" s="116"/>
      <c r="L28" s="116"/>
      <c r="M28" s="116"/>
      <c r="N28" s="111"/>
      <c r="O28" s="111"/>
      <c r="P28" s="111"/>
      <c r="Q28" s="111"/>
      <c r="R28" s="111"/>
      <c r="S28" s="112"/>
      <c r="U28" s="77" t="s">
        <v>187</v>
      </c>
      <c r="V28" s="77" t="s">
        <v>188</v>
      </c>
      <c r="X28" s="284">
        <v>166890.13</v>
      </c>
      <c r="Y28" s="284"/>
    </row>
    <row r="29" spans="1:27" x14ac:dyDescent="0.2">
      <c r="A29" s="97"/>
      <c r="B29" s="133"/>
      <c r="C29" s="111"/>
      <c r="D29" s="111"/>
      <c r="E29" s="111"/>
      <c r="F29" s="114"/>
      <c r="G29" s="116"/>
      <c r="H29" s="117"/>
      <c r="I29" s="275"/>
      <c r="J29" s="116"/>
      <c r="K29" s="116"/>
      <c r="L29" s="116"/>
      <c r="M29" s="116"/>
      <c r="N29" s="111"/>
      <c r="O29" s="111"/>
      <c r="P29" s="111"/>
      <c r="Q29" s="111"/>
      <c r="R29" s="111"/>
      <c r="S29" s="112"/>
      <c r="U29" s="77" t="s">
        <v>189</v>
      </c>
      <c r="V29" s="77" t="s">
        <v>190</v>
      </c>
      <c r="X29" s="284">
        <v>1346.9099999999999</v>
      </c>
      <c r="Y29" s="284"/>
    </row>
    <row r="30" spans="1:27" x14ac:dyDescent="0.2">
      <c r="A30" s="97"/>
      <c r="B30" s="133"/>
      <c r="C30" s="111"/>
      <c r="D30" s="111"/>
      <c r="E30" s="111"/>
      <c r="F30" s="114"/>
      <c r="G30" s="99"/>
      <c r="H30" s="117"/>
      <c r="I30" s="275"/>
      <c r="J30" s="116"/>
      <c r="K30" s="99"/>
      <c r="L30" s="99"/>
      <c r="M30" s="116"/>
      <c r="N30" s="111"/>
      <c r="O30" s="111"/>
      <c r="P30" s="111"/>
      <c r="Q30" s="111"/>
      <c r="R30" s="111"/>
      <c r="S30" s="112"/>
      <c r="U30" s="77" t="s">
        <v>191</v>
      </c>
      <c r="V30" s="77" t="s">
        <v>192</v>
      </c>
      <c r="X30" s="284">
        <v>18239.41</v>
      </c>
      <c r="Y30" s="284"/>
    </row>
    <row r="31" spans="1:27" x14ac:dyDescent="0.2">
      <c r="A31" s="97"/>
      <c r="B31" s="133"/>
      <c r="C31" s="111"/>
      <c r="D31" s="111"/>
      <c r="E31" s="111"/>
      <c r="F31" s="114"/>
      <c r="G31" s="116"/>
      <c r="H31" s="117"/>
      <c r="I31" s="275"/>
      <c r="J31" s="116"/>
      <c r="K31" s="116"/>
      <c r="L31" s="116"/>
      <c r="M31" s="116"/>
      <c r="N31" s="111"/>
      <c r="O31" s="111"/>
      <c r="P31" s="111"/>
      <c r="Q31" s="111"/>
      <c r="R31" s="111"/>
      <c r="S31" s="112"/>
      <c r="U31" s="77" t="s">
        <v>193</v>
      </c>
      <c r="V31" s="77" t="s">
        <v>194</v>
      </c>
      <c r="X31" s="284">
        <v>2077997.02</v>
      </c>
      <c r="Y31" s="284">
        <f>SUM(X26:X31)</f>
        <v>2278507.2400000002</v>
      </c>
      <c r="AA31" s="77" t="s">
        <v>195</v>
      </c>
    </row>
    <row r="32" spans="1:27" s="81" customFormat="1" x14ac:dyDescent="0.2">
      <c r="A32" s="122"/>
      <c r="B32" s="286"/>
      <c r="C32" s="286"/>
      <c r="D32" s="286"/>
      <c r="E32" s="286"/>
      <c r="F32" s="286"/>
      <c r="G32" s="201"/>
      <c r="H32" s="287"/>
      <c r="I32" s="275"/>
      <c r="J32" s="122"/>
      <c r="K32" s="201"/>
      <c r="L32" s="201"/>
      <c r="M32" s="201"/>
      <c r="N32" s="286"/>
      <c r="O32" s="286"/>
      <c r="P32" s="286"/>
      <c r="Q32" s="286"/>
      <c r="R32" s="286"/>
      <c r="S32" s="201"/>
      <c r="U32" s="77" t="s">
        <v>196</v>
      </c>
      <c r="V32" s="77" t="s">
        <v>197</v>
      </c>
      <c r="W32" s="77"/>
      <c r="X32" s="284">
        <v>4721.3499999999995</v>
      </c>
      <c r="Y32" s="284"/>
      <c r="AA32" s="77"/>
    </row>
    <row r="33" spans="1:27" x14ac:dyDescent="0.2">
      <c r="A33" s="121"/>
      <c r="B33" s="288"/>
      <c r="C33" s="288"/>
      <c r="D33" s="288"/>
      <c r="E33" s="288"/>
      <c r="F33" s="288"/>
      <c r="G33" s="121"/>
      <c r="H33" s="288"/>
      <c r="I33" s="275"/>
      <c r="J33" s="121"/>
      <c r="K33" s="121"/>
      <c r="L33" s="121"/>
      <c r="M33" s="121"/>
      <c r="N33" s="288"/>
      <c r="O33" s="288"/>
      <c r="P33" s="288"/>
      <c r="Q33" s="288"/>
      <c r="R33" s="288"/>
      <c r="S33" s="121"/>
      <c r="U33" s="77" t="s">
        <v>198</v>
      </c>
      <c r="V33" s="77" t="s">
        <v>199</v>
      </c>
      <c r="X33" s="284">
        <v>0</v>
      </c>
      <c r="Y33" s="284"/>
    </row>
    <row r="34" spans="1:27" s="81" customFormat="1" x14ac:dyDescent="0.2">
      <c r="A34" s="122"/>
      <c r="B34" s="286"/>
      <c r="C34" s="289"/>
      <c r="D34" s="286"/>
      <c r="E34" s="288"/>
      <c r="F34" s="290"/>
      <c r="G34" s="201"/>
      <c r="H34" s="291"/>
      <c r="I34" s="122"/>
      <c r="J34" s="122"/>
      <c r="K34" s="121"/>
      <c r="L34" s="201"/>
      <c r="M34" s="292"/>
      <c r="N34" s="288"/>
      <c r="O34" s="288"/>
      <c r="P34" s="288"/>
      <c r="Q34" s="288"/>
      <c r="R34" s="288"/>
      <c r="S34" s="122"/>
      <c r="U34" s="77" t="s">
        <v>200</v>
      </c>
      <c r="V34" s="77" t="s">
        <v>201</v>
      </c>
      <c r="W34" s="77"/>
      <c r="X34" s="284">
        <v>45613.53</v>
      </c>
      <c r="Y34" s="284"/>
      <c r="AA34" s="77"/>
    </row>
    <row r="35" spans="1:27" s="81" customFormat="1" x14ac:dyDescent="0.2">
      <c r="A35" s="122"/>
      <c r="B35" s="286"/>
      <c r="C35" s="289"/>
      <c r="D35" s="286"/>
      <c r="E35" s="288"/>
      <c r="F35" s="290"/>
      <c r="G35" s="201"/>
      <c r="H35" s="291"/>
      <c r="I35" s="293"/>
      <c r="J35" s="292"/>
      <c r="K35" s="121"/>
      <c r="L35" s="292"/>
      <c r="M35" s="292"/>
      <c r="N35" s="288"/>
      <c r="O35" s="288"/>
      <c r="P35" s="288"/>
      <c r="Q35" s="288"/>
      <c r="R35" s="288"/>
      <c r="S35" s="122"/>
      <c r="U35" s="77" t="s">
        <v>202</v>
      </c>
      <c r="V35" s="77" t="s">
        <v>203</v>
      </c>
      <c r="W35" s="77"/>
      <c r="X35" s="284">
        <v>389.96</v>
      </c>
      <c r="Y35" s="284"/>
      <c r="AA35" s="77"/>
    </row>
    <row r="36" spans="1:27" s="81" customFormat="1" x14ac:dyDescent="0.2">
      <c r="A36" s="122"/>
      <c r="B36" s="286"/>
      <c r="C36" s="289"/>
      <c r="D36" s="286"/>
      <c r="E36" s="288"/>
      <c r="F36" s="290"/>
      <c r="G36" s="201"/>
      <c r="H36" s="291"/>
      <c r="I36" s="293"/>
      <c r="J36" s="292"/>
      <c r="K36" s="201"/>
      <c r="L36" s="201"/>
      <c r="M36" s="201"/>
      <c r="N36" s="288"/>
      <c r="O36" s="288"/>
      <c r="P36" s="288"/>
      <c r="Q36" s="288"/>
      <c r="R36" s="288"/>
      <c r="S36" s="122"/>
      <c r="U36" s="77" t="s">
        <v>204</v>
      </c>
      <c r="V36" s="77" t="s">
        <v>205</v>
      </c>
      <c r="W36" s="77"/>
      <c r="X36" s="284">
        <v>38792.910000000003</v>
      </c>
      <c r="Y36" s="284">
        <f>SUM(X32:X36)</f>
        <v>89517.75</v>
      </c>
      <c r="AA36" s="77" t="s">
        <v>206</v>
      </c>
    </row>
    <row r="37" spans="1:27" s="81" customFormat="1" x14ac:dyDescent="0.2">
      <c r="A37" s="122"/>
      <c r="B37" s="286"/>
      <c r="C37" s="289"/>
      <c r="D37" s="286"/>
      <c r="E37" s="288"/>
      <c r="F37" s="290"/>
      <c r="G37" s="201"/>
      <c r="H37" s="291"/>
      <c r="I37" s="293"/>
      <c r="J37" s="292"/>
      <c r="K37" s="294"/>
      <c r="L37" s="294"/>
      <c r="M37" s="294"/>
      <c r="N37" s="288"/>
      <c r="O37" s="288"/>
      <c r="P37" s="288"/>
      <c r="Q37" s="288"/>
      <c r="R37" s="288"/>
      <c r="S37" s="122"/>
      <c r="U37" s="77" t="s">
        <v>207</v>
      </c>
      <c r="V37" s="77" t="s">
        <v>208</v>
      </c>
      <c r="W37" s="77"/>
      <c r="X37" s="284">
        <v>0</v>
      </c>
      <c r="Y37" s="284"/>
      <c r="AA37" s="77"/>
    </row>
    <row r="38" spans="1:27" s="81" customFormat="1" x14ac:dyDescent="0.2">
      <c r="A38" s="122"/>
      <c r="B38" s="286"/>
      <c r="C38" s="289"/>
      <c r="D38" s="286"/>
      <c r="E38" s="288"/>
      <c r="F38" s="290"/>
      <c r="G38" s="201"/>
      <c r="H38" s="291"/>
      <c r="I38" s="293"/>
      <c r="J38" s="292"/>
      <c r="K38" s="292"/>
      <c r="L38" s="292"/>
      <c r="M38" s="292"/>
      <c r="N38" s="288"/>
      <c r="O38" s="288"/>
      <c r="P38" s="288"/>
      <c r="Q38" s="288"/>
      <c r="R38" s="288"/>
      <c r="S38" s="122"/>
      <c r="U38" s="77" t="s">
        <v>209</v>
      </c>
      <c r="V38" s="77" t="s">
        <v>210</v>
      </c>
      <c r="W38" s="77"/>
      <c r="X38" s="284">
        <v>0</v>
      </c>
      <c r="Y38" s="284"/>
      <c r="AA38" s="77"/>
    </row>
    <row r="39" spans="1:27" s="81" customFormat="1" x14ac:dyDescent="0.2">
      <c r="A39" s="122"/>
      <c r="B39" s="286"/>
      <c r="C39" s="289"/>
      <c r="D39" s="286"/>
      <c r="E39" s="288"/>
      <c r="F39" s="290"/>
      <c r="G39" s="201"/>
      <c r="H39" s="291"/>
      <c r="I39" s="293"/>
      <c r="J39" s="292"/>
      <c r="K39" s="198"/>
      <c r="L39" s="295"/>
      <c r="M39" s="292"/>
      <c r="N39" s="288"/>
      <c r="O39" s="288"/>
      <c r="P39" s="288"/>
      <c r="Q39" s="288"/>
      <c r="R39" s="288"/>
      <c r="S39" s="122"/>
      <c r="U39" s="77" t="s">
        <v>211</v>
      </c>
      <c r="V39" s="77" t="s">
        <v>212</v>
      </c>
      <c r="W39" s="77"/>
      <c r="X39" s="284">
        <v>4334.49</v>
      </c>
      <c r="Y39" s="284"/>
      <c r="AA39" s="77"/>
    </row>
    <row r="40" spans="1:27" s="81" customFormat="1" x14ac:dyDescent="0.2">
      <c r="A40" s="122"/>
      <c r="B40" s="286"/>
      <c r="C40" s="289"/>
      <c r="D40" s="286"/>
      <c r="E40" s="288"/>
      <c r="F40" s="290"/>
      <c r="G40" s="201"/>
      <c r="H40" s="291"/>
      <c r="I40" s="293"/>
      <c r="J40" s="292"/>
      <c r="K40" s="121"/>
      <c r="L40" s="202"/>
      <c r="M40" s="292"/>
      <c r="N40" s="288"/>
      <c r="O40" s="288"/>
      <c r="P40" s="288"/>
      <c r="Q40" s="288"/>
      <c r="R40" s="288"/>
      <c r="S40" s="122"/>
      <c r="U40" s="77" t="s">
        <v>213</v>
      </c>
      <c r="V40" s="77" t="s">
        <v>214</v>
      </c>
      <c r="W40" s="77"/>
      <c r="X40" s="284">
        <v>0</v>
      </c>
      <c r="Y40" s="284"/>
      <c r="AA40" s="77"/>
    </row>
    <row r="41" spans="1:27" s="81" customFormat="1" x14ac:dyDescent="0.2">
      <c r="A41" s="122"/>
      <c r="B41" s="286"/>
      <c r="C41" s="289"/>
      <c r="D41" s="286"/>
      <c r="E41" s="288"/>
      <c r="F41" s="290"/>
      <c r="G41" s="201"/>
      <c r="H41" s="291"/>
      <c r="I41" s="293"/>
      <c r="J41" s="292"/>
      <c r="K41" s="201"/>
      <c r="L41" s="202"/>
      <c r="M41" s="292"/>
      <c r="N41" s="288"/>
      <c r="O41" s="288"/>
      <c r="P41" s="288"/>
      <c r="Q41" s="288"/>
      <c r="R41" s="288"/>
      <c r="S41" s="122"/>
      <c r="U41" s="77" t="s">
        <v>215</v>
      </c>
      <c r="V41" s="77" t="s">
        <v>216</v>
      </c>
      <c r="W41" s="77"/>
      <c r="X41" s="284">
        <v>0</v>
      </c>
      <c r="Y41" s="284"/>
      <c r="AA41" s="77"/>
    </row>
    <row r="42" spans="1:27" s="81" customFormat="1" x14ac:dyDescent="0.2">
      <c r="A42" s="122"/>
      <c r="B42" s="286"/>
      <c r="C42" s="289"/>
      <c r="D42" s="286"/>
      <c r="E42" s="288"/>
      <c r="F42" s="290"/>
      <c r="G42" s="201"/>
      <c r="H42" s="291"/>
      <c r="I42" s="293"/>
      <c r="J42" s="292"/>
      <c r="K42" s="121"/>
      <c r="L42" s="202"/>
      <c r="M42" s="292"/>
      <c r="N42" s="288"/>
      <c r="O42" s="288"/>
      <c r="P42" s="288"/>
      <c r="Q42" s="288"/>
      <c r="R42" s="288"/>
      <c r="S42" s="122"/>
      <c r="U42" s="77" t="s">
        <v>217</v>
      </c>
      <c r="V42" s="77" t="s">
        <v>218</v>
      </c>
      <c r="W42" s="77"/>
      <c r="X42" s="284">
        <v>726.09</v>
      </c>
      <c r="Y42" s="284"/>
      <c r="AA42" s="77"/>
    </row>
    <row r="43" spans="1:27" s="81" customFormat="1" x14ac:dyDescent="0.2">
      <c r="A43" s="122"/>
      <c r="B43" s="286"/>
      <c r="C43" s="289"/>
      <c r="D43" s="286"/>
      <c r="E43" s="288"/>
      <c r="F43" s="290"/>
      <c r="G43" s="201"/>
      <c r="H43" s="291"/>
      <c r="I43" s="293"/>
      <c r="J43" s="292"/>
      <c r="K43" s="201"/>
      <c r="L43" s="202"/>
      <c r="M43" s="292"/>
      <c r="N43" s="288"/>
      <c r="O43" s="288"/>
      <c r="P43" s="288"/>
      <c r="Q43" s="288"/>
      <c r="R43" s="288"/>
      <c r="S43" s="122"/>
      <c r="U43" s="77" t="s">
        <v>219</v>
      </c>
      <c r="V43" s="77" t="s">
        <v>220</v>
      </c>
      <c r="W43" s="77"/>
      <c r="X43" s="284">
        <v>68558.2</v>
      </c>
      <c r="Y43" s="284">
        <f>SUM(X37:X43)</f>
        <v>73618.78</v>
      </c>
      <c r="AA43" s="77" t="s">
        <v>221</v>
      </c>
    </row>
    <row r="44" spans="1:27" s="81" customFormat="1" ht="13.5" thickBot="1" x14ac:dyDescent="0.25">
      <c r="A44" s="122"/>
      <c r="B44" s="286"/>
      <c r="C44" s="289"/>
      <c r="D44" s="286"/>
      <c r="E44" s="288"/>
      <c r="F44" s="290"/>
      <c r="G44" s="201"/>
      <c r="H44" s="291"/>
      <c r="I44" s="293"/>
      <c r="J44" s="292"/>
      <c r="K44" s="121"/>
      <c r="L44" s="202"/>
      <c r="M44" s="292"/>
      <c r="N44" s="288"/>
      <c r="O44" s="288"/>
      <c r="P44" s="288"/>
      <c r="Q44" s="288"/>
      <c r="R44" s="288"/>
      <c r="S44" s="122"/>
      <c r="U44" s="77"/>
      <c r="V44" s="77" t="s">
        <v>222</v>
      </c>
      <c r="W44" s="77"/>
      <c r="X44" s="298">
        <f>SUM(X26:X43)</f>
        <v>2441643.7700000005</v>
      </c>
      <c r="Y44" s="298">
        <f>SUM(Y26:Y43)</f>
        <v>2441643.77</v>
      </c>
      <c r="AA44" s="77"/>
    </row>
    <row r="45" spans="1:27" s="81" customFormat="1" ht="13.5" thickTop="1" x14ac:dyDescent="0.2">
      <c r="A45" s="122"/>
      <c r="B45" s="286"/>
      <c r="C45" s="289"/>
      <c r="D45" s="286"/>
      <c r="E45" s="288"/>
      <c r="F45" s="290"/>
      <c r="G45" s="201"/>
      <c r="H45" s="291"/>
      <c r="I45" s="293"/>
      <c r="J45" s="292"/>
      <c r="K45" s="202"/>
      <c r="L45" s="202"/>
      <c r="M45" s="292"/>
      <c r="N45" s="288"/>
      <c r="O45" s="288"/>
      <c r="P45" s="288"/>
      <c r="Q45" s="288"/>
      <c r="R45" s="288"/>
      <c r="S45" s="122"/>
      <c r="U45" s="77"/>
      <c r="V45" s="77"/>
      <c r="W45" s="77"/>
      <c r="X45" s="77"/>
      <c r="Y45" s="77"/>
      <c r="AA45" s="77"/>
    </row>
    <row r="46" spans="1:27" s="81" customFormat="1" x14ac:dyDescent="0.2">
      <c r="A46" s="122"/>
      <c r="B46" s="286"/>
      <c r="C46" s="289"/>
      <c r="D46" s="286"/>
      <c r="E46" s="288"/>
      <c r="F46" s="290"/>
      <c r="G46" s="201"/>
      <c r="H46" s="291"/>
      <c r="I46" s="293"/>
      <c r="J46" s="292"/>
      <c r="K46" s="121"/>
      <c r="L46" s="292"/>
      <c r="M46" s="292"/>
      <c r="N46" s="288"/>
      <c r="O46" s="288"/>
      <c r="P46" s="288"/>
      <c r="Q46" s="288"/>
      <c r="R46" s="288"/>
      <c r="S46" s="122"/>
      <c r="U46" s="77"/>
      <c r="V46" s="77"/>
      <c r="W46" s="77"/>
      <c r="X46" s="77"/>
    </row>
    <row r="47" spans="1:27" s="81" customFormat="1" x14ac:dyDescent="0.2">
      <c r="A47" s="122"/>
      <c r="B47" s="286"/>
      <c r="C47" s="289"/>
      <c r="D47" s="286"/>
      <c r="E47" s="288"/>
      <c r="F47" s="290"/>
      <c r="G47" s="201"/>
      <c r="H47" s="291"/>
      <c r="I47" s="293"/>
      <c r="J47" s="292"/>
      <c r="K47" s="121"/>
      <c r="L47" s="292"/>
      <c r="M47" s="292"/>
      <c r="N47" s="288"/>
      <c r="O47" s="288"/>
      <c r="P47" s="288"/>
      <c r="Q47" s="288"/>
      <c r="R47" s="288"/>
      <c r="S47" s="122"/>
      <c r="U47" s="77" t="s">
        <v>172</v>
      </c>
      <c r="V47" s="77" t="s">
        <v>223</v>
      </c>
      <c r="W47" s="77"/>
      <c r="X47" s="104">
        <v>-1495879.88</v>
      </c>
      <c r="AA47" s="77" t="s">
        <v>195</v>
      </c>
    </row>
    <row r="48" spans="1:27" s="81" customFormat="1" x14ac:dyDescent="0.2">
      <c r="A48" s="122"/>
      <c r="B48" s="286"/>
      <c r="C48" s="289"/>
      <c r="D48" s="286"/>
      <c r="E48" s="288"/>
      <c r="F48" s="290"/>
      <c r="G48" s="201"/>
      <c r="H48" s="291"/>
      <c r="I48" s="122"/>
      <c r="J48" s="122"/>
      <c r="K48" s="292"/>
      <c r="L48" s="201"/>
      <c r="M48" s="292"/>
      <c r="N48" s="288"/>
      <c r="O48" s="288"/>
      <c r="P48" s="288"/>
      <c r="Q48" s="288"/>
      <c r="R48" s="288"/>
      <c r="S48" s="122"/>
      <c r="U48" s="77" t="s">
        <v>173</v>
      </c>
      <c r="V48" s="77" t="s">
        <v>224</v>
      </c>
      <c r="W48" s="77"/>
      <c r="X48" s="104">
        <v>-12564.32</v>
      </c>
      <c r="AA48" s="77" t="s">
        <v>206</v>
      </c>
    </row>
    <row r="49" spans="1:27" s="81" customFormat="1" x14ac:dyDescent="0.2">
      <c r="A49" s="122"/>
      <c r="B49" s="286"/>
      <c r="C49" s="289"/>
      <c r="D49" s="286"/>
      <c r="E49" s="288"/>
      <c r="F49" s="290"/>
      <c r="G49" s="201"/>
      <c r="H49" s="291"/>
      <c r="I49" s="293"/>
      <c r="J49" s="292"/>
      <c r="K49" s="292"/>
      <c r="L49" s="292"/>
      <c r="M49" s="292"/>
      <c r="N49" s="288"/>
      <c r="O49" s="288"/>
      <c r="P49" s="288"/>
      <c r="Q49" s="288"/>
      <c r="R49" s="288"/>
      <c r="S49" s="122"/>
      <c r="U49" s="77" t="s">
        <v>225</v>
      </c>
      <c r="V49" s="77" t="s">
        <v>226</v>
      </c>
      <c r="W49" s="77"/>
      <c r="X49" s="104">
        <v>0</v>
      </c>
    </row>
    <row r="50" spans="1:27" s="81" customFormat="1" x14ac:dyDescent="0.2">
      <c r="A50" s="122"/>
      <c r="B50" s="286"/>
      <c r="C50" s="289"/>
      <c r="D50" s="286"/>
      <c r="E50" s="288"/>
      <c r="F50" s="290"/>
      <c r="G50" s="201"/>
      <c r="H50" s="291"/>
      <c r="I50" s="293"/>
      <c r="J50" s="292"/>
      <c r="K50" s="201"/>
      <c r="L50" s="201"/>
      <c r="M50" s="201"/>
      <c r="N50" s="288"/>
      <c r="O50" s="288"/>
      <c r="P50" s="288"/>
      <c r="Q50" s="288"/>
      <c r="R50" s="288"/>
      <c r="S50" s="122"/>
      <c r="U50" s="77" t="s">
        <v>227</v>
      </c>
      <c r="V50" s="77" t="s">
        <v>228</v>
      </c>
      <c r="W50" s="77"/>
      <c r="X50" s="104">
        <v>0</v>
      </c>
    </row>
    <row r="51" spans="1:27" s="81" customFormat="1" x14ac:dyDescent="0.2">
      <c r="A51" s="122"/>
      <c r="B51" s="286"/>
      <c r="C51" s="289"/>
      <c r="D51" s="286"/>
      <c r="E51" s="288"/>
      <c r="F51" s="290"/>
      <c r="G51" s="201"/>
      <c r="H51" s="291"/>
      <c r="I51" s="293"/>
      <c r="J51" s="292"/>
      <c r="K51" s="294"/>
      <c r="L51" s="294"/>
      <c r="M51" s="294"/>
      <c r="N51" s="288"/>
      <c r="O51" s="288"/>
      <c r="P51" s="288"/>
      <c r="Q51" s="288"/>
      <c r="R51" s="288"/>
      <c r="S51" s="122"/>
      <c r="U51" s="77" t="s">
        <v>229</v>
      </c>
      <c r="V51" s="77" t="s">
        <v>230</v>
      </c>
      <c r="W51" s="77"/>
      <c r="X51" s="104">
        <v>-10818.549999999997</v>
      </c>
      <c r="AA51" s="77" t="s">
        <v>221</v>
      </c>
    </row>
    <row r="52" spans="1:27" s="81" customFormat="1" ht="13.5" thickBot="1" x14ac:dyDescent="0.25">
      <c r="A52" s="122"/>
      <c r="B52" s="286"/>
      <c r="C52" s="289"/>
      <c r="D52" s="286"/>
      <c r="E52" s="288"/>
      <c r="F52" s="290"/>
      <c r="G52" s="201"/>
      <c r="H52" s="291"/>
      <c r="I52" s="293"/>
      <c r="J52" s="292"/>
      <c r="K52" s="292"/>
      <c r="L52" s="292"/>
      <c r="M52" s="292"/>
      <c r="N52" s="288"/>
      <c r="O52" s="288"/>
      <c r="P52" s="288"/>
      <c r="Q52" s="288"/>
      <c r="R52" s="288"/>
      <c r="S52" s="122"/>
      <c r="U52" s="77"/>
      <c r="V52" s="77" t="s">
        <v>231</v>
      </c>
      <c r="W52" s="77"/>
      <c r="X52" s="272">
        <f>SUM(X47:X51)</f>
        <v>-1519262.75</v>
      </c>
    </row>
    <row r="53" spans="1:27" s="81" customFormat="1" ht="13.5" thickTop="1" x14ac:dyDescent="0.2">
      <c r="A53" s="122"/>
      <c r="B53" s="286"/>
      <c r="C53" s="289"/>
      <c r="D53" s="286"/>
      <c r="E53" s="288"/>
      <c r="F53" s="290"/>
      <c r="G53" s="201"/>
      <c r="H53" s="291"/>
      <c r="I53" s="293"/>
      <c r="J53" s="292"/>
      <c r="K53" s="198"/>
      <c r="L53" s="295"/>
      <c r="M53" s="292"/>
      <c r="N53" s="288"/>
      <c r="O53" s="288"/>
      <c r="P53" s="288"/>
      <c r="Q53" s="288"/>
      <c r="R53" s="288"/>
      <c r="S53" s="122"/>
    </row>
    <row r="54" spans="1:27" s="81" customFormat="1" x14ac:dyDescent="0.2">
      <c r="A54" s="122"/>
      <c r="B54" s="286"/>
      <c r="C54" s="289"/>
      <c r="D54" s="286"/>
      <c r="E54" s="288"/>
      <c r="F54" s="290"/>
      <c r="G54" s="201"/>
      <c r="H54" s="291"/>
      <c r="I54" s="293"/>
      <c r="J54" s="292"/>
      <c r="K54" s="121"/>
      <c r="L54" s="202"/>
      <c r="M54" s="292"/>
      <c r="N54" s="288"/>
      <c r="O54" s="288"/>
      <c r="P54" s="288"/>
      <c r="Q54" s="288"/>
      <c r="R54" s="288"/>
      <c r="S54" s="122"/>
    </row>
    <row r="55" spans="1:27" s="81" customFormat="1" x14ac:dyDescent="0.2">
      <c r="A55" s="122"/>
      <c r="B55" s="286"/>
      <c r="C55" s="289"/>
      <c r="D55" s="286"/>
      <c r="E55" s="288"/>
      <c r="F55" s="290"/>
      <c r="G55" s="201"/>
      <c r="H55" s="291"/>
      <c r="I55" s="293"/>
      <c r="J55" s="292"/>
      <c r="K55" s="201"/>
      <c r="L55" s="202"/>
      <c r="M55" s="292"/>
      <c r="N55" s="288"/>
      <c r="O55" s="288"/>
      <c r="P55" s="288"/>
      <c r="Q55" s="288"/>
      <c r="R55" s="288"/>
      <c r="S55" s="122"/>
    </row>
    <row r="56" spans="1:27" s="81" customFormat="1" x14ac:dyDescent="0.2">
      <c r="A56" s="122"/>
      <c r="B56" s="286"/>
      <c r="C56" s="289"/>
      <c r="D56" s="286"/>
      <c r="E56" s="288"/>
      <c r="F56" s="290"/>
      <c r="G56" s="201"/>
      <c r="H56" s="291"/>
      <c r="I56" s="293"/>
      <c r="J56" s="292"/>
      <c r="K56" s="121"/>
      <c r="L56" s="202"/>
      <c r="M56" s="292"/>
      <c r="N56" s="288"/>
      <c r="O56" s="288"/>
      <c r="P56" s="288"/>
      <c r="Q56" s="288"/>
      <c r="R56" s="288"/>
      <c r="S56" s="122"/>
    </row>
    <row r="57" spans="1:27" s="81" customFormat="1" x14ac:dyDescent="0.2">
      <c r="A57" s="122"/>
      <c r="B57" s="286"/>
      <c r="C57" s="289"/>
      <c r="D57" s="286"/>
      <c r="E57" s="288"/>
      <c r="F57" s="290"/>
      <c r="G57" s="201"/>
      <c r="H57" s="291"/>
      <c r="I57" s="293"/>
      <c r="J57" s="292"/>
      <c r="K57" s="201"/>
      <c r="L57" s="202"/>
      <c r="M57" s="292"/>
      <c r="N57" s="288"/>
      <c r="O57" s="288"/>
      <c r="P57" s="288"/>
      <c r="Q57" s="288"/>
      <c r="R57" s="288"/>
      <c r="S57" s="122"/>
    </row>
    <row r="58" spans="1:27" s="81" customFormat="1" x14ac:dyDescent="0.2">
      <c r="A58" s="122"/>
      <c r="B58" s="286"/>
      <c r="C58" s="289"/>
      <c r="D58" s="286"/>
      <c r="E58" s="288"/>
      <c r="F58" s="290"/>
      <c r="G58" s="201"/>
      <c r="H58" s="291"/>
      <c r="I58" s="293"/>
      <c r="J58" s="292"/>
      <c r="K58" s="121"/>
      <c r="L58" s="202"/>
      <c r="M58" s="292"/>
      <c r="N58" s="288"/>
      <c r="O58" s="288"/>
      <c r="P58" s="288"/>
      <c r="Q58" s="288"/>
      <c r="R58" s="288"/>
      <c r="S58" s="122"/>
    </row>
    <row r="59" spans="1:27" s="81" customFormat="1" x14ac:dyDescent="0.2">
      <c r="A59" s="122"/>
      <c r="B59" s="286"/>
      <c r="C59" s="289"/>
      <c r="D59" s="286"/>
      <c r="E59" s="288"/>
      <c r="F59" s="290"/>
      <c r="G59" s="201"/>
      <c r="H59" s="291"/>
      <c r="I59" s="293"/>
      <c r="J59" s="292"/>
      <c r="K59" s="202"/>
      <c r="L59" s="202"/>
      <c r="M59" s="292"/>
      <c r="N59" s="288"/>
      <c r="O59" s="288"/>
      <c r="P59" s="288"/>
      <c r="Q59" s="288"/>
      <c r="R59" s="288"/>
      <c r="S59" s="122"/>
    </row>
    <row r="60" spans="1:27" s="81" customFormat="1" x14ac:dyDescent="0.2">
      <c r="A60" s="122"/>
      <c r="B60" s="286"/>
      <c r="C60" s="289"/>
      <c r="D60" s="286"/>
      <c r="E60" s="288"/>
      <c r="F60" s="290"/>
      <c r="G60" s="201"/>
      <c r="H60" s="291"/>
      <c r="I60" s="293"/>
      <c r="J60" s="292"/>
      <c r="K60" s="292"/>
      <c r="L60" s="292"/>
      <c r="M60" s="292"/>
      <c r="N60" s="288"/>
      <c r="O60" s="288"/>
      <c r="P60" s="288"/>
      <c r="Q60" s="288"/>
      <c r="R60" s="288"/>
      <c r="S60" s="122"/>
    </row>
    <row r="61" spans="1:27" s="81" customFormat="1" x14ac:dyDescent="0.2">
      <c r="A61" s="122"/>
      <c r="B61" s="286"/>
      <c r="C61" s="289"/>
      <c r="D61" s="286"/>
      <c r="E61" s="288"/>
      <c r="F61" s="290"/>
      <c r="G61" s="201"/>
      <c r="H61" s="291"/>
      <c r="I61" s="293"/>
      <c r="J61" s="292"/>
      <c r="K61" s="292"/>
      <c r="L61" s="292"/>
      <c r="M61" s="292"/>
      <c r="N61" s="288"/>
      <c r="O61" s="288"/>
      <c r="P61" s="288"/>
      <c r="Q61" s="288"/>
      <c r="R61" s="288"/>
      <c r="S61" s="122"/>
    </row>
    <row r="62" spans="1:27" s="81" customFormat="1" x14ac:dyDescent="0.2">
      <c r="A62" s="122"/>
      <c r="B62" s="286"/>
      <c r="C62" s="289"/>
      <c r="D62" s="286"/>
      <c r="E62" s="286"/>
      <c r="F62" s="286"/>
      <c r="G62" s="201"/>
      <c r="H62" s="287"/>
      <c r="I62" s="122"/>
      <c r="J62" s="122"/>
      <c r="K62" s="292"/>
      <c r="L62" s="201"/>
      <c r="M62" s="292"/>
      <c r="N62" s="286"/>
      <c r="O62" s="286"/>
      <c r="P62" s="286"/>
      <c r="Q62" s="286"/>
      <c r="R62" s="286"/>
      <c r="S62" s="122"/>
    </row>
    <row r="63" spans="1:27" s="97" customFormat="1" x14ac:dyDescent="0.2">
      <c r="A63" s="122"/>
      <c r="B63" s="286"/>
      <c r="C63" s="289"/>
      <c r="D63" s="286"/>
      <c r="E63" s="286"/>
      <c r="F63" s="286"/>
      <c r="G63" s="201"/>
      <c r="H63" s="287"/>
      <c r="I63" s="122"/>
      <c r="J63" s="122"/>
      <c r="K63" s="292"/>
      <c r="L63" s="292"/>
      <c r="M63" s="292"/>
      <c r="N63" s="286"/>
      <c r="O63" s="286"/>
      <c r="P63" s="286"/>
      <c r="Q63" s="286"/>
      <c r="R63" s="286"/>
      <c r="S63" s="122"/>
    </row>
    <row r="64" spans="1:27" s="97" customFormat="1" x14ac:dyDescent="0.2">
      <c r="A64" s="122"/>
      <c r="B64" s="286"/>
      <c r="C64" s="289"/>
      <c r="D64" s="286"/>
      <c r="E64" s="286"/>
      <c r="F64" s="286"/>
      <c r="G64" s="201"/>
      <c r="H64" s="287"/>
      <c r="I64" s="122"/>
      <c r="J64" s="122"/>
      <c r="K64" s="201"/>
      <c r="L64" s="201"/>
      <c r="M64" s="201"/>
      <c r="N64" s="286"/>
      <c r="O64" s="286"/>
      <c r="P64" s="286"/>
      <c r="Q64" s="286"/>
      <c r="R64" s="286"/>
      <c r="S64" s="122"/>
    </row>
    <row r="65" spans="1:19" s="97" customFormat="1" x14ac:dyDescent="0.2">
      <c r="A65" s="122"/>
      <c r="B65" s="286"/>
      <c r="C65" s="289"/>
      <c r="D65" s="286"/>
      <c r="E65" s="286"/>
      <c r="F65" s="286"/>
      <c r="G65" s="201"/>
      <c r="H65" s="287"/>
      <c r="I65" s="122"/>
      <c r="J65" s="122"/>
      <c r="K65" s="294"/>
      <c r="L65" s="294"/>
      <c r="M65" s="294"/>
      <c r="N65" s="286"/>
      <c r="O65" s="286"/>
      <c r="P65" s="286"/>
      <c r="Q65" s="286"/>
      <c r="R65" s="286"/>
      <c r="S65" s="122"/>
    </row>
    <row r="66" spans="1:19" s="97" customFormat="1" x14ac:dyDescent="0.2">
      <c r="A66" s="122"/>
      <c r="B66" s="286"/>
      <c r="C66" s="289"/>
      <c r="D66" s="286"/>
      <c r="E66" s="286"/>
      <c r="F66" s="286"/>
      <c r="G66" s="201"/>
      <c r="H66" s="287"/>
      <c r="I66" s="122"/>
      <c r="J66" s="122"/>
      <c r="K66" s="292"/>
      <c r="L66" s="292"/>
      <c r="M66" s="292"/>
      <c r="N66" s="286"/>
      <c r="O66" s="286"/>
      <c r="P66" s="286"/>
      <c r="Q66" s="286"/>
      <c r="R66" s="286"/>
      <c r="S66" s="122"/>
    </row>
    <row r="67" spans="1:19" s="97" customFormat="1" x14ac:dyDescent="0.2">
      <c r="A67" s="122"/>
      <c r="B67" s="286"/>
      <c r="C67" s="289"/>
      <c r="D67" s="286"/>
      <c r="E67" s="286"/>
      <c r="F67" s="286"/>
      <c r="G67" s="201"/>
      <c r="H67" s="287"/>
      <c r="I67" s="122"/>
      <c r="J67" s="122"/>
      <c r="K67" s="198"/>
      <c r="L67" s="295"/>
      <c r="M67" s="292"/>
      <c r="N67" s="286"/>
      <c r="O67" s="286"/>
      <c r="P67" s="286"/>
      <c r="Q67" s="286"/>
      <c r="R67" s="286"/>
      <c r="S67" s="122"/>
    </row>
    <row r="68" spans="1:19" s="97" customFormat="1" x14ac:dyDescent="0.2">
      <c r="A68" s="122"/>
      <c r="B68" s="286"/>
      <c r="C68" s="289"/>
      <c r="D68" s="286"/>
      <c r="E68" s="286"/>
      <c r="F68" s="286"/>
      <c r="G68" s="201"/>
      <c r="H68" s="287"/>
      <c r="I68" s="122"/>
      <c r="J68" s="122"/>
      <c r="K68" s="121"/>
      <c r="L68" s="202"/>
      <c r="M68" s="292"/>
      <c r="N68" s="286"/>
      <c r="O68" s="286"/>
      <c r="P68" s="286"/>
      <c r="Q68" s="286"/>
      <c r="R68" s="286"/>
      <c r="S68" s="122"/>
    </row>
    <row r="69" spans="1:19" s="97" customFormat="1" x14ac:dyDescent="0.2">
      <c r="A69" s="122"/>
      <c r="B69" s="286"/>
      <c r="C69" s="289"/>
      <c r="D69" s="286"/>
      <c r="E69" s="286"/>
      <c r="F69" s="286"/>
      <c r="G69" s="201"/>
      <c r="H69" s="287"/>
      <c r="I69" s="122"/>
      <c r="J69" s="122"/>
      <c r="K69" s="201"/>
      <c r="L69" s="202"/>
      <c r="M69" s="292"/>
      <c r="N69" s="286"/>
      <c r="O69" s="286"/>
      <c r="P69" s="286"/>
      <c r="Q69" s="286"/>
      <c r="R69" s="286"/>
      <c r="S69" s="122"/>
    </row>
    <row r="70" spans="1:19" s="97" customFormat="1" x14ac:dyDescent="0.2">
      <c r="A70" s="122"/>
      <c r="B70" s="286"/>
      <c r="C70" s="289"/>
      <c r="D70" s="286"/>
      <c r="E70" s="286"/>
      <c r="F70" s="286"/>
      <c r="G70" s="201"/>
      <c r="H70" s="287"/>
      <c r="I70" s="122"/>
      <c r="J70" s="122"/>
      <c r="K70" s="121"/>
      <c r="L70" s="202"/>
      <c r="M70" s="292"/>
      <c r="N70" s="286"/>
      <c r="O70" s="286"/>
      <c r="P70" s="286"/>
      <c r="Q70" s="286"/>
      <c r="R70" s="286"/>
      <c r="S70" s="122"/>
    </row>
    <row r="71" spans="1:19" s="97" customFormat="1" x14ac:dyDescent="0.2">
      <c r="A71" s="122"/>
      <c r="B71" s="286"/>
      <c r="C71" s="289"/>
      <c r="D71" s="286"/>
      <c r="E71" s="286"/>
      <c r="F71" s="286"/>
      <c r="G71" s="201"/>
      <c r="H71" s="287"/>
      <c r="I71" s="122"/>
      <c r="J71" s="122"/>
      <c r="K71" s="201"/>
      <c r="L71" s="202"/>
      <c r="M71" s="292"/>
      <c r="N71" s="286"/>
      <c r="O71" s="286"/>
      <c r="P71" s="286"/>
      <c r="Q71" s="286"/>
      <c r="R71" s="286"/>
      <c r="S71" s="122"/>
    </row>
    <row r="72" spans="1:19" s="97" customFormat="1" x14ac:dyDescent="0.2">
      <c r="A72" s="122"/>
      <c r="B72" s="286"/>
      <c r="C72" s="289"/>
      <c r="D72" s="286"/>
      <c r="E72" s="286"/>
      <c r="F72" s="286"/>
      <c r="G72" s="201"/>
      <c r="H72" s="287"/>
      <c r="I72" s="122"/>
      <c r="J72" s="122"/>
      <c r="K72" s="121"/>
      <c r="L72" s="202"/>
      <c r="M72" s="292"/>
      <c r="N72" s="286"/>
      <c r="O72" s="286"/>
      <c r="P72" s="286"/>
      <c r="Q72" s="286"/>
      <c r="R72" s="286"/>
      <c r="S72" s="122"/>
    </row>
    <row r="73" spans="1:19" s="97" customFormat="1" x14ac:dyDescent="0.2">
      <c r="A73" s="122"/>
      <c r="B73" s="286"/>
      <c r="C73" s="289"/>
      <c r="D73" s="286"/>
      <c r="E73" s="286"/>
      <c r="F73" s="286"/>
      <c r="G73" s="201"/>
      <c r="H73" s="287"/>
      <c r="I73" s="122"/>
      <c r="J73" s="122"/>
      <c r="K73" s="202"/>
      <c r="L73" s="202"/>
      <c r="M73" s="292"/>
      <c r="N73" s="286"/>
      <c r="O73" s="286"/>
      <c r="P73" s="286"/>
      <c r="Q73" s="286"/>
      <c r="R73" s="286"/>
      <c r="S73" s="122"/>
    </row>
    <row r="74" spans="1:19" s="97" customFormat="1" x14ac:dyDescent="0.2">
      <c r="A74" s="122"/>
      <c r="B74" s="286"/>
      <c r="C74" s="289"/>
      <c r="D74" s="286"/>
      <c r="E74" s="286"/>
      <c r="F74" s="286"/>
      <c r="G74" s="201"/>
      <c r="H74" s="287"/>
      <c r="I74" s="122"/>
      <c r="J74" s="122"/>
      <c r="K74" s="292"/>
      <c r="L74" s="292"/>
      <c r="M74" s="292"/>
      <c r="N74" s="286"/>
      <c r="O74" s="286"/>
      <c r="P74" s="286"/>
      <c r="Q74" s="286"/>
      <c r="R74" s="286"/>
      <c r="S74" s="122"/>
    </row>
    <row r="75" spans="1:19" s="81" customFormat="1" x14ac:dyDescent="0.2">
      <c r="A75" s="122"/>
      <c r="B75" s="286"/>
      <c r="C75" s="289"/>
      <c r="D75" s="286"/>
      <c r="E75" s="286"/>
      <c r="F75" s="286"/>
      <c r="G75" s="201"/>
      <c r="H75" s="287"/>
      <c r="I75" s="122"/>
      <c r="J75" s="122"/>
      <c r="K75" s="122"/>
      <c r="L75" s="122"/>
      <c r="M75" s="122"/>
      <c r="N75" s="286"/>
      <c r="O75" s="286"/>
      <c r="P75" s="286"/>
      <c r="Q75" s="286"/>
      <c r="R75" s="286"/>
      <c r="S75" s="122"/>
    </row>
    <row r="76" spans="1:19" s="81" customFormat="1" x14ac:dyDescent="0.2">
      <c r="A76" s="122"/>
      <c r="B76" s="286"/>
      <c r="C76" s="289"/>
      <c r="D76" s="286"/>
      <c r="E76" s="286"/>
      <c r="F76" s="286"/>
      <c r="G76" s="201"/>
      <c r="H76" s="287"/>
      <c r="I76" s="122"/>
      <c r="J76" s="122"/>
      <c r="K76" s="201"/>
      <c r="L76" s="201"/>
      <c r="M76" s="201"/>
      <c r="N76" s="286"/>
      <c r="O76" s="286"/>
      <c r="P76" s="286"/>
      <c r="Q76" s="286"/>
      <c r="R76" s="286"/>
      <c r="S76" s="294"/>
    </row>
    <row r="77" spans="1:19" s="81" customFormat="1" x14ac:dyDescent="0.2">
      <c r="A77" s="122"/>
      <c r="B77" s="286"/>
      <c r="C77" s="289"/>
      <c r="D77" s="286"/>
      <c r="E77" s="286"/>
      <c r="F77" s="286"/>
      <c r="G77" s="201"/>
      <c r="H77" s="287"/>
      <c r="I77" s="122"/>
      <c r="J77" s="122"/>
      <c r="K77" s="122"/>
      <c r="L77" s="122"/>
      <c r="M77" s="122"/>
      <c r="N77" s="286"/>
      <c r="O77" s="286"/>
      <c r="P77" s="286"/>
      <c r="Q77" s="286"/>
      <c r="R77" s="286"/>
      <c r="S77" s="122"/>
    </row>
    <row r="78" spans="1:19" s="81" customFormat="1" x14ac:dyDescent="0.2">
      <c r="A78" s="122"/>
      <c r="B78" s="286"/>
      <c r="C78" s="289"/>
      <c r="D78" s="286"/>
      <c r="E78" s="286"/>
      <c r="F78" s="286"/>
      <c r="G78" s="201"/>
      <c r="H78" s="287"/>
      <c r="I78" s="122"/>
      <c r="J78" s="122"/>
      <c r="K78" s="201"/>
      <c r="L78" s="201"/>
      <c r="M78" s="201"/>
      <c r="N78" s="286"/>
      <c r="O78" s="286"/>
      <c r="P78" s="286"/>
      <c r="Q78" s="286"/>
      <c r="R78" s="286"/>
      <c r="S78" s="201"/>
    </row>
    <row r="79" spans="1:19" x14ac:dyDescent="0.2">
      <c r="A79" s="121"/>
      <c r="B79" s="288"/>
      <c r="C79" s="296"/>
      <c r="D79" s="288"/>
      <c r="E79" s="288"/>
      <c r="F79" s="288"/>
      <c r="G79" s="201"/>
      <c r="H79" s="297"/>
      <c r="I79" s="121"/>
      <c r="J79" s="121"/>
      <c r="K79" s="201"/>
      <c r="L79" s="201"/>
      <c r="M79" s="201"/>
      <c r="N79" s="288"/>
      <c r="O79" s="288"/>
      <c r="P79" s="288"/>
      <c r="Q79" s="288"/>
      <c r="R79" s="288"/>
      <c r="S79" s="121"/>
    </row>
    <row r="80" spans="1:19" x14ac:dyDescent="0.2">
      <c r="A80" s="121"/>
      <c r="B80" s="288"/>
      <c r="C80" s="296"/>
      <c r="D80" s="288"/>
      <c r="E80" s="288"/>
      <c r="F80" s="288"/>
      <c r="G80" s="121"/>
      <c r="H80" s="288"/>
      <c r="I80" s="121"/>
      <c r="J80" s="121"/>
      <c r="K80" s="121"/>
      <c r="L80" s="121"/>
      <c r="M80" s="121"/>
      <c r="N80" s="288"/>
      <c r="O80" s="288"/>
      <c r="P80" s="288"/>
      <c r="Q80" s="288"/>
      <c r="R80" s="288"/>
      <c r="S80" s="121"/>
    </row>
    <row r="81" spans="1:19" x14ac:dyDescent="0.2">
      <c r="A81" s="121"/>
      <c r="B81" s="288"/>
      <c r="C81" s="296"/>
      <c r="D81" s="288"/>
      <c r="E81" s="288"/>
      <c r="F81" s="288"/>
      <c r="G81" s="121"/>
      <c r="H81" s="288"/>
      <c r="I81" s="121"/>
      <c r="J81" s="121"/>
      <c r="K81" s="121"/>
      <c r="L81" s="121"/>
      <c r="M81" s="121"/>
      <c r="N81" s="288"/>
      <c r="O81" s="288"/>
      <c r="P81" s="288"/>
      <c r="Q81" s="288"/>
      <c r="R81" s="288"/>
      <c r="S81" s="121"/>
    </row>
    <row r="82" spans="1:19" x14ac:dyDescent="0.2">
      <c r="A82" s="121"/>
      <c r="B82" s="288"/>
      <c r="C82" s="296"/>
      <c r="D82" s="288"/>
      <c r="E82" s="288"/>
      <c r="F82" s="288"/>
      <c r="G82" s="121"/>
      <c r="H82" s="288"/>
      <c r="I82" s="121"/>
      <c r="J82" s="121"/>
      <c r="K82" s="121"/>
      <c r="L82" s="121"/>
      <c r="M82" s="121"/>
      <c r="N82" s="288"/>
      <c r="O82" s="288"/>
      <c r="P82" s="288"/>
      <c r="Q82" s="288"/>
      <c r="R82" s="288"/>
      <c r="S82" s="121"/>
    </row>
    <row r="83" spans="1:19" x14ac:dyDescent="0.2">
      <c r="A83" s="121"/>
      <c r="B83" s="288"/>
      <c r="C83" s="296"/>
      <c r="D83" s="288"/>
      <c r="E83" s="288"/>
      <c r="F83" s="288"/>
      <c r="G83" s="121"/>
      <c r="H83" s="288"/>
      <c r="I83" s="121"/>
      <c r="J83" s="121"/>
      <c r="K83" s="121"/>
      <c r="L83" s="121"/>
      <c r="M83" s="121"/>
      <c r="N83" s="288"/>
      <c r="O83" s="288"/>
      <c r="P83" s="288"/>
      <c r="Q83" s="288"/>
      <c r="R83" s="288"/>
      <c r="S83" s="121"/>
    </row>
    <row r="84" spans="1:19" x14ac:dyDescent="0.2">
      <c r="A84" s="121"/>
      <c r="B84" s="288"/>
      <c r="C84" s="296"/>
      <c r="D84" s="288"/>
      <c r="E84" s="288"/>
      <c r="F84" s="288"/>
      <c r="G84" s="121"/>
      <c r="H84" s="288"/>
      <c r="I84" s="121"/>
      <c r="J84" s="121"/>
      <c r="K84" s="121"/>
      <c r="L84" s="121"/>
      <c r="M84" s="121"/>
      <c r="N84" s="288"/>
      <c r="O84" s="288"/>
      <c r="P84" s="288"/>
      <c r="Q84" s="288"/>
      <c r="R84" s="288"/>
      <c r="S84" s="121"/>
    </row>
    <row r="85" spans="1:19" x14ac:dyDescent="0.2">
      <c r="A85" s="121"/>
      <c r="B85" s="288"/>
      <c r="C85" s="296"/>
      <c r="D85" s="288"/>
      <c r="E85" s="288"/>
      <c r="F85" s="288"/>
      <c r="G85" s="121"/>
      <c r="H85" s="288"/>
      <c r="I85" s="121"/>
      <c r="J85" s="121"/>
      <c r="K85" s="121"/>
      <c r="L85" s="121"/>
      <c r="M85" s="121"/>
      <c r="N85" s="288"/>
      <c r="O85" s="288"/>
      <c r="P85" s="288"/>
      <c r="Q85" s="288"/>
      <c r="R85" s="288"/>
      <c r="S85" s="121"/>
    </row>
    <row r="86" spans="1:19" x14ac:dyDescent="0.2">
      <c r="A86" s="121"/>
      <c r="B86" s="288"/>
      <c r="C86" s="296"/>
      <c r="D86" s="288"/>
      <c r="E86" s="288"/>
      <c r="F86" s="288"/>
      <c r="G86" s="121"/>
      <c r="H86" s="288"/>
      <c r="I86" s="121"/>
      <c r="J86" s="121"/>
      <c r="K86" s="121"/>
      <c r="L86" s="121"/>
      <c r="M86" s="121"/>
      <c r="N86" s="288"/>
      <c r="O86" s="288"/>
      <c r="P86" s="288"/>
      <c r="Q86" s="288"/>
      <c r="R86" s="288"/>
      <c r="S86" s="121"/>
    </row>
    <row r="87" spans="1:19" x14ac:dyDescent="0.2">
      <c r="A87" s="121"/>
      <c r="B87" s="288"/>
      <c r="C87" s="296"/>
      <c r="D87" s="288"/>
      <c r="E87" s="288"/>
      <c r="F87" s="288"/>
      <c r="G87" s="121"/>
      <c r="H87" s="288"/>
      <c r="I87" s="121"/>
      <c r="J87" s="121"/>
      <c r="K87" s="121"/>
      <c r="L87" s="121"/>
      <c r="M87" s="121"/>
      <c r="N87" s="288"/>
      <c r="O87" s="288"/>
      <c r="P87" s="288"/>
      <c r="Q87" s="288"/>
      <c r="R87" s="288"/>
      <c r="S87" s="121"/>
    </row>
    <row r="88" spans="1:19" x14ac:dyDescent="0.2">
      <c r="A88" s="121"/>
      <c r="B88" s="288"/>
      <c r="C88" s="296"/>
      <c r="D88" s="288"/>
      <c r="E88" s="288"/>
      <c r="F88" s="288"/>
      <c r="G88" s="121"/>
      <c r="H88" s="288"/>
      <c r="I88" s="121"/>
      <c r="J88" s="121"/>
      <c r="K88" s="121"/>
      <c r="L88" s="121"/>
      <c r="M88" s="121"/>
      <c r="N88" s="288"/>
      <c r="O88" s="288"/>
      <c r="P88" s="288"/>
      <c r="Q88" s="288"/>
      <c r="R88" s="288"/>
      <c r="S88" s="121"/>
    </row>
    <row r="89" spans="1:19" x14ac:dyDescent="0.2">
      <c r="A89" s="121"/>
      <c r="B89" s="288"/>
      <c r="C89" s="296"/>
      <c r="D89" s="288"/>
      <c r="E89" s="288"/>
      <c r="F89" s="288"/>
      <c r="G89" s="121"/>
      <c r="H89" s="288"/>
      <c r="I89" s="121"/>
      <c r="J89" s="121"/>
      <c r="K89" s="121"/>
      <c r="L89" s="121"/>
      <c r="M89" s="121"/>
      <c r="N89" s="288"/>
      <c r="O89" s="288"/>
      <c r="P89" s="288"/>
      <c r="Q89" s="288"/>
      <c r="R89" s="288"/>
      <c r="S89" s="121"/>
    </row>
    <row r="90" spans="1:19" x14ac:dyDescent="0.2">
      <c r="A90" s="121"/>
      <c r="B90" s="288"/>
      <c r="C90" s="296"/>
      <c r="D90" s="288"/>
      <c r="E90" s="288"/>
      <c r="F90" s="288"/>
      <c r="G90" s="121"/>
      <c r="H90" s="288"/>
      <c r="I90" s="121"/>
      <c r="J90" s="121"/>
      <c r="K90" s="121"/>
      <c r="L90" s="121"/>
      <c r="M90" s="121"/>
      <c r="N90" s="288"/>
      <c r="O90" s="288"/>
      <c r="P90" s="288"/>
      <c r="Q90" s="288"/>
      <c r="R90" s="288"/>
      <c r="S90" s="121"/>
    </row>
    <row r="91" spans="1:19" x14ac:dyDescent="0.2">
      <c r="A91" s="121"/>
      <c r="B91" s="288"/>
      <c r="C91" s="296"/>
      <c r="D91" s="288"/>
      <c r="E91" s="288"/>
      <c r="F91" s="288"/>
      <c r="G91" s="121"/>
      <c r="H91" s="288"/>
      <c r="I91" s="121"/>
      <c r="J91" s="121"/>
      <c r="K91" s="121"/>
      <c r="L91" s="121"/>
      <c r="M91" s="121"/>
      <c r="N91" s="288"/>
      <c r="O91" s="288"/>
      <c r="P91" s="288"/>
      <c r="Q91" s="288"/>
      <c r="R91" s="288"/>
      <c r="S91" s="121"/>
    </row>
    <row r="92" spans="1:19" x14ac:dyDescent="0.2">
      <c r="A92" s="121"/>
      <c r="B92" s="288"/>
      <c r="C92" s="296"/>
      <c r="D92" s="288"/>
      <c r="E92" s="288"/>
      <c r="F92" s="288"/>
      <c r="G92" s="121"/>
      <c r="H92" s="288"/>
      <c r="I92" s="121"/>
      <c r="J92" s="121"/>
      <c r="K92" s="121"/>
      <c r="L92" s="121"/>
      <c r="M92" s="121"/>
      <c r="N92" s="288"/>
      <c r="O92" s="288"/>
      <c r="P92" s="288"/>
      <c r="Q92" s="288"/>
      <c r="R92" s="288"/>
      <c r="S92" s="121"/>
    </row>
    <row r="93" spans="1:19" x14ac:dyDescent="0.2">
      <c r="A93" s="121"/>
      <c r="B93" s="288"/>
      <c r="C93" s="296"/>
      <c r="D93" s="288"/>
      <c r="E93" s="288"/>
      <c r="F93" s="288"/>
      <c r="G93" s="121"/>
      <c r="H93" s="288"/>
      <c r="I93" s="121"/>
      <c r="J93" s="121"/>
      <c r="K93" s="121"/>
      <c r="L93" s="121"/>
      <c r="M93" s="121"/>
      <c r="N93" s="288"/>
      <c r="O93" s="288"/>
      <c r="P93" s="288"/>
      <c r="Q93" s="288"/>
      <c r="R93" s="288"/>
      <c r="S93" s="121"/>
    </row>
    <row r="94" spans="1:19" x14ac:dyDescent="0.2">
      <c r="A94" s="121"/>
      <c r="B94" s="288"/>
      <c r="C94" s="296"/>
      <c r="D94" s="288"/>
      <c r="E94" s="288"/>
      <c r="F94" s="288"/>
      <c r="G94" s="121"/>
      <c r="H94" s="288"/>
      <c r="I94" s="121"/>
      <c r="J94" s="121"/>
      <c r="K94" s="121"/>
      <c r="L94" s="121"/>
      <c r="M94" s="121"/>
      <c r="N94" s="288"/>
      <c r="O94" s="288"/>
      <c r="P94" s="288"/>
      <c r="Q94" s="288"/>
      <c r="R94" s="288"/>
      <c r="S94" s="121"/>
    </row>
    <row r="95" spans="1:19" x14ac:dyDescent="0.2">
      <c r="A95" s="121"/>
      <c r="B95" s="288"/>
      <c r="C95" s="296"/>
      <c r="D95" s="288"/>
      <c r="E95" s="288"/>
      <c r="F95" s="288"/>
      <c r="G95" s="121"/>
      <c r="H95" s="288"/>
      <c r="I95" s="121"/>
      <c r="J95" s="121"/>
      <c r="K95" s="121"/>
      <c r="L95" s="121"/>
      <c r="M95" s="121"/>
      <c r="N95" s="288"/>
      <c r="O95" s="288"/>
      <c r="P95" s="288"/>
      <c r="Q95" s="288"/>
      <c r="R95" s="288"/>
      <c r="S95" s="121"/>
    </row>
    <row r="96" spans="1:19" x14ac:dyDescent="0.2">
      <c r="A96" s="121"/>
      <c r="B96" s="288"/>
      <c r="C96" s="296"/>
      <c r="D96" s="288"/>
      <c r="E96" s="288"/>
      <c r="F96" s="288"/>
      <c r="G96" s="121"/>
      <c r="H96" s="288"/>
      <c r="I96" s="121"/>
      <c r="J96" s="121"/>
      <c r="K96" s="121"/>
      <c r="L96" s="121"/>
      <c r="M96" s="121"/>
      <c r="N96" s="288"/>
      <c r="O96" s="288"/>
      <c r="P96" s="288"/>
      <c r="Q96" s="288"/>
      <c r="R96" s="288"/>
      <c r="S96" s="121"/>
    </row>
    <row r="97" spans="1:19" x14ac:dyDescent="0.2">
      <c r="A97" s="121"/>
      <c r="B97" s="288"/>
      <c r="C97" s="296"/>
      <c r="D97" s="288"/>
      <c r="E97" s="288"/>
      <c r="F97" s="288"/>
      <c r="G97" s="121"/>
      <c r="H97" s="288"/>
      <c r="I97" s="121"/>
      <c r="J97" s="121"/>
      <c r="K97" s="121"/>
      <c r="L97" s="121"/>
      <c r="M97" s="121"/>
      <c r="N97" s="288"/>
      <c r="O97" s="288"/>
      <c r="P97" s="288"/>
      <c r="Q97" s="288"/>
      <c r="R97" s="288"/>
      <c r="S97" s="121"/>
    </row>
    <row r="98" spans="1:19" x14ac:dyDescent="0.2">
      <c r="A98" s="121"/>
      <c r="B98" s="288"/>
      <c r="C98" s="296"/>
      <c r="D98" s="288"/>
      <c r="E98" s="288"/>
      <c r="F98" s="288"/>
      <c r="G98" s="121"/>
      <c r="H98" s="288"/>
      <c r="I98" s="121"/>
      <c r="J98" s="121"/>
      <c r="K98" s="121"/>
      <c r="L98" s="121"/>
      <c r="M98" s="121"/>
      <c r="N98" s="288"/>
      <c r="O98" s="288"/>
      <c r="P98" s="288"/>
      <c r="Q98" s="288"/>
      <c r="R98" s="288"/>
      <c r="S98" s="121"/>
    </row>
    <row r="99" spans="1:19" x14ac:dyDescent="0.2">
      <c r="A99" s="121"/>
      <c r="B99" s="288"/>
      <c r="C99" s="296"/>
      <c r="D99" s="288"/>
      <c r="E99" s="288"/>
      <c r="F99" s="288"/>
      <c r="G99" s="121"/>
      <c r="H99" s="288"/>
      <c r="I99" s="121"/>
      <c r="J99" s="121"/>
      <c r="K99" s="121"/>
      <c r="L99" s="121"/>
      <c r="M99" s="121"/>
      <c r="N99" s="288"/>
      <c r="O99" s="288"/>
      <c r="P99" s="288"/>
      <c r="Q99" s="288"/>
      <c r="R99" s="288"/>
      <c r="S99" s="121"/>
    </row>
    <row r="100" spans="1:19" x14ac:dyDescent="0.2">
      <c r="C100" s="89"/>
    </row>
  </sheetData>
  <printOptions horizontalCentered="1"/>
  <pageMargins left="0.39370078740157483" right="0.39370078740157483" top="0.39370078740157483" bottom="0.78740157480314965" header="0" footer="0.59055118110236227"/>
  <pageSetup scale="77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selection activeCell="D19" sqref="D19:H22"/>
    </sheetView>
  </sheetViews>
  <sheetFormatPr defaultColWidth="9.140625" defaultRowHeight="12.75" x14ac:dyDescent="0.2"/>
  <cols>
    <col min="1" max="1" width="14.85546875" style="77" customWidth="1"/>
    <col min="2" max="2" width="10" style="79" customWidth="1"/>
    <col min="3" max="3" width="9" style="79" bestFit="1" customWidth="1"/>
    <col min="4" max="4" width="7" style="79" customWidth="1"/>
    <col min="5" max="5" width="10.140625" style="79" bestFit="1" customWidth="1"/>
    <col min="6" max="6" width="9.140625" style="79"/>
    <col min="7" max="7" width="11" style="77" bestFit="1" customWidth="1"/>
    <col min="8" max="8" width="10.28515625" style="79" customWidth="1"/>
    <col min="9" max="9" width="10.140625" style="77" customWidth="1"/>
    <col min="10" max="10" width="9" style="77" customWidth="1"/>
    <col min="11" max="11" width="12.42578125" style="77" customWidth="1"/>
    <col min="12" max="12" width="12.7109375" style="77" customWidth="1"/>
    <col min="13" max="13" width="13.42578125" style="77" customWidth="1"/>
    <col min="14" max="14" width="10.5703125" style="79" customWidth="1"/>
    <col min="15" max="15" width="5.42578125" style="77" bestFit="1" customWidth="1"/>
    <col min="16" max="16" width="2.5703125" style="77" bestFit="1" customWidth="1"/>
    <col min="17" max="17" width="10.42578125" style="77" bestFit="1" customWidth="1"/>
    <col min="18" max="18" width="10.140625" style="77" bestFit="1" customWidth="1"/>
    <col min="19" max="245" width="9.140625" style="77"/>
    <col min="246" max="247" width="10" style="77" customWidth="1"/>
    <col min="248" max="248" width="7" style="77" customWidth="1"/>
    <col min="249" max="249" width="24" style="77" customWidth="1"/>
    <col min="250" max="250" width="12.85546875" style="77" customWidth="1"/>
    <col min="251" max="252" width="13.140625" style="77" customWidth="1"/>
    <col min="253" max="253" width="9.140625" style="77"/>
    <col min="254" max="254" width="12.85546875" style="77" customWidth="1"/>
    <col min="255" max="255" width="9.140625" style="77"/>
    <col min="256" max="256" width="12.140625" style="77" customWidth="1"/>
    <col min="257" max="257" width="13" style="77" customWidth="1"/>
    <col min="258" max="258" width="11.7109375" style="77" customWidth="1"/>
    <col min="259" max="259" width="11.28515625" style="77" customWidth="1"/>
    <col min="260" max="260" width="14.85546875" style="77" customWidth="1"/>
    <col min="261" max="261" width="16.42578125" style="77" customWidth="1"/>
    <col min="262" max="262" width="14.85546875" style="77" customWidth="1"/>
    <col min="263" max="263" width="13.42578125" style="77" bestFit="1" customWidth="1"/>
    <col min="264" max="264" width="14.85546875" style="77" customWidth="1"/>
    <col min="265" max="265" width="16.5703125" style="77" customWidth="1"/>
    <col min="266" max="266" width="10.5703125" style="77" customWidth="1"/>
    <col min="267" max="267" width="12.42578125" style="77" bestFit="1" customWidth="1"/>
    <col min="268" max="268" width="15" style="77" bestFit="1" customWidth="1"/>
    <col min="269" max="270" width="18.28515625" style="77" bestFit="1" customWidth="1"/>
    <col min="271" max="271" width="17.42578125" style="77" bestFit="1" customWidth="1"/>
    <col min="272" max="272" width="12.85546875" style="77" bestFit="1" customWidth="1"/>
    <col min="273" max="273" width="12.28515625" style="77" bestFit="1" customWidth="1"/>
    <col min="274" max="501" width="9.140625" style="77"/>
    <col min="502" max="503" width="10" style="77" customWidth="1"/>
    <col min="504" max="504" width="7" style="77" customWidth="1"/>
    <col min="505" max="505" width="24" style="77" customWidth="1"/>
    <col min="506" max="506" width="12.85546875" style="77" customWidth="1"/>
    <col min="507" max="508" width="13.140625" style="77" customWidth="1"/>
    <col min="509" max="509" width="9.140625" style="77"/>
    <col min="510" max="510" width="12.85546875" style="77" customWidth="1"/>
    <col min="511" max="511" width="9.140625" style="77"/>
    <col min="512" max="512" width="12.140625" style="77" customWidth="1"/>
    <col min="513" max="513" width="13" style="77" customWidth="1"/>
    <col min="514" max="514" width="11.7109375" style="77" customWidth="1"/>
    <col min="515" max="515" width="11.28515625" style="77" customWidth="1"/>
    <col min="516" max="516" width="14.85546875" style="77" customWidth="1"/>
    <col min="517" max="517" width="16.42578125" style="77" customWidth="1"/>
    <col min="518" max="518" width="14.85546875" style="77" customWidth="1"/>
    <col min="519" max="519" width="13.42578125" style="77" bestFit="1" customWidth="1"/>
    <col min="520" max="520" width="14.85546875" style="77" customWidth="1"/>
    <col min="521" max="521" width="16.5703125" style="77" customWidth="1"/>
    <col min="522" max="522" width="10.5703125" style="77" customWidth="1"/>
    <col min="523" max="523" width="12.42578125" style="77" bestFit="1" customWidth="1"/>
    <col min="524" max="524" width="15" style="77" bestFit="1" customWidth="1"/>
    <col min="525" max="526" width="18.28515625" style="77" bestFit="1" customWidth="1"/>
    <col min="527" max="527" width="17.42578125" style="77" bestFit="1" customWidth="1"/>
    <col min="528" max="528" width="12.85546875" style="77" bestFit="1" customWidth="1"/>
    <col min="529" max="529" width="12.28515625" style="77" bestFit="1" customWidth="1"/>
    <col min="530" max="757" width="9.140625" style="77"/>
    <col min="758" max="759" width="10" style="77" customWidth="1"/>
    <col min="760" max="760" width="7" style="77" customWidth="1"/>
    <col min="761" max="761" width="24" style="77" customWidth="1"/>
    <col min="762" max="762" width="12.85546875" style="77" customWidth="1"/>
    <col min="763" max="764" width="13.140625" style="77" customWidth="1"/>
    <col min="765" max="765" width="9.140625" style="77"/>
    <col min="766" max="766" width="12.85546875" style="77" customWidth="1"/>
    <col min="767" max="767" width="9.140625" style="77"/>
    <col min="768" max="768" width="12.140625" style="77" customWidth="1"/>
    <col min="769" max="769" width="13" style="77" customWidth="1"/>
    <col min="770" max="770" width="11.7109375" style="77" customWidth="1"/>
    <col min="771" max="771" width="11.28515625" style="77" customWidth="1"/>
    <col min="772" max="772" width="14.85546875" style="77" customWidth="1"/>
    <col min="773" max="773" width="16.42578125" style="77" customWidth="1"/>
    <col min="774" max="774" width="14.85546875" style="77" customWidth="1"/>
    <col min="775" max="775" width="13.42578125" style="77" bestFit="1" customWidth="1"/>
    <col min="776" max="776" width="14.85546875" style="77" customWidth="1"/>
    <col min="777" max="777" width="16.5703125" style="77" customWidth="1"/>
    <col min="778" max="778" width="10.5703125" style="77" customWidth="1"/>
    <col min="779" max="779" width="12.42578125" style="77" bestFit="1" customWidth="1"/>
    <col min="780" max="780" width="15" style="77" bestFit="1" customWidth="1"/>
    <col min="781" max="782" width="18.28515625" style="77" bestFit="1" customWidth="1"/>
    <col min="783" max="783" width="17.42578125" style="77" bestFit="1" customWidth="1"/>
    <col min="784" max="784" width="12.85546875" style="77" bestFit="1" customWidth="1"/>
    <col min="785" max="785" width="12.28515625" style="77" bestFit="1" customWidth="1"/>
    <col min="786" max="1013" width="9.140625" style="77"/>
    <col min="1014" max="1015" width="10" style="77" customWidth="1"/>
    <col min="1016" max="1016" width="7" style="77" customWidth="1"/>
    <col min="1017" max="1017" width="24" style="77" customWidth="1"/>
    <col min="1018" max="1018" width="12.85546875" style="77" customWidth="1"/>
    <col min="1019" max="1020" width="13.140625" style="77" customWidth="1"/>
    <col min="1021" max="1021" width="9.140625" style="77"/>
    <col min="1022" max="1022" width="12.85546875" style="77" customWidth="1"/>
    <col min="1023" max="1023" width="9.140625" style="77"/>
    <col min="1024" max="1024" width="12.140625" style="77" customWidth="1"/>
    <col min="1025" max="1025" width="13" style="77" customWidth="1"/>
    <col min="1026" max="1026" width="11.7109375" style="77" customWidth="1"/>
    <col min="1027" max="1027" width="11.28515625" style="77" customWidth="1"/>
    <col min="1028" max="1028" width="14.85546875" style="77" customWidth="1"/>
    <col min="1029" max="1029" width="16.42578125" style="77" customWidth="1"/>
    <col min="1030" max="1030" width="14.85546875" style="77" customWidth="1"/>
    <col min="1031" max="1031" width="13.42578125" style="77" bestFit="1" customWidth="1"/>
    <col min="1032" max="1032" width="14.85546875" style="77" customWidth="1"/>
    <col min="1033" max="1033" width="16.5703125" style="77" customWidth="1"/>
    <col min="1034" max="1034" width="10.5703125" style="77" customWidth="1"/>
    <col min="1035" max="1035" width="12.42578125" style="77" bestFit="1" customWidth="1"/>
    <col min="1036" max="1036" width="15" style="77" bestFit="1" customWidth="1"/>
    <col min="1037" max="1038" width="18.28515625" style="77" bestFit="1" customWidth="1"/>
    <col min="1039" max="1039" width="17.42578125" style="77" bestFit="1" customWidth="1"/>
    <col min="1040" max="1040" width="12.85546875" style="77" bestFit="1" customWidth="1"/>
    <col min="1041" max="1041" width="12.28515625" style="77" bestFit="1" customWidth="1"/>
    <col min="1042" max="1269" width="9.140625" style="77"/>
    <col min="1270" max="1271" width="10" style="77" customWidth="1"/>
    <col min="1272" max="1272" width="7" style="77" customWidth="1"/>
    <col min="1273" max="1273" width="24" style="77" customWidth="1"/>
    <col min="1274" max="1274" width="12.85546875" style="77" customWidth="1"/>
    <col min="1275" max="1276" width="13.140625" style="77" customWidth="1"/>
    <col min="1277" max="1277" width="9.140625" style="77"/>
    <col min="1278" max="1278" width="12.85546875" style="77" customWidth="1"/>
    <col min="1279" max="1279" width="9.140625" style="77"/>
    <col min="1280" max="1280" width="12.140625" style="77" customWidth="1"/>
    <col min="1281" max="1281" width="13" style="77" customWidth="1"/>
    <col min="1282" max="1282" width="11.7109375" style="77" customWidth="1"/>
    <col min="1283" max="1283" width="11.28515625" style="77" customWidth="1"/>
    <col min="1284" max="1284" width="14.85546875" style="77" customWidth="1"/>
    <col min="1285" max="1285" width="16.42578125" style="77" customWidth="1"/>
    <col min="1286" max="1286" width="14.85546875" style="77" customWidth="1"/>
    <col min="1287" max="1287" width="13.42578125" style="77" bestFit="1" customWidth="1"/>
    <col min="1288" max="1288" width="14.85546875" style="77" customWidth="1"/>
    <col min="1289" max="1289" width="16.5703125" style="77" customWidth="1"/>
    <col min="1290" max="1290" width="10.5703125" style="77" customWidth="1"/>
    <col min="1291" max="1291" width="12.42578125" style="77" bestFit="1" customWidth="1"/>
    <col min="1292" max="1292" width="15" style="77" bestFit="1" customWidth="1"/>
    <col min="1293" max="1294" width="18.28515625" style="77" bestFit="1" customWidth="1"/>
    <col min="1295" max="1295" width="17.42578125" style="77" bestFit="1" customWidth="1"/>
    <col min="1296" max="1296" width="12.85546875" style="77" bestFit="1" customWidth="1"/>
    <col min="1297" max="1297" width="12.28515625" style="77" bestFit="1" customWidth="1"/>
    <col min="1298" max="1525" width="9.140625" style="77"/>
    <col min="1526" max="1527" width="10" style="77" customWidth="1"/>
    <col min="1528" max="1528" width="7" style="77" customWidth="1"/>
    <col min="1529" max="1529" width="24" style="77" customWidth="1"/>
    <col min="1530" max="1530" width="12.85546875" style="77" customWidth="1"/>
    <col min="1531" max="1532" width="13.140625" style="77" customWidth="1"/>
    <col min="1533" max="1533" width="9.140625" style="77"/>
    <col min="1534" max="1534" width="12.85546875" style="77" customWidth="1"/>
    <col min="1535" max="1535" width="9.140625" style="77"/>
    <col min="1536" max="1536" width="12.140625" style="77" customWidth="1"/>
    <col min="1537" max="1537" width="13" style="77" customWidth="1"/>
    <col min="1538" max="1538" width="11.7109375" style="77" customWidth="1"/>
    <col min="1539" max="1539" width="11.28515625" style="77" customWidth="1"/>
    <col min="1540" max="1540" width="14.85546875" style="77" customWidth="1"/>
    <col min="1541" max="1541" width="16.42578125" style="77" customWidth="1"/>
    <col min="1542" max="1542" width="14.85546875" style="77" customWidth="1"/>
    <col min="1543" max="1543" width="13.42578125" style="77" bestFit="1" customWidth="1"/>
    <col min="1544" max="1544" width="14.85546875" style="77" customWidth="1"/>
    <col min="1545" max="1545" width="16.5703125" style="77" customWidth="1"/>
    <col min="1546" max="1546" width="10.5703125" style="77" customWidth="1"/>
    <col min="1547" max="1547" width="12.42578125" style="77" bestFit="1" customWidth="1"/>
    <col min="1548" max="1548" width="15" style="77" bestFit="1" customWidth="1"/>
    <col min="1549" max="1550" width="18.28515625" style="77" bestFit="1" customWidth="1"/>
    <col min="1551" max="1551" width="17.42578125" style="77" bestFit="1" customWidth="1"/>
    <col min="1552" max="1552" width="12.85546875" style="77" bestFit="1" customWidth="1"/>
    <col min="1553" max="1553" width="12.28515625" style="77" bestFit="1" customWidth="1"/>
    <col min="1554" max="1781" width="9.140625" style="77"/>
    <col min="1782" max="1783" width="10" style="77" customWidth="1"/>
    <col min="1784" max="1784" width="7" style="77" customWidth="1"/>
    <col min="1785" max="1785" width="24" style="77" customWidth="1"/>
    <col min="1786" max="1786" width="12.85546875" style="77" customWidth="1"/>
    <col min="1787" max="1788" width="13.140625" style="77" customWidth="1"/>
    <col min="1789" max="1789" width="9.140625" style="77"/>
    <col min="1790" max="1790" width="12.85546875" style="77" customWidth="1"/>
    <col min="1791" max="1791" width="9.140625" style="77"/>
    <col min="1792" max="1792" width="12.140625" style="77" customWidth="1"/>
    <col min="1793" max="1793" width="13" style="77" customWidth="1"/>
    <col min="1794" max="1794" width="11.7109375" style="77" customWidth="1"/>
    <col min="1795" max="1795" width="11.28515625" style="77" customWidth="1"/>
    <col min="1796" max="1796" width="14.85546875" style="77" customWidth="1"/>
    <col min="1797" max="1797" width="16.42578125" style="77" customWidth="1"/>
    <col min="1798" max="1798" width="14.85546875" style="77" customWidth="1"/>
    <col min="1799" max="1799" width="13.42578125" style="77" bestFit="1" customWidth="1"/>
    <col min="1800" max="1800" width="14.85546875" style="77" customWidth="1"/>
    <col min="1801" max="1801" width="16.5703125" style="77" customWidth="1"/>
    <col min="1802" max="1802" width="10.5703125" style="77" customWidth="1"/>
    <col min="1803" max="1803" width="12.42578125" style="77" bestFit="1" customWidth="1"/>
    <col min="1804" max="1804" width="15" style="77" bestFit="1" customWidth="1"/>
    <col min="1805" max="1806" width="18.28515625" style="77" bestFit="1" customWidth="1"/>
    <col min="1807" max="1807" width="17.42578125" style="77" bestFit="1" customWidth="1"/>
    <col min="1808" max="1808" width="12.85546875" style="77" bestFit="1" customWidth="1"/>
    <col min="1809" max="1809" width="12.28515625" style="77" bestFit="1" customWidth="1"/>
    <col min="1810" max="2037" width="9.140625" style="77"/>
    <col min="2038" max="2039" width="10" style="77" customWidth="1"/>
    <col min="2040" max="2040" width="7" style="77" customWidth="1"/>
    <col min="2041" max="2041" width="24" style="77" customWidth="1"/>
    <col min="2042" max="2042" width="12.85546875" style="77" customWidth="1"/>
    <col min="2043" max="2044" width="13.140625" style="77" customWidth="1"/>
    <col min="2045" max="2045" width="9.140625" style="77"/>
    <col min="2046" max="2046" width="12.85546875" style="77" customWidth="1"/>
    <col min="2047" max="2047" width="9.140625" style="77"/>
    <col min="2048" max="2048" width="12.140625" style="77" customWidth="1"/>
    <col min="2049" max="2049" width="13" style="77" customWidth="1"/>
    <col min="2050" max="2050" width="11.7109375" style="77" customWidth="1"/>
    <col min="2051" max="2051" width="11.28515625" style="77" customWidth="1"/>
    <col min="2052" max="2052" width="14.85546875" style="77" customWidth="1"/>
    <col min="2053" max="2053" width="16.42578125" style="77" customWidth="1"/>
    <col min="2054" max="2054" width="14.85546875" style="77" customWidth="1"/>
    <col min="2055" max="2055" width="13.42578125" style="77" bestFit="1" customWidth="1"/>
    <col min="2056" max="2056" width="14.85546875" style="77" customWidth="1"/>
    <col min="2057" max="2057" width="16.5703125" style="77" customWidth="1"/>
    <col min="2058" max="2058" width="10.5703125" style="77" customWidth="1"/>
    <col min="2059" max="2059" width="12.42578125" style="77" bestFit="1" customWidth="1"/>
    <col min="2060" max="2060" width="15" style="77" bestFit="1" customWidth="1"/>
    <col min="2061" max="2062" width="18.28515625" style="77" bestFit="1" customWidth="1"/>
    <col min="2063" max="2063" width="17.42578125" style="77" bestFit="1" customWidth="1"/>
    <col min="2064" max="2064" width="12.85546875" style="77" bestFit="1" customWidth="1"/>
    <col min="2065" max="2065" width="12.28515625" style="77" bestFit="1" customWidth="1"/>
    <col min="2066" max="2293" width="9.140625" style="77"/>
    <col min="2294" max="2295" width="10" style="77" customWidth="1"/>
    <col min="2296" max="2296" width="7" style="77" customWidth="1"/>
    <col min="2297" max="2297" width="24" style="77" customWidth="1"/>
    <col min="2298" max="2298" width="12.85546875" style="77" customWidth="1"/>
    <col min="2299" max="2300" width="13.140625" style="77" customWidth="1"/>
    <col min="2301" max="2301" width="9.140625" style="77"/>
    <col min="2302" max="2302" width="12.85546875" style="77" customWidth="1"/>
    <col min="2303" max="2303" width="9.140625" style="77"/>
    <col min="2304" max="2304" width="12.140625" style="77" customWidth="1"/>
    <col min="2305" max="2305" width="13" style="77" customWidth="1"/>
    <col min="2306" max="2306" width="11.7109375" style="77" customWidth="1"/>
    <col min="2307" max="2307" width="11.28515625" style="77" customWidth="1"/>
    <col min="2308" max="2308" width="14.85546875" style="77" customWidth="1"/>
    <col min="2309" max="2309" width="16.42578125" style="77" customWidth="1"/>
    <col min="2310" max="2310" width="14.85546875" style="77" customWidth="1"/>
    <col min="2311" max="2311" width="13.42578125" style="77" bestFit="1" customWidth="1"/>
    <col min="2312" max="2312" width="14.85546875" style="77" customWidth="1"/>
    <col min="2313" max="2313" width="16.5703125" style="77" customWidth="1"/>
    <col min="2314" max="2314" width="10.5703125" style="77" customWidth="1"/>
    <col min="2315" max="2315" width="12.42578125" style="77" bestFit="1" customWidth="1"/>
    <col min="2316" max="2316" width="15" style="77" bestFit="1" customWidth="1"/>
    <col min="2317" max="2318" width="18.28515625" style="77" bestFit="1" customWidth="1"/>
    <col min="2319" max="2319" width="17.42578125" style="77" bestFit="1" customWidth="1"/>
    <col min="2320" max="2320" width="12.85546875" style="77" bestFit="1" customWidth="1"/>
    <col min="2321" max="2321" width="12.28515625" style="77" bestFit="1" customWidth="1"/>
    <col min="2322" max="2549" width="9.140625" style="77"/>
    <col min="2550" max="2551" width="10" style="77" customWidth="1"/>
    <col min="2552" max="2552" width="7" style="77" customWidth="1"/>
    <col min="2553" max="2553" width="24" style="77" customWidth="1"/>
    <col min="2554" max="2554" width="12.85546875" style="77" customWidth="1"/>
    <col min="2555" max="2556" width="13.140625" style="77" customWidth="1"/>
    <col min="2557" max="2557" width="9.140625" style="77"/>
    <col min="2558" max="2558" width="12.85546875" style="77" customWidth="1"/>
    <col min="2559" max="2559" width="9.140625" style="77"/>
    <col min="2560" max="2560" width="12.140625" style="77" customWidth="1"/>
    <col min="2561" max="2561" width="13" style="77" customWidth="1"/>
    <col min="2562" max="2562" width="11.7109375" style="77" customWidth="1"/>
    <col min="2563" max="2563" width="11.28515625" style="77" customWidth="1"/>
    <col min="2564" max="2564" width="14.85546875" style="77" customWidth="1"/>
    <col min="2565" max="2565" width="16.42578125" style="77" customWidth="1"/>
    <col min="2566" max="2566" width="14.85546875" style="77" customWidth="1"/>
    <col min="2567" max="2567" width="13.42578125" style="77" bestFit="1" customWidth="1"/>
    <col min="2568" max="2568" width="14.85546875" style="77" customWidth="1"/>
    <col min="2569" max="2569" width="16.5703125" style="77" customWidth="1"/>
    <col min="2570" max="2570" width="10.5703125" style="77" customWidth="1"/>
    <col min="2571" max="2571" width="12.42578125" style="77" bestFit="1" customWidth="1"/>
    <col min="2572" max="2572" width="15" style="77" bestFit="1" customWidth="1"/>
    <col min="2573" max="2574" width="18.28515625" style="77" bestFit="1" customWidth="1"/>
    <col min="2575" max="2575" width="17.42578125" style="77" bestFit="1" customWidth="1"/>
    <col min="2576" max="2576" width="12.85546875" style="77" bestFit="1" customWidth="1"/>
    <col min="2577" max="2577" width="12.28515625" style="77" bestFit="1" customWidth="1"/>
    <col min="2578" max="2805" width="9.140625" style="77"/>
    <col min="2806" max="2807" width="10" style="77" customWidth="1"/>
    <col min="2808" max="2808" width="7" style="77" customWidth="1"/>
    <col min="2809" max="2809" width="24" style="77" customWidth="1"/>
    <col min="2810" max="2810" width="12.85546875" style="77" customWidth="1"/>
    <col min="2811" max="2812" width="13.140625" style="77" customWidth="1"/>
    <col min="2813" max="2813" width="9.140625" style="77"/>
    <col min="2814" max="2814" width="12.85546875" style="77" customWidth="1"/>
    <col min="2815" max="2815" width="9.140625" style="77"/>
    <col min="2816" max="2816" width="12.140625" style="77" customWidth="1"/>
    <col min="2817" max="2817" width="13" style="77" customWidth="1"/>
    <col min="2818" max="2818" width="11.7109375" style="77" customWidth="1"/>
    <col min="2819" max="2819" width="11.28515625" style="77" customWidth="1"/>
    <col min="2820" max="2820" width="14.85546875" style="77" customWidth="1"/>
    <col min="2821" max="2821" width="16.42578125" style="77" customWidth="1"/>
    <col min="2822" max="2822" width="14.85546875" style="77" customWidth="1"/>
    <col min="2823" max="2823" width="13.42578125" style="77" bestFit="1" customWidth="1"/>
    <col min="2824" max="2824" width="14.85546875" style="77" customWidth="1"/>
    <col min="2825" max="2825" width="16.5703125" style="77" customWidth="1"/>
    <col min="2826" max="2826" width="10.5703125" style="77" customWidth="1"/>
    <col min="2827" max="2827" width="12.42578125" style="77" bestFit="1" customWidth="1"/>
    <col min="2828" max="2828" width="15" style="77" bestFit="1" customWidth="1"/>
    <col min="2829" max="2830" width="18.28515625" style="77" bestFit="1" customWidth="1"/>
    <col min="2831" max="2831" width="17.42578125" style="77" bestFit="1" customWidth="1"/>
    <col min="2832" max="2832" width="12.85546875" style="77" bestFit="1" customWidth="1"/>
    <col min="2833" max="2833" width="12.28515625" style="77" bestFit="1" customWidth="1"/>
    <col min="2834" max="3061" width="9.140625" style="77"/>
    <col min="3062" max="3063" width="10" style="77" customWidth="1"/>
    <col min="3064" max="3064" width="7" style="77" customWidth="1"/>
    <col min="3065" max="3065" width="24" style="77" customWidth="1"/>
    <col min="3066" max="3066" width="12.85546875" style="77" customWidth="1"/>
    <col min="3067" max="3068" width="13.140625" style="77" customWidth="1"/>
    <col min="3069" max="3069" width="9.140625" style="77"/>
    <col min="3070" max="3070" width="12.85546875" style="77" customWidth="1"/>
    <col min="3071" max="3071" width="9.140625" style="77"/>
    <col min="3072" max="3072" width="12.140625" style="77" customWidth="1"/>
    <col min="3073" max="3073" width="13" style="77" customWidth="1"/>
    <col min="3074" max="3074" width="11.7109375" style="77" customWidth="1"/>
    <col min="3075" max="3075" width="11.28515625" style="77" customWidth="1"/>
    <col min="3076" max="3076" width="14.85546875" style="77" customWidth="1"/>
    <col min="3077" max="3077" width="16.42578125" style="77" customWidth="1"/>
    <col min="3078" max="3078" width="14.85546875" style="77" customWidth="1"/>
    <col min="3079" max="3079" width="13.42578125" style="77" bestFit="1" customWidth="1"/>
    <col min="3080" max="3080" width="14.85546875" style="77" customWidth="1"/>
    <col min="3081" max="3081" width="16.5703125" style="77" customWidth="1"/>
    <col min="3082" max="3082" width="10.5703125" style="77" customWidth="1"/>
    <col min="3083" max="3083" width="12.42578125" style="77" bestFit="1" customWidth="1"/>
    <col min="3084" max="3084" width="15" style="77" bestFit="1" customWidth="1"/>
    <col min="3085" max="3086" width="18.28515625" style="77" bestFit="1" customWidth="1"/>
    <col min="3087" max="3087" width="17.42578125" style="77" bestFit="1" customWidth="1"/>
    <col min="3088" max="3088" width="12.85546875" style="77" bestFit="1" customWidth="1"/>
    <col min="3089" max="3089" width="12.28515625" style="77" bestFit="1" customWidth="1"/>
    <col min="3090" max="3317" width="9.140625" style="77"/>
    <col min="3318" max="3319" width="10" style="77" customWidth="1"/>
    <col min="3320" max="3320" width="7" style="77" customWidth="1"/>
    <col min="3321" max="3321" width="24" style="77" customWidth="1"/>
    <col min="3322" max="3322" width="12.85546875" style="77" customWidth="1"/>
    <col min="3323" max="3324" width="13.140625" style="77" customWidth="1"/>
    <col min="3325" max="3325" width="9.140625" style="77"/>
    <col min="3326" max="3326" width="12.85546875" style="77" customWidth="1"/>
    <col min="3327" max="3327" width="9.140625" style="77"/>
    <col min="3328" max="3328" width="12.140625" style="77" customWidth="1"/>
    <col min="3329" max="3329" width="13" style="77" customWidth="1"/>
    <col min="3330" max="3330" width="11.7109375" style="77" customWidth="1"/>
    <col min="3331" max="3331" width="11.28515625" style="77" customWidth="1"/>
    <col min="3332" max="3332" width="14.85546875" style="77" customWidth="1"/>
    <col min="3333" max="3333" width="16.42578125" style="77" customWidth="1"/>
    <col min="3334" max="3334" width="14.85546875" style="77" customWidth="1"/>
    <col min="3335" max="3335" width="13.42578125" style="77" bestFit="1" customWidth="1"/>
    <col min="3336" max="3336" width="14.85546875" style="77" customWidth="1"/>
    <col min="3337" max="3337" width="16.5703125" style="77" customWidth="1"/>
    <col min="3338" max="3338" width="10.5703125" style="77" customWidth="1"/>
    <col min="3339" max="3339" width="12.42578125" style="77" bestFit="1" customWidth="1"/>
    <col min="3340" max="3340" width="15" style="77" bestFit="1" customWidth="1"/>
    <col min="3341" max="3342" width="18.28515625" style="77" bestFit="1" customWidth="1"/>
    <col min="3343" max="3343" width="17.42578125" style="77" bestFit="1" customWidth="1"/>
    <col min="3344" max="3344" width="12.85546875" style="77" bestFit="1" customWidth="1"/>
    <col min="3345" max="3345" width="12.28515625" style="77" bestFit="1" customWidth="1"/>
    <col min="3346" max="3573" width="9.140625" style="77"/>
    <col min="3574" max="3575" width="10" style="77" customWidth="1"/>
    <col min="3576" max="3576" width="7" style="77" customWidth="1"/>
    <col min="3577" max="3577" width="24" style="77" customWidth="1"/>
    <col min="3578" max="3578" width="12.85546875" style="77" customWidth="1"/>
    <col min="3579" max="3580" width="13.140625" style="77" customWidth="1"/>
    <col min="3581" max="3581" width="9.140625" style="77"/>
    <col min="3582" max="3582" width="12.85546875" style="77" customWidth="1"/>
    <col min="3583" max="3583" width="9.140625" style="77"/>
    <col min="3584" max="3584" width="12.140625" style="77" customWidth="1"/>
    <col min="3585" max="3585" width="13" style="77" customWidth="1"/>
    <col min="3586" max="3586" width="11.7109375" style="77" customWidth="1"/>
    <col min="3587" max="3587" width="11.28515625" style="77" customWidth="1"/>
    <col min="3588" max="3588" width="14.85546875" style="77" customWidth="1"/>
    <col min="3589" max="3589" width="16.42578125" style="77" customWidth="1"/>
    <col min="3590" max="3590" width="14.85546875" style="77" customWidth="1"/>
    <col min="3591" max="3591" width="13.42578125" style="77" bestFit="1" customWidth="1"/>
    <col min="3592" max="3592" width="14.85546875" style="77" customWidth="1"/>
    <col min="3593" max="3593" width="16.5703125" style="77" customWidth="1"/>
    <col min="3594" max="3594" width="10.5703125" style="77" customWidth="1"/>
    <col min="3595" max="3595" width="12.42578125" style="77" bestFit="1" customWidth="1"/>
    <col min="3596" max="3596" width="15" style="77" bestFit="1" customWidth="1"/>
    <col min="3597" max="3598" width="18.28515625" style="77" bestFit="1" customWidth="1"/>
    <col min="3599" max="3599" width="17.42578125" style="77" bestFit="1" customWidth="1"/>
    <col min="3600" max="3600" width="12.85546875" style="77" bestFit="1" customWidth="1"/>
    <col min="3601" max="3601" width="12.28515625" style="77" bestFit="1" customWidth="1"/>
    <col min="3602" max="3829" width="9.140625" style="77"/>
    <col min="3830" max="3831" width="10" style="77" customWidth="1"/>
    <col min="3832" max="3832" width="7" style="77" customWidth="1"/>
    <col min="3833" max="3833" width="24" style="77" customWidth="1"/>
    <col min="3834" max="3834" width="12.85546875" style="77" customWidth="1"/>
    <col min="3835" max="3836" width="13.140625" style="77" customWidth="1"/>
    <col min="3837" max="3837" width="9.140625" style="77"/>
    <col min="3838" max="3838" width="12.85546875" style="77" customWidth="1"/>
    <col min="3839" max="3839" width="9.140625" style="77"/>
    <col min="3840" max="3840" width="12.140625" style="77" customWidth="1"/>
    <col min="3841" max="3841" width="13" style="77" customWidth="1"/>
    <col min="3842" max="3842" width="11.7109375" style="77" customWidth="1"/>
    <col min="3843" max="3843" width="11.28515625" style="77" customWidth="1"/>
    <col min="3844" max="3844" width="14.85546875" style="77" customWidth="1"/>
    <col min="3845" max="3845" width="16.42578125" style="77" customWidth="1"/>
    <col min="3846" max="3846" width="14.85546875" style="77" customWidth="1"/>
    <col min="3847" max="3847" width="13.42578125" style="77" bestFit="1" customWidth="1"/>
    <col min="3848" max="3848" width="14.85546875" style="77" customWidth="1"/>
    <col min="3849" max="3849" width="16.5703125" style="77" customWidth="1"/>
    <col min="3850" max="3850" width="10.5703125" style="77" customWidth="1"/>
    <col min="3851" max="3851" width="12.42578125" style="77" bestFit="1" customWidth="1"/>
    <col min="3852" max="3852" width="15" style="77" bestFit="1" customWidth="1"/>
    <col min="3853" max="3854" width="18.28515625" style="77" bestFit="1" customWidth="1"/>
    <col min="3855" max="3855" width="17.42578125" style="77" bestFit="1" customWidth="1"/>
    <col min="3856" max="3856" width="12.85546875" style="77" bestFit="1" customWidth="1"/>
    <col min="3857" max="3857" width="12.28515625" style="77" bestFit="1" customWidth="1"/>
    <col min="3858" max="4085" width="9.140625" style="77"/>
    <col min="4086" max="4087" width="10" style="77" customWidth="1"/>
    <col min="4088" max="4088" width="7" style="77" customWidth="1"/>
    <col min="4089" max="4089" width="24" style="77" customWidth="1"/>
    <col min="4090" max="4090" width="12.85546875" style="77" customWidth="1"/>
    <col min="4091" max="4092" width="13.140625" style="77" customWidth="1"/>
    <col min="4093" max="4093" width="9.140625" style="77"/>
    <col min="4094" max="4094" width="12.85546875" style="77" customWidth="1"/>
    <col min="4095" max="4095" width="9.140625" style="77"/>
    <col min="4096" max="4096" width="12.140625" style="77" customWidth="1"/>
    <col min="4097" max="4097" width="13" style="77" customWidth="1"/>
    <col min="4098" max="4098" width="11.7109375" style="77" customWidth="1"/>
    <col min="4099" max="4099" width="11.28515625" style="77" customWidth="1"/>
    <col min="4100" max="4100" width="14.85546875" style="77" customWidth="1"/>
    <col min="4101" max="4101" width="16.42578125" style="77" customWidth="1"/>
    <col min="4102" max="4102" width="14.85546875" style="77" customWidth="1"/>
    <col min="4103" max="4103" width="13.42578125" style="77" bestFit="1" customWidth="1"/>
    <col min="4104" max="4104" width="14.85546875" style="77" customWidth="1"/>
    <col min="4105" max="4105" width="16.5703125" style="77" customWidth="1"/>
    <col min="4106" max="4106" width="10.5703125" style="77" customWidth="1"/>
    <col min="4107" max="4107" width="12.42578125" style="77" bestFit="1" customWidth="1"/>
    <col min="4108" max="4108" width="15" style="77" bestFit="1" customWidth="1"/>
    <col min="4109" max="4110" width="18.28515625" style="77" bestFit="1" customWidth="1"/>
    <col min="4111" max="4111" width="17.42578125" style="77" bestFit="1" customWidth="1"/>
    <col min="4112" max="4112" width="12.85546875" style="77" bestFit="1" customWidth="1"/>
    <col min="4113" max="4113" width="12.28515625" style="77" bestFit="1" customWidth="1"/>
    <col min="4114" max="4341" width="9.140625" style="77"/>
    <col min="4342" max="4343" width="10" style="77" customWidth="1"/>
    <col min="4344" max="4344" width="7" style="77" customWidth="1"/>
    <col min="4345" max="4345" width="24" style="77" customWidth="1"/>
    <col min="4346" max="4346" width="12.85546875" style="77" customWidth="1"/>
    <col min="4347" max="4348" width="13.140625" style="77" customWidth="1"/>
    <col min="4349" max="4349" width="9.140625" style="77"/>
    <col min="4350" max="4350" width="12.85546875" style="77" customWidth="1"/>
    <col min="4351" max="4351" width="9.140625" style="77"/>
    <col min="4352" max="4352" width="12.140625" style="77" customWidth="1"/>
    <col min="4353" max="4353" width="13" style="77" customWidth="1"/>
    <col min="4354" max="4354" width="11.7109375" style="77" customWidth="1"/>
    <col min="4355" max="4355" width="11.28515625" style="77" customWidth="1"/>
    <col min="4356" max="4356" width="14.85546875" style="77" customWidth="1"/>
    <col min="4357" max="4357" width="16.42578125" style="77" customWidth="1"/>
    <col min="4358" max="4358" width="14.85546875" style="77" customWidth="1"/>
    <col min="4359" max="4359" width="13.42578125" style="77" bestFit="1" customWidth="1"/>
    <col min="4360" max="4360" width="14.85546875" style="77" customWidth="1"/>
    <col min="4361" max="4361" width="16.5703125" style="77" customWidth="1"/>
    <col min="4362" max="4362" width="10.5703125" style="77" customWidth="1"/>
    <col min="4363" max="4363" width="12.42578125" style="77" bestFit="1" customWidth="1"/>
    <col min="4364" max="4364" width="15" style="77" bestFit="1" customWidth="1"/>
    <col min="4365" max="4366" width="18.28515625" style="77" bestFit="1" customWidth="1"/>
    <col min="4367" max="4367" width="17.42578125" style="77" bestFit="1" customWidth="1"/>
    <col min="4368" max="4368" width="12.85546875" style="77" bestFit="1" customWidth="1"/>
    <col min="4369" max="4369" width="12.28515625" style="77" bestFit="1" customWidth="1"/>
    <col min="4370" max="4597" width="9.140625" style="77"/>
    <col min="4598" max="4599" width="10" style="77" customWidth="1"/>
    <col min="4600" max="4600" width="7" style="77" customWidth="1"/>
    <col min="4601" max="4601" width="24" style="77" customWidth="1"/>
    <col min="4602" max="4602" width="12.85546875" style="77" customWidth="1"/>
    <col min="4603" max="4604" width="13.140625" style="77" customWidth="1"/>
    <col min="4605" max="4605" width="9.140625" style="77"/>
    <col min="4606" max="4606" width="12.85546875" style="77" customWidth="1"/>
    <col min="4607" max="4607" width="9.140625" style="77"/>
    <col min="4608" max="4608" width="12.140625" style="77" customWidth="1"/>
    <col min="4609" max="4609" width="13" style="77" customWidth="1"/>
    <col min="4610" max="4610" width="11.7109375" style="77" customWidth="1"/>
    <col min="4611" max="4611" width="11.28515625" style="77" customWidth="1"/>
    <col min="4612" max="4612" width="14.85546875" style="77" customWidth="1"/>
    <col min="4613" max="4613" width="16.42578125" style="77" customWidth="1"/>
    <col min="4614" max="4614" width="14.85546875" style="77" customWidth="1"/>
    <col min="4615" max="4615" width="13.42578125" style="77" bestFit="1" customWidth="1"/>
    <col min="4616" max="4616" width="14.85546875" style="77" customWidth="1"/>
    <col min="4617" max="4617" width="16.5703125" style="77" customWidth="1"/>
    <col min="4618" max="4618" width="10.5703125" style="77" customWidth="1"/>
    <col min="4619" max="4619" width="12.42578125" style="77" bestFit="1" customWidth="1"/>
    <col min="4620" max="4620" width="15" style="77" bestFit="1" customWidth="1"/>
    <col min="4621" max="4622" width="18.28515625" style="77" bestFit="1" customWidth="1"/>
    <col min="4623" max="4623" width="17.42578125" style="77" bestFit="1" customWidth="1"/>
    <col min="4624" max="4624" width="12.85546875" style="77" bestFit="1" customWidth="1"/>
    <col min="4625" max="4625" width="12.28515625" style="77" bestFit="1" customWidth="1"/>
    <col min="4626" max="4853" width="9.140625" style="77"/>
    <col min="4854" max="4855" width="10" style="77" customWidth="1"/>
    <col min="4856" max="4856" width="7" style="77" customWidth="1"/>
    <col min="4857" max="4857" width="24" style="77" customWidth="1"/>
    <col min="4858" max="4858" width="12.85546875" style="77" customWidth="1"/>
    <col min="4859" max="4860" width="13.140625" style="77" customWidth="1"/>
    <col min="4861" max="4861" width="9.140625" style="77"/>
    <col min="4862" max="4862" width="12.85546875" style="77" customWidth="1"/>
    <col min="4863" max="4863" width="9.140625" style="77"/>
    <col min="4864" max="4864" width="12.140625" style="77" customWidth="1"/>
    <col min="4865" max="4865" width="13" style="77" customWidth="1"/>
    <col min="4866" max="4866" width="11.7109375" style="77" customWidth="1"/>
    <col min="4867" max="4867" width="11.28515625" style="77" customWidth="1"/>
    <col min="4868" max="4868" width="14.85546875" style="77" customWidth="1"/>
    <col min="4869" max="4869" width="16.42578125" style="77" customWidth="1"/>
    <col min="4870" max="4870" width="14.85546875" style="77" customWidth="1"/>
    <col min="4871" max="4871" width="13.42578125" style="77" bestFit="1" customWidth="1"/>
    <col min="4872" max="4872" width="14.85546875" style="77" customWidth="1"/>
    <col min="4873" max="4873" width="16.5703125" style="77" customWidth="1"/>
    <col min="4874" max="4874" width="10.5703125" style="77" customWidth="1"/>
    <col min="4875" max="4875" width="12.42578125" style="77" bestFit="1" customWidth="1"/>
    <col min="4876" max="4876" width="15" style="77" bestFit="1" customWidth="1"/>
    <col min="4877" max="4878" width="18.28515625" style="77" bestFit="1" customWidth="1"/>
    <col min="4879" max="4879" width="17.42578125" style="77" bestFit="1" customWidth="1"/>
    <col min="4880" max="4880" width="12.85546875" style="77" bestFit="1" customWidth="1"/>
    <col min="4881" max="4881" width="12.28515625" style="77" bestFit="1" customWidth="1"/>
    <col min="4882" max="5109" width="9.140625" style="77"/>
    <col min="5110" max="5111" width="10" style="77" customWidth="1"/>
    <col min="5112" max="5112" width="7" style="77" customWidth="1"/>
    <col min="5113" max="5113" width="24" style="77" customWidth="1"/>
    <col min="5114" max="5114" width="12.85546875" style="77" customWidth="1"/>
    <col min="5115" max="5116" width="13.140625" style="77" customWidth="1"/>
    <col min="5117" max="5117" width="9.140625" style="77"/>
    <col min="5118" max="5118" width="12.85546875" style="77" customWidth="1"/>
    <col min="5119" max="5119" width="9.140625" style="77"/>
    <col min="5120" max="5120" width="12.140625" style="77" customWidth="1"/>
    <col min="5121" max="5121" width="13" style="77" customWidth="1"/>
    <col min="5122" max="5122" width="11.7109375" style="77" customWidth="1"/>
    <col min="5123" max="5123" width="11.28515625" style="77" customWidth="1"/>
    <col min="5124" max="5124" width="14.85546875" style="77" customWidth="1"/>
    <col min="5125" max="5125" width="16.42578125" style="77" customWidth="1"/>
    <col min="5126" max="5126" width="14.85546875" style="77" customWidth="1"/>
    <col min="5127" max="5127" width="13.42578125" style="77" bestFit="1" customWidth="1"/>
    <col min="5128" max="5128" width="14.85546875" style="77" customWidth="1"/>
    <col min="5129" max="5129" width="16.5703125" style="77" customWidth="1"/>
    <col min="5130" max="5130" width="10.5703125" style="77" customWidth="1"/>
    <col min="5131" max="5131" width="12.42578125" style="77" bestFit="1" customWidth="1"/>
    <col min="5132" max="5132" width="15" style="77" bestFit="1" customWidth="1"/>
    <col min="5133" max="5134" width="18.28515625" style="77" bestFit="1" customWidth="1"/>
    <col min="5135" max="5135" width="17.42578125" style="77" bestFit="1" customWidth="1"/>
    <col min="5136" max="5136" width="12.85546875" style="77" bestFit="1" customWidth="1"/>
    <col min="5137" max="5137" width="12.28515625" style="77" bestFit="1" customWidth="1"/>
    <col min="5138" max="5365" width="9.140625" style="77"/>
    <col min="5366" max="5367" width="10" style="77" customWidth="1"/>
    <col min="5368" max="5368" width="7" style="77" customWidth="1"/>
    <col min="5369" max="5369" width="24" style="77" customWidth="1"/>
    <col min="5370" max="5370" width="12.85546875" style="77" customWidth="1"/>
    <col min="5371" max="5372" width="13.140625" style="77" customWidth="1"/>
    <col min="5373" max="5373" width="9.140625" style="77"/>
    <col min="5374" max="5374" width="12.85546875" style="77" customWidth="1"/>
    <col min="5375" max="5375" width="9.140625" style="77"/>
    <col min="5376" max="5376" width="12.140625" style="77" customWidth="1"/>
    <col min="5377" max="5377" width="13" style="77" customWidth="1"/>
    <col min="5378" max="5378" width="11.7109375" style="77" customWidth="1"/>
    <col min="5379" max="5379" width="11.28515625" style="77" customWidth="1"/>
    <col min="5380" max="5380" width="14.85546875" style="77" customWidth="1"/>
    <col min="5381" max="5381" width="16.42578125" style="77" customWidth="1"/>
    <col min="5382" max="5382" width="14.85546875" style="77" customWidth="1"/>
    <col min="5383" max="5383" width="13.42578125" style="77" bestFit="1" customWidth="1"/>
    <col min="5384" max="5384" width="14.85546875" style="77" customWidth="1"/>
    <col min="5385" max="5385" width="16.5703125" style="77" customWidth="1"/>
    <col min="5386" max="5386" width="10.5703125" style="77" customWidth="1"/>
    <col min="5387" max="5387" width="12.42578125" style="77" bestFit="1" customWidth="1"/>
    <col min="5388" max="5388" width="15" style="77" bestFit="1" customWidth="1"/>
    <col min="5389" max="5390" width="18.28515625" style="77" bestFit="1" customWidth="1"/>
    <col min="5391" max="5391" width="17.42578125" style="77" bestFit="1" customWidth="1"/>
    <col min="5392" max="5392" width="12.85546875" style="77" bestFit="1" customWidth="1"/>
    <col min="5393" max="5393" width="12.28515625" style="77" bestFit="1" customWidth="1"/>
    <col min="5394" max="5621" width="9.140625" style="77"/>
    <col min="5622" max="5623" width="10" style="77" customWidth="1"/>
    <col min="5624" max="5624" width="7" style="77" customWidth="1"/>
    <col min="5625" max="5625" width="24" style="77" customWidth="1"/>
    <col min="5626" max="5626" width="12.85546875" style="77" customWidth="1"/>
    <col min="5627" max="5628" width="13.140625" style="77" customWidth="1"/>
    <col min="5629" max="5629" width="9.140625" style="77"/>
    <col min="5630" max="5630" width="12.85546875" style="77" customWidth="1"/>
    <col min="5631" max="5631" width="9.140625" style="77"/>
    <col min="5632" max="5632" width="12.140625" style="77" customWidth="1"/>
    <col min="5633" max="5633" width="13" style="77" customWidth="1"/>
    <col min="5634" max="5634" width="11.7109375" style="77" customWidth="1"/>
    <col min="5635" max="5635" width="11.28515625" style="77" customWidth="1"/>
    <col min="5636" max="5636" width="14.85546875" style="77" customWidth="1"/>
    <col min="5637" max="5637" width="16.42578125" style="77" customWidth="1"/>
    <col min="5638" max="5638" width="14.85546875" style="77" customWidth="1"/>
    <col min="5639" max="5639" width="13.42578125" style="77" bestFit="1" customWidth="1"/>
    <col min="5640" max="5640" width="14.85546875" style="77" customWidth="1"/>
    <col min="5641" max="5641" width="16.5703125" style="77" customWidth="1"/>
    <col min="5642" max="5642" width="10.5703125" style="77" customWidth="1"/>
    <col min="5643" max="5643" width="12.42578125" style="77" bestFit="1" customWidth="1"/>
    <col min="5644" max="5644" width="15" style="77" bestFit="1" customWidth="1"/>
    <col min="5645" max="5646" width="18.28515625" style="77" bestFit="1" customWidth="1"/>
    <col min="5647" max="5647" width="17.42578125" style="77" bestFit="1" customWidth="1"/>
    <col min="5648" max="5648" width="12.85546875" style="77" bestFit="1" customWidth="1"/>
    <col min="5649" max="5649" width="12.28515625" style="77" bestFit="1" customWidth="1"/>
    <col min="5650" max="5877" width="9.140625" style="77"/>
    <col min="5878" max="5879" width="10" style="77" customWidth="1"/>
    <col min="5880" max="5880" width="7" style="77" customWidth="1"/>
    <col min="5881" max="5881" width="24" style="77" customWidth="1"/>
    <col min="5882" max="5882" width="12.85546875" style="77" customWidth="1"/>
    <col min="5883" max="5884" width="13.140625" style="77" customWidth="1"/>
    <col min="5885" max="5885" width="9.140625" style="77"/>
    <col min="5886" max="5886" width="12.85546875" style="77" customWidth="1"/>
    <col min="5887" max="5887" width="9.140625" style="77"/>
    <col min="5888" max="5888" width="12.140625" style="77" customWidth="1"/>
    <col min="5889" max="5889" width="13" style="77" customWidth="1"/>
    <col min="5890" max="5890" width="11.7109375" style="77" customWidth="1"/>
    <col min="5891" max="5891" width="11.28515625" style="77" customWidth="1"/>
    <col min="5892" max="5892" width="14.85546875" style="77" customWidth="1"/>
    <col min="5893" max="5893" width="16.42578125" style="77" customWidth="1"/>
    <col min="5894" max="5894" width="14.85546875" style="77" customWidth="1"/>
    <col min="5895" max="5895" width="13.42578125" style="77" bestFit="1" customWidth="1"/>
    <col min="5896" max="5896" width="14.85546875" style="77" customWidth="1"/>
    <col min="5897" max="5897" width="16.5703125" style="77" customWidth="1"/>
    <col min="5898" max="5898" width="10.5703125" style="77" customWidth="1"/>
    <col min="5899" max="5899" width="12.42578125" style="77" bestFit="1" customWidth="1"/>
    <col min="5900" max="5900" width="15" style="77" bestFit="1" customWidth="1"/>
    <col min="5901" max="5902" width="18.28515625" style="77" bestFit="1" customWidth="1"/>
    <col min="5903" max="5903" width="17.42578125" style="77" bestFit="1" customWidth="1"/>
    <col min="5904" max="5904" width="12.85546875" style="77" bestFit="1" customWidth="1"/>
    <col min="5905" max="5905" width="12.28515625" style="77" bestFit="1" customWidth="1"/>
    <col min="5906" max="6133" width="9.140625" style="77"/>
    <col min="6134" max="6135" width="10" style="77" customWidth="1"/>
    <col min="6136" max="6136" width="7" style="77" customWidth="1"/>
    <col min="6137" max="6137" width="24" style="77" customWidth="1"/>
    <col min="6138" max="6138" width="12.85546875" style="77" customWidth="1"/>
    <col min="6139" max="6140" width="13.140625" style="77" customWidth="1"/>
    <col min="6141" max="6141" width="9.140625" style="77"/>
    <col min="6142" max="6142" width="12.85546875" style="77" customWidth="1"/>
    <col min="6143" max="6143" width="9.140625" style="77"/>
    <col min="6144" max="6144" width="12.140625" style="77" customWidth="1"/>
    <col min="6145" max="6145" width="13" style="77" customWidth="1"/>
    <col min="6146" max="6146" width="11.7109375" style="77" customWidth="1"/>
    <col min="6147" max="6147" width="11.28515625" style="77" customWidth="1"/>
    <col min="6148" max="6148" width="14.85546875" style="77" customWidth="1"/>
    <col min="6149" max="6149" width="16.42578125" style="77" customWidth="1"/>
    <col min="6150" max="6150" width="14.85546875" style="77" customWidth="1"/>
    <col min="6151" max="6151" width="13.42578125" style="77" bestFit="1" customWidth="1"/>
    <col min="6152" max="6152" width="14.85546875" style="77" customWidth="1"/>
    <col min="6153" max="6153" width="16.5703125" style="77" customWidth="1"/>
    <col min="6154" max="6154" width="10.5703125" style="77" customWidth="1"/>
    <col min="6155" max="6155" width="12.42578125" style="77" bestFit="1" customWidth="1"/>
    <col min="6156" max="6156" width="15" style="77" bestFit="1" customWidth="1"/>
    <col min="6157" max="6158" width="18.28515625" style="77" bestFit="1" customWidth="1"/>
    <col min="6159" max="6159" width="17.42578125" style="77" bestFit="1" customWidth="1"/>
    <col min="6160" max="6160" width="12.85546875" style="77" bestFit="1" customWidth="1"/>
    <col min="6161" max="6161" width="12.28515625" style="77" bestFit="1" customWidth="1"/>
    <col min="6162" max="6389" width="9.140625" style="77"/>
    <col min="6390" max="6391" width="10" style="77" customWidth="1"/>
    <col min="6392" max="6392" width="7" style="77" customWidth="1"/>
    <col min="6393" max="6393" width="24" style="77" customWidth="1"/>
    <col min="6394" max="6394" width="12.85546875" style="77" customWidth="1"/>
    <col min="6395" max="6396" width="13.140625" style="77" customWidth="1"/>
    <col min="6397" max="6397" width="9.140625" style="77"/>
    <col min="6398" max="6398" width="12.85546875" style="77" customWidth="1"/>
    <col min="6399" max="6399" width="9.140625" style="77"/>
    <col min="6400" max="6400" width="12.140625" style="77" customWidth="1"/>
    <col min="6401" max="6401" width="13" style="77" customWidth="1"/>
    <col min="6402" max="6402" width="11.7109375" style="77" customWidth="1"/>
    <col min="6403" max="6403" width="11.28515625" style="77" customWidth="1"/>
    <col min="6404" max="6404" width="14.85546875" style="77" customWidth="1"/>
    <col min="6405" max="6405" width="16.42578125" style="77" customWidth="1"/>
    <col min="6406" max="6406" width="14.85546875" style="77" customWidth="1"/>
    <col min="6407" max="6407" width="13.42578125" style="77" bestFit="1" customWidth="1"/>
    <col min="6408" max="6408" width="14.85546875" style="77" customWidth="1"/>
    <col min="6409" max="6409" width="16.5703125" style="77" customWidth="1"/>
    <col min="6410" max="6410" width="10.5703125" style="77" customWidth="1"/>
    <col min="6411" max="6411" width="12.42578125" style="77" bestFit="1" customWidth="1"/>
    <col min="6412" max="6412" width="15" style="77" bestFit="1" customWidth="1"/>
    <col min="6413" max="6414" width="18.28515625" style="77" bestFit="1" customWidth="1"/>
    <col min="6415" max="6415" width="17.42578125" style="77" bestFit="1" customWidth="1"/>
    <col min="6416" max="6416" width="12.85546875" style="77" bestFit="1" customWidth="1"/>
    <col min="6417" max="6417" width="12.28515625" style="77" bestFit="1" customWidth="1"/>
    <col min="6418" max="6645" width="9.140625" style="77"/>
    <col min="6646" max="6647" width="10" style="77" customWidth="1"/>
    <col min="6648" max="6648" width="7" style="77" customWidth="1"/>
    <col min="6649" max="6649" width="24" style="77" customWidth="1"/>
    <col min="6650" max="6650" width="12.85546875" style="77" customWidth="1"/>
    <col min="6651" max="6652" width="13.140625" style="77" customWidth="1"/>
    <col min="6653" max="6653" width="9.140625" style="77"/>
    <col min="6654" max="6654" width="12.85546875" style="77" customWidth="1"/>
    <col min="6655" max="6655" width="9.140625" style="77"/>
    <col min="6656" max="6656" width="12.140625" style="77" customWidth="1"/>
    <col min="6657" max="6657" width="13" style="77" customWidth="1"/>
    <col min="6658" max="6658" width="11.7109375" style="77" customWidth="1"/>
    <col min="6659" max="6659" width="11.28515625" style="77" customWidth="1"/>
    <col min="6660" max="6660" width="14.85546875" style="77" customWidth="1"/>
    <col min="6661" max="6661" width="16.42578125" style="77" customWidth="1"/>
    <col min="6662" max="6662" width="14.85546875" style="77" customWidth="1"/>
    <col min="6663" max="6663" width="13.42578125" style="77" bestFit="1" customWidth="1"/>
    <col min="6664" max="6664" width="14.85546875" style="77" customWidth="1"/>
    <col min="6665" max="6665" width="16.5703125" style="77" customWidth="1"/>
    <col min="6666" max="6666" width="10.5703125" style="77" customWidth="1"/>
    <col min="6667" max="6667" width="12.42578125" style="77" bestFit="1" customWidth="1"/>
    <col min="6668" max="6668" width="15" style="77" bestFit="1" customWidth="1"/>
    <col min="6669" max="6670" width="18.28515625" style="77" bestFit="1" customWidth="1"/>
    <col min="6671" max="6671" width="17.42578125" style="77" bestFit="1" customWidth="1"/>
    <col min="6672" max="6672" width="12.85546875" style="77" bestFit="1" customWidth="1"/>
    <col min="6673" max="6673" width="12.28515625" style="77" bestFit="1" customWidth="1"/>
    <col min="6674" max="6901" width="9.140625" style="77"/>
    <col min="6902" max="6903" width="10" style="77" customWidth="1"/>
    <col min="6904" max="6904" width="7" style="77" customWidth="1"/>
    <col min="6905" max="6905" width="24" style="77" customWidth="1"/>
    <col min="6906" max="6906" width="12.85546875" style="77" customWidth="1"/>
    <col min="6907" max="6908" width="13.140625" style="77" customWidth="1"/>
    <col min="6909" max="6909" width="9.140625" style="77"/>
    <col min="6910" max="6910" width="12.85546875" style="77" customWidth="1"/>
    <col min="6911" max="6911" width="9.140625" style="77"/>
    <col min="6912" max="6912" width="12.140625" style="77" customWidth="1"/>
    <col min="6913" max="6913" width="13" style="77" customWidth="1"/>
    <col min="6914" max="6914" width="11.7109375" style="77" customWidth="1"/>
    <col min="6915" max="6915" width="11.28515625" style="77" customWidth="1"/>
    <col min="6916" max="6916" width="14.85546875" style="77" customWidth="1"/>
    <col min="6917" max="6917" width="16.42578125" style="77" customWidth="1"/>
    <col min="6918" max="6918" width="14.85546875" style="77" customWidth="1"/>
    <col min="6919" max="6919" width="13.42578125" style="77" bestFit="1" customWidth="1"/>
    <col min="6920" max="6920" width="14.85546875" style="77" customWidth="1"/>
    <col min="6921" max="6921" width="16.5703125" style="77" customWidth="1"/>
    <col min="6922" max="6922" width="10.5703125" style="77" customWidth="1"/>
    <col min="6923" max="6923" width="12.42578125" style="77" bestFit="1" customWidth="1"/>
    <col min="6924" max="6924" width="15" style="77" bestFit="1" customWidth="1"/>
    <col min="6925" max="6926" width="18.28515625" style="77" bestFit="1" customWidth="1"/>
    <col min="6927" max="6927" width="17.42578125" style="77" bestFit="1" customWidth="1"/>
    <col min="6928" max="6928" width="12.85546875" style="77" bestFit="1" customWidth="1"/>
    <col min="6929" max="6929" width="12.28515625" style="77" bestFit="1" customWidth="1"/>
    <col min="6930" max="7157" width="9.140625" style="77"/>
    <col min="7158" max="7159" width="10" style="77" customWidth="1"/>
    <col min="7160" max="7160" width="7" style="77" customWidth="1"/>
    <col min="7161" max="7161" width="24" style="77" customWidth="1"/>
    <col min="7162" max="7162" width="12.85546875" style="77" customWidth="1"/>
    <col min="7163" max="7164" width="13.140625" style="77" customWidth="1"/>
    <col min="7165" max="7165" width="9.140625" style="77"/>
    <col min="7166" max="7166" width="12.85546875" style="77" customWidth="1"/>
    <col min="7167" max="7167" width="9.140625" style="77"/>
    <col min="7168" max="7168" width="12.140625" style="77" customWidth="1"/>
    <col min="7169" max="7169" width="13" style="77" customWidth="1"/>
    <col min="7170" max="7170" width="11.7109375" style="77" customWidth="1"/>
    <col min="7171" max="7171" width="11.28515625" style="77" customWidth="1"/>
    <col min="7172" max="7172" width="14.85546875" style="77" customWidth="1"/>
    <col min="7173" max="7173" width="16.42578125" style="77" customWidth="1"/>
    <col min="7174" max="7174" width="14.85546875" style="77" customWidth="1"/>
    <col min="7175" max="7175" width="13.42578125" style="77" bestFit="1" customWidth="1"/>
    <col min="7176" max="7176" width="14.85546875" style="77" customWidth="1"/>
    <col min="7177" max="7177" width="16.5703125" style="77" customWidth="1"/>
    <col min="7178" max="7178" width="10.5703125" style="77" customWidth="1"/>
    <col min="7179" max="7179" width="12.42578125" style="77" bestFit="1" customWidth="1"/>
    <col min="7180" max="7180" width="15" style="77" bestFit="1" customWidth="1"/>
    <col min="7181" max="7182" width="18.28515625" style="77" bestFit="1" customWidth="1"/>
    <col min="7183" max="7183" width="17.42578125" style="77" bestFit="1" customWidth="1"/>
    <col min="7184" max="7184" width="12.85546875" style="77" bestFit="1" customWidth="1"/>
    <col min="7185" max="7185" width="12.28515625" style="77" bestFit="1" customWidth="1"/>
    <col min="7186" max="7413" width="9.140625" style="77"/>
    <col min="7414" max="7415" width="10" style="77" customWidth="1"/>
    <col min="7416" max="7416" width="7" style="77" customWidth="1"/>
    <col min="7417" max="7417" width="24" style="77" customWidth="1"/>
    <col min="7418" max="7418" width="12.85546875" style="77" customWidth="1"/>
    <col min="7419" max="7420" width="13.140625" style="77" customWidth="1"/>
    <col min="7421" max="7421" width="9.140625" style="77"/>
    <col min="7422" max="7422" width="12.85546875" style="77" customWidth="1"/>
    <col min="7423" max="7423" width="9.140625" style="77"/>
    <col min="7424" max="7424" width="12.140625" style="77" customWidth="1"/>
    <col min="7425" max="7425" width="13" style="77" customWidth="1"/>
    <col min="7426" max="7426" width="11.7109375" style="77" customWidth="1"/>
    <col min="7427" max="7427" width="11.28515625" style="77" customWidth="1"/>
    <col min="7428" max="7428" width="14.85546875" style="77" customWidth="1"/>
    <col min="7429" max="7429" width="16.42578125" style="77" customWidth="1"/>
    <col min="7430" max="7430" width="14.85546875" style="77" customWidth="1"/>
    <col min="7431" max="7431" width="13.42578125" style="77" bestFit="1" customWidth="1"/>
    <col min="7432" max="7432" width="14.85546875" style="77" customWidth="1"/>
    <col min="7433" max="7433" width="16.5703125" style="77" customWidth="1"/>
    <col min="7434" max="7434" width="10.5703125" style="77" customWidth="1"/>
    <col min="7435" max="7435" width="12.42578125" style="77" bestFit="1" customWidth="1"/>
    <col min="7436" max="7436" width="15" style="77" bestFit="1" customWidth="1"/>
    <col min="7437" max="7438" width="18.28515625" style="77" bestFit="1" customWidth="1"/>
    <col min="7439" max="7439" width="17.42578125" style="77" bestFit="1" customWidth="1"/>
    <col min="7440" max="7440" width="12.85546875" style="77" bestFit="1" customWidth="1"/>
    <col min="7441" max="7441" width="12.28515625" style="77" bestFit="1" customWidth="1"/>
    <col min="7442" max="7669" width="9.140625" style="77"/>
    <col min="7670" max="7671" width="10" style="77" customWidth="1"/>
    <col min="7672" max="7672" width="7" style="77" customWidth="1"/>
    <col min="7673" max="7673" width="24" style="77" customWidth="1"/>
    <col min="7674" max="7674" width="12.85546875" style="77" customWidth="1"/>
    <col min="7675" max="7676" width="13.140625" style="77" customWidth="1"/>
    <col min="7677" max="7677" width="9.140625" style="77"/>
    <col min="7678" max="7678" width="12.85546875" style="77" customWidth="1"/>
    <col min="7679" max="7679" width="9.140625" style="77"/>
    <col min="7680" max="7680" width="12.140625" style="77" customWidth="1"/>
    <col min="7681" max="7681" width="13" style="77" customWidth="1"/>
    <col min="7682" max="7682" width="11.7109375" style="77" customWidth="1"/>
    <col min="7683" max="7683" width="11.28515625" style="77" customWidth="1"/>
    <col min="7684" max="7684" width="14.85546875" style="77" customWidth="1"/>
    <col min="7685" max="7685" width="16.42578125" style="77" customWidth="1"/>
    <col min="7686" max="7686" width="14.85546875" style="77" customWidth="1"/>
    <col min="7687" max="7687" width="13.42578125" style="77" bestFit="1" customWidth="1"/>
    <col min="7688" max="7688" width="14.85546875" style="77" customWidth="1"/>
    <col min="7689" max="7689" width="16.5703125" style="77" customWidth="1"/>
    <col min="7690" max="7690" width="10.5703125" style="77" customWidth="1"/>
    <col min="7691" max="7691" width="12.42578125" style="77" bestFit="1" customWidth="1"/>
    <col min="7692" max="7692" width="15" style="77" bestFit="1" customWidth="1"/>
    <col min="7693" max="7694" width="18.28515625" style="77" bestFit="1" customWidth="1"/>
    <col min="7695" max="7695" width="17.42578125" style="77" bestFit="1" customWidth="1"/>
    <col min="7696" max="7696" width="12.85546875" style="77" bestFit="1" customWidth="1"/>
    <col min="7697" max="7697" width="12.28515625" style="77" bestFit="1" customWidth="1"/>
    <col min="7698" max="7925" width="9.140625" style="77"/>
    <col min="7926" max="7927" width="10" style="77" customWidth="1"/>
    <col min="7928" max="7928" width="7" style="77" customWidth="1"/>
    <col min="7929" max="7929" width="24" style="77" customWidth="1"/>
    <col min="7930" max="7930" width="12.85546875" style="77" customWidth="1"/>
    <col min="7931" max="7932" width="13.140625" style="77" customWidth="1"/>
    <col min="7933" max="7933" width="9.140625" style="77"/>
    <col min="7934" max="7934" width="12.85546875" style="77" customWidth="1"/>
    <col min="7935" max="7935" width="9.140625" style="77"/>
    <col min="7936" max="7936" width="12.140625" style="77" customWidth="1"/>
    <col min="7937" max="7937" width="13" style="77" customWidth="1"/>
    <col min="7938" max="7938" width="11.7109375" style="77" customWidth="1"/>
    <col min="7939" max="7939" width="11.28515625" style="77" customWidth="1"/>
    <col min="7940" max="7940" width="14.85546875" style="77" customWidth="1"/>
    <col min="7941" max="7941" width="16.42578125" style="77" customWidth="1"/>
    <col min="7942" max="7942" width="14.85546875" style="77" customWidth="1"/>
    <col min="7943" max="7943" width="13.42578125" style="77" bestFit="1" customWidth="1"/>
    <col min="7944" max="7944" width="14.85546875" style="77" customWidth="1"/>
    <col min="7945" max="7945" width="16.5703125" style="77" customWidth="1"/>
    <col min="7946" max="7946" width="10.5703125" style="77" customWidth="1"/>
    <col min="7947" max="7947" width="12.42578125" style="77" bestFit="1" customWidth="1"/>
    <col min="7948" max="7948" width="15" style="77" bestFit="1" customWidth="1"/>
    <col min="7949" max="7950" width="18.28515625" style="77" bestFit="1" customWidth="1"/>
    <col min="7951" max="7951" width="17.42578125" style="77" bestFit="1" customWidth="1"/>
    <col min="7952" max="7952" width="12.85546875" style="77" bestFit="1" customWidth="1"/>
    <col min="7953" max="7953" width="12.28515625" style="77" bestFit="1" customWidth="1"/>
    <col min="7954" max="8181" width="9.140625" style="77"/>
    <col min="8182" max="8183" width="10" style="77" customWidth="1"/>
    <col min="8184" max="8184" width="7" style="77" customWidth="1"/>
    <col min="8185" max="8185" width="24" style="77" customWidth="1"/>
    <col min="8186" max="8186" width="12.85546875" style="77" customWidth="1"/>
    <col min="8187" max="8188" width="13.140625" style="77" customWidth="1"/>
    <col min="8189" max="8189" width="9.140625" style="77"/>
    <col min="8190" max="8190" width="12.85546875" style="77" customWidth="1"/>
    <col min="8191" max="8191" width="9.140625" style="77"/>
    <col min="8192" max="8192" width="12.140625" style="77" customWidth="1"/>
    <col min="8193" max="8193" width="13" style="77" customWidth="1"/>
    <col min="8194" max="8194" width="11.7109375" style="77" customWidth="1"/>
    <col min="8195" max="8195" width="11.28515625" style="77" customWidth="1"/>
    <col min="8196" max="8196" width="14.85546875" style="77" customWidth="1"/>
    <col min="8197" max="8197" width="16.42578125" style="77" customWidth="1"/>
    <col min="8198" max="8198" width="14.85546875" style="77" customWidth="1"/>
    <col min="8199" max="8199" width="13.42578125" style="77" bestFit="1" customWidth="1"/>
    <col min="8200" max="8200" width="14.85546875" style="77" customWidth="1"/>
    <col min="8201" max="8201" width="16.5703125" style="77" customWidth="1"/>
    <col min="8202" max="8202" width="10.5703125" style="77" customWidth="1"/>
    <col min="8203" max="8203" width="12.42578125" style="77" bestFit="1" customWidth="1"/>
    <col min="8204" max="8204" width="15" style="77" bestFit="1" customWidth="1"/>
    <col min="8205" max="8206" width="18.28515625" style="77" bestFit="1" customWidth="1"/>
    <col min="8207" max="8207" width="17.42578125" style="77" bestFit="1" customWidth="1"/>
    <col min="8208" max="8208" width="12.85546875" style="77" bestFit="1" customWidth="1"/>
    <col min="8209" max="8209" width="12.28515625" style="77" bestFit="1" customWidth="1"/>
    <col min="8210" max="8437" width="9.140625" style="77"/>
    <col min="8438" max="8439" width="10" style="77" customWidth="1"/>
    <col min="8440" max="8440" width="7" style="77" customWidth="1"/>
    <col min="8441" max="8441" width="24" style="77" customWidth="1"/>
    <col min="8442" max="8442" width="12.85546875" style="77" customWidth="1"/>
    <col min="8443" max="8444" width="13.140625" style="77" customWidth="1"/>
    <col min="8445" max="8445" width="9.140625" style="77"/>
    <col min="8446" max="8446" width="12.85546875" style="77" customWidth="1"/>
    <col min="8447" max="8447" width="9.140625" style="77"/>
    <col min="8448" max="8448" width="12.140625" style="77" customWidth="1"/>
    <col min="8449" max="8449" width="13" style="77" customWidth="1"/>
    <col min="8450" max="8450" width="11.7109375" style="77" customWidth="1"/>
    <col min="8451" max="8451" width="11.28515625" style="77" customWidth="1"/>
    <col min="8452" max="8452" width="14.85546875" style="77" customWidth="1"/>
    <col min="8453" max="8453" width="16.42578125" style="77" customWidth="1"/>
    <col min="8454" max="8454" width="14.85546875" style="77" customWidth="1"/>
    <col min="8455" max="8455" width="13.42578125" style="77" bestFit="1" customWidth="1"/>
    <col min="8456" max="8456" width="14.85546875" style="77" customWidth="1"/>
    <col min="8457" max="8457" width="16.5703125" style="77" customWidth="1"/>
    <col min="8458" max="8458" width="10.5703125" style="77" customWidth="1"/>
    <col min="8459" max="8459" width="12.42578125" style="77" bestFit="1" customWidth="1"/>
    <col min="8460" max="8460" width="15" style="77" bestFit="1" customWidth="1"/>
    <col min="8461" max="8462" width="18.28515625" style="77" bestFit="1" customWidth="1"/>
    <col min="8463" max="8463" width="17.42578125" style="77" bestFit="1" customWidth="1"/>
    <col min="8464" max="8464" width="12.85546875" style="77" bestFit="1" customWidth="1"/>
    <col min="8465" max="8465" width="12.28515625" style="77" bestFit="1" customWidth="1"/>
    <col min="8466" max="8693" width="9.140625" style="77"/>
    <col min="8694" max="8695" width="10" style="77" customWidth="1"/>
    <col min="8696" max="8696" width="7" style="77" customWidth="1"/>
    <col min="8697" max="8697" width="24" style="77" customWidth="1"/>
    <col min="8698" max="8698" width="12.85546875" style="77" customWidth="1"/>
    <col min="8699" max="8700" width="13.140625" style="77" customWidth="1"/>
    <col min="8701" max="8701" width="9.140625" style="77"/>
    <col min="8702" max="8702" width="12.85546875" style="77" customWidth="1"/>
    <col min="8703" max="8703" width="9.140625" style="77"/>
    <col min="8704" max="8704" width="12.140625" style="77" customWidth="1"/>
    <col min="8705" max="8705" width="13" style="77" customWidth="1"/>
    <col min="8706" max="8706" width="11.7109375" style="77" customWidth="1"/>
    <col min="8707" max="8707" width="11.28515625" style="77" customWidth="1"/>
    <col min="8708" max="8708" width="14.85546875" style="77" customWidth="1"/>
    <col min="8709" max="8709" width="16.42578125" style="77" customWidth="1"/>
    <col min="8710" max="8710" width="14.85546875" style="77" customWidth="1"/>
    <col min="8711" max="8711" width="13.42578125" style="77" bestFit="1" customWidth="1"/>
    <col min="8712" max="8712" width="14.85546875" style="77" customWidth="1"/>
    <col min="8713" max="8713" width="16.5703125" style="77" customWidth="1"/>
    <col min="8714" max="8714" width="10.5703125" style="77" customWidth="1"/>
    <col min="8715" max="8715" width="12.42578125" style="77" bestFit="1" customWidth="1"/>
    <col min="8716" max="8716" width="15" style="77" bestFit="1" customWidth="1"/>
    <col min="8717" max="8718" width="18.28515625" style="77" bestFit="1" customWidth="1"/>
    <col min="8719" max="8719" width="17.42578125" style="77" bestFit="1" customWidth="1"/>
    <col min="8720" max="8720" width="12.85546875" style="77" bestFit="1" customWidth="1"/>
    <col min="8721" max="8721" width="12.28515625" style="77" bestFit="1" customWidth="1"/>
    <col min="8722" max="8949" width="9.140625" style="77"/>
    <col min="8950" max="8951" width="10" style="77" customWidth="1"/>
    <col min="8952" max="8952" width="7" style="77" customWidth="1"/>
    <col min="8953" max="8953" width="24" style="77" customWidth="1"/>
    <col min="8954" max="8954" width="12.85546875" style="77" customWidth="1"/>
    <col min="8955" max="8956" width="13.140625" style="77" customWidth="1"/>
    <col min="8957" max="8957" width="9.140625" style="77"/>
    <col min="8958" max="8958" width="12.85546875" style="77" customWidth="1"/>
    <col min="8959" max="8959" width="9.140625" style="77"/>
    <col min="8960" max="8960" width="12.140625" style="77" customWidth="1"/>
    <col min="8961" max="8961" width="13" style="77" customWidth="1"/>
    <col min="8962" max="8962" width="11.7109375" style="77" customWidth="1"/>
    <col min="8963" max="8963" width="11.28515625" style="77" customWidth="1"/>
    <col min="8964" max="8964" width="14.85546875" style="77" customWidth="1"/>
    <col min="8965" max="8965" width="16.42578125" style="77" customWidth="1"/>
    <col min="8966" max="8966" width="14.85546875" style="77" customWidth="1"/>
    <col min="8967" max="8967" width="13.42578125" style="77" bestFit="1" customWidth="1"/>
    <col min="8968" max="8968" width="14.85546875" style="77" customWidth="1"/>
    <col min="8969" max="8969" width="16.5703125" style="77" customWidth="1"/>
    <col min="8970" max="8970" width="10.5703125" style="77" customWidth="1"/>
    <col min="8971" max="8971" width="12.42578125" style="77" bestFit="1" customWidth="1"/>
    <col min="8972" max="8972" width="15" style="77" bestFit="1" customWidth="1"/>
    <col min="8973" max="8974" width="18.28515625" style="77" bestFit="1" customWidth="1"/>
    <col min="8975" max="8975" width="17.42578125" style="77" bestFit="1" customWidth="1"/>
    <col min="8976" max="8976" width="12.85546875" style="77" bestFit="1" customWidth="1"/>
    <col min="8977" max="8977" width="12.28515625" style="77" bestFit="1" customWidth="1"/>
    <col min="8978" max="9205" width="9.140625" style="77"/>
    <col min="9206" max="9207" width="10" style="77" customWidth="1"/>
    <col min="9208" max="9208" width="7" style="77" customWidth="1"/>
    <col min="9209" max="9209" width="24" style="77" customWidth="1"/>
    <col min="9210" max="9210" width="12.85546875" style="77" customWidth="1"/>
    <col min="9211" max="9212" width="13.140625" style="77" customWidth="1"/>
    <col min="9213" max="9213" width="9.140625" style="77"/>
    <col min="9214" max="9214" width="12.85546875" style="77" customWidth="1"/>
    <col min="9215" max="9215" width="9.140625" style="77"/>
    <col min="9216" max="9216" width="12.140625" style="77" customWidth="1"/>
    <col min="9217" max="9217" width="13" style="77" customWidth="1"/>
    <col min="9218" max="9218" width="11.7109375" style="77" customWidth="1"/>
    <col min="9219" max="9219" width="11.28515625" style="77" customWidth="1"/>
    <col min="9220" max="9220" width="14.85546875" style="77" customWidth="1"/>
    <col min="9221" max="9221" width="16.42578125" style="77" customWidth="1"/>
    <col min="9222" max="9222" width="14.85546875" style="77" customWidth="1"/>
    <col min="9223" max="9223" width="13.42578125" style="77" bestFit="1" customWidth="1"/>
    <col min="9224" max="9224" width="14.85546875" style="77" customWidth="1"/>
    <col min="9225" max="9225" width="16.5703125" style="77" customWidth="1"/>
    <col min="9226" max="9226" width="10.5703125" style="77" customWidth="1"/>
    <col min="9227" max="9227" width="12.42578125" style="77" bestFit="1" customWidth="1"/>
    <col min="9228" max="9228" width="15" style="77" bestFit="1" customWidth="1"/>
    <col min="9229" max="9230" width="18.28515625" style="77" bestFit="1" customWidth="1"/>
    <col min="9231" max="9231" width="17.42578125" style="77" bestFit="1" customWidth="1"/>
    <col min="9232" max="9232" width="12.85546875" style="77" bestFit="1" customWidth="1"/>
    <col min="9233" max="9233" width="12.28515625" style="77" bestFit="1" customWidth="1"/>
    <col min="9234" max="9461" width="9.140625" style="77"/>
    <col min="9462" max="9463" width="10" style="77" customWidth="1"/>
    <col min="9464" max="9464" width="7" style="77" customWidth="1"/>
    <col min="9465" max="9465" width="24" style="77" customWidth="1"/>
    <col min="9466" max="9466" width="12.85546875" style="77" customWidth="1"/>
    <col min="9467" max="9468" width="13.140625" style="77" customWidth="1"/>
    <col min="9469" max="9469" width="9.140625" style="77"/>
    <col min="9470" max="9470" width="12.85546875" style="77" customWidth="1"/>
    <col min="9471" max="9471" width="9.140625" style="77"/>
    <col min="9472" max="9472" width="12.140625" style="77" customWidth="1"/>
    <col min="9473" max="9473" width="13" style="77" customWidth="1"/>
    <col min="9474" max="9474" width="11.7109375" style="77" customWidth="1"/>
    <col min="9475" max="9475" width="11.28515625" style="77" customWidth="1"/>
    <col min="9476" max="9476" width="14.85546875" style="77" customWidth="1"/>
    <col min="9477" max="9477" width="16.42578125" style="77" customWidth="1"/>
    <col min="9478" max="9478" width="14.85546875" style="77" customWidth="1"/>
    <col min="9479" max="9479" width="13.42578125" style="77" bestFit="1" customWidth="1"/>
    <col min="9480" max="9480" width="14.85546875" style="77" customWidth="1"/>
    <col min="9481" max="9481" width="16.5703125" style="77" customWidth="1"/>
    <col min="9482" max="9482" width="10.5703125" style="77" customWidth="1"/>
    <col min="9483" max="9483" width="12.42578125" style="77" bestFit="1" customWidth="1"/>
    <col min="9484" max="9484" width="15" style="77" bestFit="1" customWidth="1"/>
    <col min="9485" max="9486" width="18.28515625" style="77" bestFit="1" customWidth="1"/>
    <col min="9487" max="9487" width="17.42578125" style="77" bestFit="1" customWidth="1"/>
    <col min="9488" max="9488" width="12.85546875" style="77" bestFit="1" customWidth="1"/>
    <col min="9489" max="9489" width="12.28515625" style="77" bestFit="1" customWidth="1"/>
    <col min="9490" max="9717" width="9.140625" style="77"/>
    <col min="9718" max="9719" width="10" style="77" customWidth="1"/>
    <col min="9720" max="9720" width="7" style="77" customWidth="1"/>
    <col min="9721" max="9721" width="24" style="77" customWidth="1"/>
    <col min="9722" max="9722" width="12.85546875" style="77" customWidth="1"/>
    <col min="9723" max="9724" width="13.140625" style="77" customWidth="1"/>
    <col min="9725" max="9725" width="9.140625" style="77"/>
    <col min="9726" max="9726" width="12.85546875" style="77" customWidth="1"/>
    <col min="9727" max="9727" width="9.140625" style="77"/>
    <col min="9728" max="9728" width="12.140625" style="77" customWidth="1"/>
    <col min="9729" max="9729" width="13" style="77" customWidth="1"/>
    <col min="9730" max="9730" width="11.7109375" style="77" customWidth="1"/>
    <col min="9731" max="9731" width="11.28515625" style="77" customWidth="1"/>
    <col min="9732" max="9732" width="14.85546875" style="77" customWidth="1"/>
    <col min="9733" max="9733" width="16.42578125" style="77" customWidth="1"/>
    <col min="9734" max="9734" width="14.85546875" style="77" customWidth="1"/>
    <col min="9735" max="9735" width="13.42578125" style="77" bestFit="1" customWidth="1"/>
    <col min="9736" max="9736" width="14.85546875" style="77" customWidth="1"/>
    <col min="9737" max="9737" width="16.5703125" style="77" customWidth="1"/>
    <col min="9738" max="9738" width="10.5703125" style="77" customWidth="1"/>
    <col min="9739" max="9739" width="12.42578125" style="77" bestFit="1" customWidth="1"/>
    <col min="9740" max="9740" width="15" style="77" bestFit="1" customWidth="1"/>
    <col min="9741" max="9742" width="18.28515625" style="77" bestFit="1" customWidth="1"/>
    <col min="9743" max="9743" width="17.42578125" style="77" bestFit="1" customWidth="1"/>
    <col min="9744" max="9744" width="12.85546875" style="77" bestFit="1" customWidth="1"/>
    <col min="9745" max="9745" width="12.28515625" style="77" bestFit="1" customWidth="1"/>
    <col min="9746" max="9973" width="9.140625" style="77"/>
    <col min="9974" max="9975" width="10" style="77" customWidth="1"/>
    <col min="9976" max="9976" width="7" style="77" customWidth="1"/>
    <col min="9977" max="9977" width="24" style="77" customWidth="1"/>
    <col min="9978" max="9978" width="12.85546875" style="77" customWidth="1"/>
    <col min="9979" max="9980" width="13.140625" style="77" customWidth="1"/>
    <col min="9981" max="9981" width="9.140625" style="77"/>
    <col min="9982" max="9982" width="12.85546875" style="77" customWidth="1"/>
    <col min="9983" max="9983" width="9.140625" style="77"/>
    <col min="9984" max="9984" width="12.140625" style="77" customWidth="1"/>
    <col min="9985" max="9985" width="13" style="77" customWidth="1"/>
    <col min="9986" max="9986" width="11.7109375" style="77" customWidth="1"/>
    <col min="9987" max="9987" width="11.28515625" style="77" customWidth="1"/>
    <col min="9988" max="9988" width="14.85546875" style="77" customWidth="1"/>
    <col min="9989" max="9989" width="16.42578125" style="77" customWidth="1"/>
    <col min="9990" max="9990" width="14.85546875" style="77" customWidth="1"/>
    <col min="9991" max="9991" width="13.42578125" style="77" bestFit="1" customWidth="1"/>
    <col min="9992" max="9992" width="14.85546875" style="77" customWidth="1"/>
    <col min="9993" max="9993" width="16.5703125" style="77" customWidth="1"/>
    <col min="9994" max="9994" width="10.5703125" style="77" customWidth="1"/>
    <col min="9995" max="9995" width="12.42578125" style="77" bestFit="1" customWidth="1"/>
    <col min="9996" max="9996" width="15" style="77" bestFit="1" customWidth="1"/>
    <col min="9997" max="9998" width="18.28515625" style="77" bestFit="1" customWidth="1"/>
    <col min="9999" max="9999" width="17.42578125" style="77" bestFit="1" customWidth="1"/>
    <col min="10000" max="10000" width="12.85546875" style="77" bestFit="1" customWidth="1"/>
    <col min="10001" max="10001" width="12.28515625" style="77" bestFit="1" customWidth="1"/>
    <col min="10002" max="10229" width="9.140625" style="77"/>
    <col min="10230" max="10231" width="10" style="77" customWidth="1"/>
    <col min="10232" max="10232" width="7" style="77" customWidth="1"/>
    <col min="10233" max="10233" width="24" style="77" customWidth="1"/>
    <col min="10234" max="10234" width="12.85546875" style="77" customWidth="1"/>
    <col min="10235" max="10236" width="13.140625" style="77" customWidth="1"/>
    <col min="10237" max="10237" width="9.140625" style="77"/>
    <col min="10238" max="10238" width="12.85546875" style="77" customWidth="1"/>
    <col min="10239" max="10239" width="9.140625" style="77"/>
    <col min="10240" max="10240" width="12.140625" style="77" customWidth="1"/>
    <col min="10241" max="10241" width="13" style="77" customWidth="1"/>
    <col min="10242" max="10242" width="11.7109375" style="77" customWidth="1"/>
    <col min="10243" max="10243" width="11.28515625" style="77" customWidth="1"/>
    <col min="10244" max="10244" width="14.85546875" style="77" customWidth="1"/>
    <col min="10245" max="10245" width="16.42578125" style="77" customWidth="1"/>
    <col min="10246" max="10246" width="14.85546875" style="77" customWidth="1"/>
    <col min="10247" max="10247" width="13.42578125" style="77" bestFit="1" customWidth="1"/>
    <col min="10248" max="10248" width="14.85546875" style="77" customWidth="1"/>
    <col min="10249" max="10249" width="16.5703125" style="77" customWidth="1"/>
    <col min="10250" max="10250" width="10.5703125" style="77" customWidth="1"/>
    <col min="10251" max="10251" width="12.42578125" style="77" bestFit="1" customWidth="1"/>
    <col min="10252" max="10252" width="15" style="77" bestFit="1" customWidth="1"/>
    <col min="10253" max="10254" width="18.28515625" style="77" bestFit="1" customWidth="1"/>
    <col min="10255" max="10255" width="17.42578125" style="77" bestFit="1" customWidth="1"/>
    <col min="10256" max="10256" width="12.85546875" style="77" bestFit="1" customWidth="1"/>
    <col min="10257" max="10257" width="12.28515625" style="77" bestFit="1" customWidth="1"/>
    <col min="10258" max="10485" width="9.140625" style="77"/>
    <col min="10486" max="10487" width="10" style="77" customWidth="1"/>
    <col min="10488" max="10488" width="7" style="77" customWidth="1"/>
    <col min="10489" max="10489" width="24" style="77" customWidth="1"/>
    <col min="10490" max="10490" width="12.85546875" style="77" customWidth="1"/>
    <col min="10491" max="10492" width="13.140625" style="77" customWidth="1"/>
    <col min="10493" max="10493" width="9.140625" style="77"/>
    <col min="10494" max="10494" width="12.85546875" style="77" customWidth="1"/>
    <col min="10495" max="10495" width="9.140625" style="77"/>
    <col min="10496" max="10496" width="12.140625" style="77" customWidth="1"/>
    <col min="10497" max="10497" width="13" style="77" customWidth="1"/>
    <col min="10498" max="10498" width="11.7109375" style="77" customWidth="1"/>
    <col min="10499" max="10499" width="11.28515625" style="77" customWidth="1"/>
    <col min="10500" max="10500" width="14.85546875" style="77" customWidth="1"/>
    <col min="10501" max="10501" width="16.42578125" style="77" customWidth="1"/>
    <col min="10502" max="10502" width="14.85546875" style="77" customWidth="1"/>
    <col min="10503" max="10503" width="13.42578125" style="77" bestFit="1" customWidth="1"/>
    <col min="10504" max="10504" width="14.85546875" style="77" customWidth="1"/>
    <col min="10505" max="10505" width="16.5703125" style="77" customWidth="1"/>
    <col min="10506" max="10506" width="10.5703125" style="77" customWidth="1"/>
    <col min="10507" max="10507" width="12.42578125" style="77" bestFit="1" customWidth="1"/>
    <col min="10508" max="10508" width="15" style="77" bestFit="1" customWidth="1"/>
    <col min="10509" max="10510" width="18.28515625" style="77" bestFit="1" customWidth="1"/>
    <col min="10511" max="10511" width="17.42578125" style="77" bestFit="1" customWidth="1"/>
    <col min="10512" max="10512" width="12.85546875" style="77" bestFit="1" customWidth="1"/>
    <col min="10513" max="10513" width="12.28515625" style="77" bestFit="1" customWidth="1"/>
    <col min="10514" max="10741" width="9.140625" style="77"/>
    <col min="10742" max="10743" width="10" style="77" customWidth="1"/>
    <col min="10744" max="10744" width="7" style="77" customWidth="1"/>
    <col min="10745" max="10745" width="24" style="77" customWidth="1"/>
    <col min="10746" max="10746" width="12.85546875" style="77" customWidth="1"/>
    <col min="10747" max="10748" width="13.140625" style="77" customWidth="1"/>
    <col min="10749" max="10749" width="9.140625" style="77"/>
    <col min="10750" max="10750" width="12.85546875" style="77" customWidth="1"/>
    <col min="10751" max="10751" width="9.140625" style="77"/>
    <col min="10752" max="10752" width="12.140625" style="77" customWidth="1"/>
    <col min="10753" max="10753" width="13" style="77" customWidth="1"/>
    <col min="10754" max="10754" width="11.7109375" style="77" customWidth="1"/>
    <col min="10755" max="10755" width="11.28515625" style="77" customWidth="1"/>
    <col min="10756" max="10756" width="14.85546875" style="77" customWidth="1"/>
    <col min="10757" max="10757" width="16.42578125" style="77" customWidth="1"/>
    <col min="10758" max="10758" width="14.85546875" style="77" customWidth="1"/>
    <col min="10759" max="10759" width="13.42578125" style="77" bestFit="1" customWidth="1"/>
    <col min="10760" max="10760" width="14.85546875" style="77" customWidth="1"/>
    <col min="10761" max="10761" width="16.5703125" style="77" customWidth="1"/>
    <col min="10762" max="10762" width="10.5703125" style="77" customWidth="1"/>
    <col min="10763" max="10763" width="12.42578125" style="77" bestFit="1" customWidth="1"/>
    <col min="10764" max="10764" width="15" style="77" bestFit="1" customWidth="1"/>
    <col min="10765" max="10766" width="18.28515625" style="77" bestFit="1" customWidth="1"/>
    <col min="10767" max="10767" width="17.42578125" style="77" bestFit="1" customWidth="1"/>
    <col min="10768" max="10768" width="12.85546875" style="77" bestFit="1" customWidth="1"/>
    <col min="10769" max="10769" width="12.28515625" style="77" bestFit="1" customWidth="1"/>
    <col min="10770" max="10997" width="9.140625" style="77"/>
    <col min="10998" max="10999" width="10" style="77" customWidth="1"/>
    <col min="11000" max="11000" width="7" style="77" customWidth="1"/>
    <col min="11001" max="11001" width="24" style="77" customWidth="1"/>
    <col min="11002" max="11002" width="12.85546875" style="77" customWidth="1"/>
    <col min="11003" max="11004" width="13.140625" style="77" customWidth="1"/>
    <col min="11005" max="11005" width="9.140625" style="77"/>
    <col min="11006" max="11006" width="12.85546875" style="77" customWidth="1"/>
    <col min="11007" max="11007" width="9.140625" style="77"/>
    <col min="11008" max="11008" width="12.140625" style="77" customWidth="1"/>
    <col min="11009" max="11009" width="13" style="77" customWidth="1"/>
    <col min="11010" max="11010" width="11.7109375" style="77" customWidth="1"/>
    <col min="11011" max="11011" width="11.28515625" style="77" customWidth="1"/>
    <col min="11012" max="11012" width="14.85546875" style="77" customWidth="1"/>
    <col min="11013" max="11013" width="16.42578125" style="77" customWidth="1"/>
    <col min="11014" max="11014" width="14.85546875" style="77" customWidth="1"/>
    <col min="11015" max="11015" width="13.42578125" style="77" bestFit="1" customWidth="1"/>
    <col min="11016" max="11016" width="14.85546875" style="77" customWidth="1"/>
    <col min="11017" max="11017" width="16.5703125" style="77" customWidth="1"/>
    <col min="11018" max="11018" width="10.5703125" style="77" customWidth="1"/>
    <col min="11019" max="11019" width="12.42578125" style="77" bestFit="1" customWidth="1"/>
    <col min="11020" max="11020" width="15" style="77" bestFit="1" customWidth="1"/>
    <col min="11021" max="11022" width="18.28515625" style="77" bestFit="1" customWidth="1"/>
    <col min="11023" max="11023" width="17.42578125" style="77" bestFit="1" customWidth="1"/>
    <col min="11024" max="11024" width="12.85546875" style="77" bestFit="1" customWidth="1"/>
    <col min="11025" max="11025" width="12.28515625" style="77" bestFit="1" customWidth="1"/>
    <col min="11026" max="11253" width="9.140625" style="77"/>
    <col min="11254" max="11255" width="10" style="77" customWidth="1"/>
    <col min="11256" max="11256" width="7" style="77" customWidth="1"/>
    <col min="11257" max="11257" width="24" style="77" customWidth="1"/>
    <col min="11258" max="11258" width="12.85546875" style="77" customWidth="1"/>
    <col min="11259" max="11260" width="13.140625" style="77" customWidth="1"/>
    <col min="11261" max="11261" width="9.140625" style="77"/>
    <col min="11262" max="11262" width="12.85546875" style="77" customWidth="1"/>
    <col min="11263" max="11263" width="9.140625" style="77"/>
    <col min="11264" max="11264" width="12.140625" style="77" customWidth="1"/>
    <col min="11265" max="11265" width="13" style="77" customWidth="1"/>
    <col min="11266" max="11266" width="11.7109375" style="77" customWidth="1"/>
    <col min="11267" max="11267" width="11.28515625" style="77" customWidth="1"/>
    <col min="11268" max="11268" width="14.85546875" style="77" customWidth="1"/>
    <col min="11269" max="11269" width="16.42578125" style="77" customWidth="1"/>
    <col min="11270" max="11270" width="14.85546875" style="77" customWidth="1"/>
    <col min="11271" max="11271" width="13.42578125" style="77" bestFit="1" customWidth="1"/>
    <col min="11272" max="11272" width="14.85546875" style="77" customWidth="1"/>
    <col min="11273" max="11273" width="16.5703125" style="77" customWidth="1"/>
    <col min="11274" max="11274" width="10.5703125" style="77" customWidth="1"/>
    <col min="11275" max="11275" width="12.42578125" style="77" bestFit="1" customWidth="1"/>
    <col min="11276" max="11276" width="15" style="77" bestFit="1" customWidth="1"/>
    <col min="11277" max="11278" width="18.28515625" style="77" bestFit="1" customWidth="1"/>
    <col min="11279" max="11279" width="17.42578125" style="77" bestFit="1" customWidth="1"/>
    <col min="11280" max="11280" width="12.85546875" style="77" bestFit="1" customWidth="1"/>
    <col min="11281" max="11281" width="12.28515625" style="77" bestFit="1" customWidth="1"/>
    <col min="11282" max="11509" width="9.140625" style="77"/>
    <col min="11510" max="11511" width="10" style="77" customWidth="1"/>
    <col min="11512" max="11512" width="7" style="77" customWidth="1"/>
    <col min="11513" max="11513" width="24" style="77" customWidth="1"/>
    <col min="11514" max="11514" width="12.85546875" style="77" customWidth="1"/>
    <col min="11515" max="11516" width="13.140625" style="77" customWidth="1"/>
    <col min="11517" max="11517" width="9.140625" style="77"/>
    <col min="11518" max="11518" width="12.85546875" style="77" customWidth="1"/>
    <col min="11519" max="11519" width="9.140625" style="77"/>
    <col min="11520" max="11520" width="12.140625" style="77" customWidth="1"/>
    <col min="11521" max="11521" width="13" style="77" customWidth="1"/>
    <col min="11522" max="11522" width="11.7109375" style="77" customWidth="1"/>
    <col min="11523" max="11523" width="11.28515625" style="77" customWidth="1"/>
    <col min="11524" max="11524" width="14.85546875" style="77" customWidth="1"/>
    <col min="11525" max="11525" width="16.42578125" style="77" customWidth="1"/>
    <col min="11526" max="11526" width="14.85546875" style="77" customWidth="1"/>
    <col min="11527" max="11527" width="13.42578125" style="77" bestFit="1" customWidth="1"/>
    <col min="11528" max="11528" width="14.85546875" style="77" customWidth="1"/>
    <col min="11529" max="11529" width="16.5703125" style="77" customWidth="1"/>
    <col min="11530" max="11530" width="10.5703125" style="77" customWidth="1"/>
    <col min="11531" max="11531" width="12.42578125" style="77" bestFit="1" customWidth="1"/>
    <col min="11532" max="11532" width="15" style="77" bestFit="1" customWidth="1"/>
    <col min="11533" max="11534" width="18.28515625" style="77" bestFit="1" customWidth="1"/>
    <col min="11535" max="11535" width="17.42578125" style="77" bestFit="1" customWidth="1"/>
    <col min="11536" max="11536" width="12.85546875" style="77" bestFit="1" customWidth="1"/>
    <col min="11537" max="11537" width="12.28515625" style="77" bestFit="1" customWidth="1"/>
    <col min="11538" max="11765" width="9.140625" style="77"/>
    <col min="11766" max="11767" width="10" style="77" customWidth="1"/>
    <col min="11768" max="11768" width="7" style="77" customWidth="1"/>
    <col min="11769" max="11769" width="24" style="77" customWidth="1"/>
    <col min="11770" max="11770" width="12.85546875" style="77" customWidth="1"/>
    <col min="11771" max="11772" width="13.140625" style="77" customWidth="1"/>
    <col min="11773" max="11773" width="9.140625" style="77"/>
    <col min="11774" max="11774" width="12.85546875" style="77" customWidth="1"/>
    <col min="11775" max="11775" width="9.140625" style="77"/>
    <col min="11776" max="11776" width="12.140625" style="77" customWidth="1"/>
    <col min="11777" max="11777" width="13" style="77" customWidth="1"/>
    <col min="11778" max="11778" width="11.7109375" style="77" customWidth="1"/>
    <col min="11779" max="11779" width="11.28515625" style="77" customWidth="1"/>
    <col min="11780" max="11780" width="14.85546875" style="77" customWidth="1"/>
    <col min="11781" max="11781" width="16.42578125" style="77" customWidth="1"/>
    <col min="11782" max="11782" width="14.85546875" style="77" customWidth="1"/>
    <col min="11783" max="11783" width="13.42578125" style="77" bestFit="1" customWidth="1"/>
    <col min="11784" max="11784" width="14.85546875" style="77" customWidth="1"/>
    <col min="11785" max="11785" width="16.5703125" style="77" customWidth="1"/>
    <col min="11786" max="11786" width="10.5703125" style="77" customWidth="1"/>
    <col min="11787" max="11787" width="12.42578125" style="77" bestFit="1" customWidth="1"/>
    <col min="11788" max="11788" width="15" style="77" bestFit="1" customWidth="1"/>
    <col min="11789" max="11790" width="18.28515625" style="77" bestFit="1" customWidth="1"/>
    <col min="11791" max="11791" width="17.42578125" style="77" bestFit="1" customWidth="1"/>
    <col min="11792" max="11792" width="12.85546875" style="77" bestFit="1" customWidth="1"/>
    <col min="11793" max="11793" width="12.28515625" style="77" bestFit="1" customWidth="1"/>
    <col min="11794" max="12021" width="9.140625" style="77"/>
    <col min="12022" max="12023" width="10" style="77" customWidth="1"/>
    <col min="12024" max="12024" width="7" style="77" customWidth="1"/>
    <col min="12025" max="12025" width="24" style="77" customWidth="1"/>
    <col min="12026" max="12026" width="12.85546875" style="77" customWidth="1"/>
    <col min="12027" max="12028" width="13.140625" style="77" customWidth="1"/>
    <col min="12029" max="12029" width="9.140625" style="77"/>
    <col min="12030" max="12030" width="12.85546875" style="77" customWidth="1"/>
    <col min="12031" max="12031" width="9.140625" style="77"/>
    <col min="12032" max="12032" width="12.140625" style="77" customWidth="1"/>
    <col min="12033" max="12033" width="13" style="77" customWidth="1"/>
    <col min="12034" max="12034" width="11.7109375" style="77" customWidth="1"/>
    <col min="12035" max="12035" width="11.28515625" style="77" customWidth="1"/>
    <col min="12036" max="12036" width="14.85546875" style="77" customWidth="1"/>
    <col min="12037" max="12037" width="16.42578125" style="77" customWidth="1"/>
    <col min="12038" max="12038" width="14.85546875" style="77" customWidth="1"/>
    <col min="12039" max="12039" width="13.42578125" style="77" bestFit="1" customWidth="1"/>
    <col min="12040" max="12040" width="14.85546875" style="77" customWidth="1"/>
    <col min="12041" max="12041" width="16.5703125" style="77" customWidth="1"/>
    <col min="12042" max="12042" width="10.5703125" style="77" customWidth="1"/>
    <col min="12043" max="12043" width="12.42578125" style="77" bestFit="1" customWidth="1"/>
    <col min="12044" max="12044" width="15" style="77" bestFit="1" customWidth="1"/>
    <col min="12045" max="12046" width="18.28515625" style="77" bestFit="1" customWidth="1"/>
    <col min="12047" max="12047" width="17.42578125" style="77" bestFit="1" customWidth="1"/>
    <col min="12048" max="12048" width="12.85546875" style="77" bestFit="1" customWidth="1"/>
    <col min="12049" max="12049" width="12.28515625" style="77" bestFit="1" customWidth="1"/>
    <col min="12050" max="12277" width="9.140625" style="77"/>
    <col min="12278" max="12279" width="10" style="77" customWidth="1"/>
    <col min="12280" max="12280" width="7" style="77" customWidth="1"/>
    <col min="12281" max="12281" width="24" style="77" customWidth="1"/>
    <col min="12282" max="12282" width="12.85546875" style="77" customWidth="1"/>
    <col min="12283" max="12284" width="13.140625" style="77" customWidth="1"/>
    <col min="12285" max="12285" width="9.140625" style="77"/>
    <col min="12286" max="12286" width="12.85546875" style="77" customWidth="1"/>
    <col min="12287" max="12287" width="9.140625" style="77"/>
    <col min="12288" max="12288" width="12.140625" style="77" customWidth="1"/>
    <col min="12289" max="12289" width="13" style="77" customWidth="1"/>
    <col min="12290" max="12290" width="11.7109375" style="77" customWidth="1"/>
    <col min="12291" max="12291" width="11.28515625" style="77" customWidth="1"/>
    <col min="12292" max="12292" width="14.85546875" style="77" customWidth="1"/>
    <col min="12293" max="12293" width="16.42578125" style="77" customWidth="1"/>
    <col min="12294" max="12294" width="14.85546875" style="77" customWidth="1"/>
    <col min="12295" max="12295" width="13.42578125" style="77" bestFit="1" customWidth="1"/>
    <col min="12296" max="12296" width="14.85546875" style="77" customWidth="1"/>
    <col min="12297" max="12297" width="16.5703125" style="77" customWidth="1"/>
    <col min="12298" max="12298" width="10.5703125" style="77" customWidth="1"/>
    <col min="12299" max="12299" width="12.42578125" style="77" bestFit="1" customWidth="1"/>
    <col min="12300" max="12300" width="15" style="77" bestFit="1" customWidth="1"/>
    <col min="12301" max="12302" width="18.28515625" style="77" bestFit="1" customWidth="1"/>
    <col min="12303" max="12303" width="17.42578125" style="77" bestFit="1" customWidth="1"/>
    <col min="12304" max="12304" width="12.85546875" style="77" bestFit="1" customWidth="1"/>
    <col min="12305" max="12305" width="12.28515625" style="77" bestFit="1" customWidth="1"/>
    <col min="12306" max="12533" width="9.140625" style="77"/>
    <col min="12534" max="12535" width="10" style="77" customWidth="1"/>
    <col min="12536" max="12536" width="7" style="77" customWidth="1"/>
    <col min="12537" max="12537" width="24" style="77" customWidth="1"/>
    <col min="12538" max="12538" width="12.85546875" style="77" customWidth="1"/>
    <col min="12539" max="12540" width="13.140625" style="77" customWidth="1"/>
    <col min="12541" max="12541" width="9.140625" style="77"/>
    <col min="12542" max="12542" width="12.85546875" style="77" customWidth="1"/>
    <col min="12543" max="12543" width="9.140625" style="77"/>
    <col min="12544" max="12544" width="12.140625" style="77" customWidth="1"/>
    <col min="12545" max="12545" width="13" style="77" customWidth="1"/>
    <col min="12546" max="12546" width="11.7109375" style="77" customWidth="1"/>
    <col min="12547" max="12547" width="11.28515625" style="77" customWidth="1"/>
    <col min="12548" max="12548" width="14.85546875" style="77" customWidth="1"/>
    <col min="12549" max="12549" width="16.42578125" style="77" customWidth="1"/>
    <col min="12550" max="12550" width="14.85546875" style="77" customWidth="1"/>
    <col min="12551" max="12551" width="13.42578125" style="77" bestFit="1" customWidth="1"/>
    <col min="12552" max="12552" width="14.85546875" style="77" customWidth="1"/>
    <col min="12553" max="12553" width="16.5703125" style="77" customWidth="1"/>
    <col min="12554" max="12554" width="10.5703125" style="77" customWidth="1"/>
    <col min="12555" max="12555" width="12.42578125" style="77" bestFit="1" customWidth="1"/>
    <col min="12556" max="12556" width="15" style="77" bestFit="1" customWidth="1"/>
    <col min="12557" max="12558" width="18.28515625" style="77" bestFit="1" customWidth="1"/>
    <col min="12559" max="12559" width="17.42578125" style="77" bestFit="1" customWidth="1"/>
    <col min="12560" max="12560" width="12.85546875" style="77" bestFit="1" customWidth="1"/>
    <col min="12561" max="12561" width="12.28515625" style="77" bestFit="1" customWidth="1"/>
    <col min="12562" max="12789" width="9.140625" style="77"/>
    <col min="12790" max="12791" width="10" style="77" customWidth="1"/>
    <col min="12792" max="12792" width="7" style="77" customWidth="1"/>
    <col min="12793" max="12793" width="24" style="77" customWidth="1"/>
    <col min="12794" max="12794" width="12.85546875" style="77" customWidth="1"/>
    <col min="12795" max="12796" width="13.140625" style="77" customWidth="1"/>
    <col min="12797" max="12797" width="9.140625" style="77"/>
    <col min="12798" max="12798" width="12.85546875" style="77" customWidth="1"/>
    <col min="12799" max="12799" width="9.140625" style="77"/>
    <col min="12800" max="12800" width="12.140625" style="77" customWidth="1"/>
    <col min="12801" max="12801" width="13" style="77" customWidth="1"/>
    <col min="12802" max="12802" width="11.7109375" style="77" customWidth="1"/>
    <col min="12803" max="12803" width="11.28515625" style="77" customWidth="1"/>
    <col min="12804" max="12804" width="14.85546875" style="77" customWidth="1"/>
    <col min="12805" max="12805" width="16.42578125" style="77" customWidth="1"/>
    <col min="12806" max="12806" width="14.85546875" style="77" customWidth="1"/>
    <col min="12807" max="12807" width="13.42578125" style="77" bestFit="1" customWidth="1"/>
    <col min="12808" max="12808" width="14.85546875" style="77" customWidth="1"/>
    <col min="12809" max="12809" width="16.5703125" style="77" customWidth="1"/>
    <col min="12810" max="12810" width="10.5703125" style="77" customWidth="1"/>
    <col min="12811" max="12811" width="12.42578125" style="77" bestFit="1" customWidth="1"/>
    <col min="12812" max="12812" width="15" style="77" bestFit="1" customWidth="1"/>
    <col min="12813" max="12814" width="18.28515625" style="77" bestFit="1" customWidth="1"/>
    <col min="12815" max="12815" width="17.42578125" style="77" bestFit="1" customWidth="1"/>
    <col min="12816" max="12816" width="12.85546875" style="77" bestFit="1" customWidth="1"/>
    <col min="12817" max="12817" width="12.28515625" style="77" bestFit="1" customWidth="1"/>
    <col min="12818" max="13045" width="9.140625" style="77"/>
    <col min="13046" max="13047" width="10" style="77" customWidth="1"/>
    <col min="13048" max="13048" width="7" style="77" customWidth="1"/>
    <col min="13049" max="13049" width="24" style="77" customWidth="1"/>
    <col min="13050" max="13050" width="12.85546875" style="77" customWidth="1"/>
    <col min="13051" max="13052" width="13.140625" style="77" customWidth="1"/>
    <col min="13053" max="13053" width="9.140625" style="77"/>
    <col min="13054" max="13054" width="12.85546875" style="77" customWidth="1"/>
    <col min="13055" max="13055" width="9.140625" style="77"/>
    <col min="13056" max="13056" width="12.140625" style="77" customWidth="1"/>
    <col min="13057" max="13057" width="13" style="77" customWidth="1"/>
    <col min="13058" max="13058" width="11.7109375" style="77" customWidth="1"/>
    <col min="13059" max="13059" width="11.28515625" style="77" customWidth="1"/>
    <col min="13060" max="13060" width="14.85546875" style="77" customWidth="1"/>
    <col min="13061" max="13061" width="16.42578125" style="77" customWidth="1"/>
    <col min="13062" max="13062" width="14.85546875" style="77" customWidth="1"/>
    <col min="13063" max="13063" width="13.42578125" style="77" bestFit="1" customWidth="1"/>
    <col min="13064" max="13064" width="14.85546875" style="77" customWidth="1"/>
    <col min="13065" max="13065" width="16.5703125" style="77" customWidth="1"/>
    <col min="13066" max="13066" width="10.5703125" style="77" customWidth="1"/>
    <col min="13067" max="13067" width="12.42578125" style="77" bestFit="1" customWidth="1"/>
    <col min="13068" max="13068" width="15" style="77" bestFit="1" customWidth="1"/>
    <col min="13069" max="13070" width="18.28515625" style="77" bestFit="1" customWidth="1"/>
    <col min="13071" max="13071" width="17.42578125" style="77" bestFit="1" customWidth="1"/>
    <col min="13072" max="13072" width="12.85546875" style="77" bestFit="1" customWidth="1"/>
    <col min="13073" max="13073" width="12.28515625" style="77" bestFit="1" customWidth="1"/>
    <col min="13074" max="13301" width="9.140625" style="77"/>
    <col min="13302" max="13303" width="10" style="77" customWidth="1"/>
    <col min="13304" max="13304" width="7" style="77" customWidth="1"/>
    <col min="13305" max="13305" width="24" style="77" customWidth="1"/>
    <col min="13306" max="13306" width="12.85546875" style="77" customWidth="1"/>
    <col min="13307" max="13308" width="13.140625" style="77" customWidth="1"/>
    <col min="13309" max="13309" width="9.140625" style="77"/>
    <col min="13310" max="13310" width="12.85546875" style="77" customWidth="1"/>
    <col min="13311" max="13311" width="9.140625" style="77"/>
    <col min="13312" max="13312" width="12.140625" style="77" customWidth="1"/>
    <col min="13313" max="13313" width="13" style="77" customWidth="1"/>
    <col min="13314" max="13314" width="11.7109375" style="77" customWidth="1"/>
    <col min="13315" max="13315" width="11.28515625" style="77" customWidth="1"/>
    <col min="13316" max="13316" width="14.85546875" style="77" customWidth="1"/>
    <col min="13317" max="13317" width="16.42578125" style="77" customWidth="1"/>
    <col min="13318" max="13318" width="14.85546875" style="77" customWidth="1"/>
    <col min="13319" max="13319" width="13.42578125" style="77" bestFit="1" customWidth="1"/>
    <col min="13320" max="13320" width="14.85546875" style="77" customWidth="1"/>
    <col min="13321" max="13321" width="16.5703125" style="77" customWidth="1"/>
    <col min="13322" max="13322" width="10.5703125" style="77" customWidth="1"/>
    <col min="13323" max="13323" width="12.42578125" style="77" bestFit="1" customWidth="1"/>
    <col min="13324" max="13324" width="15" style="77" bestFit="1" customWidth="1"/>
    <col min="13325" max="13326" width="18.28515625" style="77" bestFit="1" customWidth="1"/>
    <col min="13327" max="13327" width="17.42578125" style="77" bestFit="1" customWidth="1"/>
    <col min="13328" max="13328" width="12.85546875" style="77" bestFit="1" customWidth="1"/>
    <col min="13329" max="13329" width="12.28515625" style="77" bestFit="1" customWidth="1"/>
    <col min="13330" max="13557" width="9.140625" style="77"/>
    <col min="13558" max="13559" width="10" style="77" customWidth="1"/>
    <col min="13560" max="13560" width="7" style="77" customWidth="1"/>
    <col min="13561" max="13561" width="24" style="77" customWidth="1"/>
    <col min="13562" max="13562" width="12.85546875" style="77" customWidth="1"/>
    <col min="13563" max="13564" width="13.140625" style="77" customWidth="1"/>
    <col min="13565" max="13565" width="9.140625" style="77"/>
    <col min="13566" max="13566" width="12.85546875" style="77" customWidth="1"/>
    <col min="13567" max="13567" width="9.140625" style="77"/>
    <col min="13568" max="13568" width="12.140625" style="77" customWidth="1"/>
    <col min="13569" max="13569" width="13" style="77" customWidth="1"/>
    <col min="13570" max="13570" width="11.7109375" style="77" customWidth="1"/>
    <col min="13571" max="13571" width="11.28515625" style="77" customWidth="1"/>
    <col min="13572" max="13572" width="14.85546875" style="77" customWidth="1"/>
    <col min="13573" max="13573" width="16.42578125" style="77" customWidth="1"/>
    <col min="13574" max="13574" width="14.85546875" style="77" customWidth="1"/>
    <col min="13575" max="13575" width="13.42578125" style="77" bestFit="1" customWidth="1"/>
    <col min="13576" max="13576" width="14.85546875" style="77" customWidth="1"/>
    <col min="13577" max="13577" width="16.5703125" style="77" customWidth="1"/>
    <col min="13578" max="13578" width="10.5703125" style="77" customWidth="1"/>
    <col min="13579" max="13579" width="12.42578125" style="77" bestFit="1" customWidth="1"/>
    <col min="13580" max="13580" width="15" style="77" bestFit="1" customWidth="1"/>
    <col min="13581" max="13582" width="18.28515625" style="77" bestFit="1" customWidth="1"/>
    <col min="13583" max="13583" width="17.42578125" style="77" bestFit="1" customWidth="1"/>
    <col min="13584" max="13584" width="12.85546875" style="77" bestFit="1" customWidth="1"/>
    <col min="13585" max="13585" width="12.28515625" style="77" bestFit="1" customWidth="1"/>
    <col min="13586" max="13813" width="9.140625" style="77"/>
    <col min="13814" max="13815" width="10" style="77" customWidth="1"/>
    <col min="13816" max="13816" width="7" style="77" customWidth="1"/>
    <col min="13817" max="13817" width="24" style="77" customWidth="1"/>
    <col min="13818" max="13818" width="12.85546875" style="77" customWidth="1"/>
    <col min="13819" max="13820" width="13.140625" style="77" customWidth="1"/>
    <col min="13821" max="13821" width="9.140625" style="77"/>
    <col min="13822" max="13822" width="12.85546875" style="77" customWidth="1"/>
    <col min="13823" max="13823" width="9.140625" style="77"/>
    <col min="13824" max="13824" width="12.140625" style="77" customWidth="1"/>
    <col min="13825" max="13825" width="13" style="77" customWidth="1"/>
    <col min="13826" max="13826" width="11.7109375" style="77" customWidth="1"/>
    <col min="13827" max="13827" width="11.28515625" style="77" customWidth="1"/>
    <col min="13828" max="13828" width="14.85546875" style="77" customWidth="1"/>
    <col min="13829" max="13829" width="16.42578125" style="77" customWidth="1"/>
    <col min="13830" max="13830" width="14.85546875" style="77" customWidth="1"/>
    <col min="13831" max="13831" width="13.42578125" style="77" bestFit="1" customWidth="1"/>
    <col min="13832" max="13832" width="14.85546875" style="77" customWidth="1"/>
    <col min="13833" max="13833" width="16.5703125" style="77" customWidth="1"/>
    <col min="13834" max="13834" width="10.5703125" style="77" customWidth="1"/>
    <col min="13835" max="13835" width="12.42578125" style="77" bestFit="1" customWidth="1"/>
    <col min="13836" max="13836" width="15" style="77" bestFit="1" customWidth="1"/>
    <col min="13837" max="13838" width="18.28515625" style="77" bestFit="1" customWidth="1"/>
    <col min="13839" max="13839" width="17.42578125" style="77" bestFit="1" customWidth="1"/>
    <col min="13840" max="13840" width="12.85546875" style="77" bestFit="1" customWidth="1"/>
    <col min="13841" max="13841" width="12.28515625" style="77" bestFit="1" customWidth="1"/>
    <col min="13842" max="14069" width="9.140625" style="77"/>
    <col min="14070" max="14071" width="10" style="77" customWidth="1"/>
    <col min="14072" max="14072" width="7" style="77" customWidth="1"/>
    <col min="14073" max="14073" width="24" style="77" customWidth="1"/>
    <col min="14074" max="14074" width="12.85546875" style="77" customWidth="1"/>
    <col min="14075" max="14076" width="13.140625" style="77" customWidth="1"/>
    <col min="14077" max="14077" width="9.140625" style="77"/>
    <col min="14078" max="14078" width="12.85546875" style="77" customWidth="1"/>
    <col min="14079" max="14079" width="9.140625" style="77"/>
    <col min="14080" max="14080" width="12.140625" style="77" customWidth="1"/>
    <col min="14081" max="14081" width="13" style="77" customWidth="1"/>
    <col min="14082" max="14082" width="11.7109375" style="77" customWidth="1"/>
    <col min="14083" max="14083" width="11.28515625" style="77" customWidth="1"/>
    <col min="14084" max="14084" width="14.85546875" style="77" customWidth="1"/>
    <col min="14085" max="14085" width="16.42578125" style="77" customWidth="1"/>
    <col min="14086" max="14086" width="14.85546875" style="77" customWidth="1"/>
    <col min="14087" max="14087" width="13.42578125" style="77" bestFit="1" customWidth="1"/>
    <col min="14088" max="14088" width="14.85546875" style="77" customWidth="1"/>
    <col min="14089" max="14089" width="16.5703125" style="77" customWidth="1"/>
    <col min="14090" max="14090" width="10.5703125" style="77" customWidth="1"/>
    <col min="14091" max="14091" width="12.42578125" style="77" bestFit="1" customWidth="1"/>
    <col min="14092" max="14092" width="15" style="77" bestFit="1" customWidth="1"/>
    <col min="14093" max="14094" width="18.28515625" style="77" bestFit="1" customWidth="1"/>
    <col min="14095" max="14095" width="17.42578125" style="77" bestFit="1" customWidth="1"/>
    <col min="14096" max="14096" width="12.85546875" style="77" bestFit="1" customWidth="1"/>
    <col min="14097" max="14097" width="12.28515625" style="77" bestFit="1" customWidth="1"/>
    <col min="14098" max="14325" width="9.140625" style="77"/>
    <col min="14326" max="14327" width="10" style="77" customWidth="1"/>
    <col min="14328" max="14328" width="7" style="77" customWidth="1"/>
    <col min="14329" max="14329" width="24" style="77" customWidth="1"/>
    <col min="14330" max="14330" width="12.85546875" style="77" customWidth="1"/>
    <col min="14331" max="14332" width="13.140625" style="77" customWidth="1"/>
    <col min="14333" max="14333" width="9.140625" style="77"/>
    <col min="14334" max="14334" width="12.85546875" style="77" customWidth="1"/>
    <col min="14335" max="14335" width="9.140625" style="77"/>
    <col min="14336" max="14336" width="12.140625" style="77" customWidth="1"/>
    <col min="14337" max="14337" width="13" style="77" customWidth="1"/>
    <col min="14338" max="14338" width="11.7109375" style="77" customWidth="1"/>
    <col min="14339" max="14339" width="11.28515625" style="77" customWidth="1"/>
    <col min="14340" max="14340" width="14.85546875" style="77" customWidth="1"/>
    <col min="14341" max="14341" width="16.42578125" style="77" customWidth="1"/>
    <col min="14342" max="14342" width="14.85546875" style="77" customWidth="1"/>
    <col min="14343" max="14343" width="13.42578125" style="77" bestFit="1" customWidth="1"/>
    <col min="14344" max="14344" width="14.85546875" style="77" customWidth="1"/>
    <col min="14345" max="14345" width="16.5703125" style="77" customWidth="1"/>
    <col min="14346" max="14346" width="10.5703125" style="77" customWidth="1"/>
    <col min="14347" max="14347" width="12.42578125" style="77" bestFit="1" customWidth="1"/>
    <col min="14348" max="14348" width="15" style="77" bestFit="1" customWidth="1"/>
    <col min="14349" max="14350" width="18.28515625" style="77" bestFit="1" customWidth="1"/>
    <col min="14351" max="14351" width="17.42578125" style="77" bestFit="1" customWidth="1"/>
    <col min="14352" max="14352" width="12.85546875" style="77" bestFit="1" customWidth="1"/>
    <col min="14353" max="14353" width="12.28515625" style="77" bestFit="1" customWidth="1"/>
    <col min="14354" max="14581" width="9.140625" style="77"/>
    <col min="14582" max="14583" width="10" style="77" customWidth="1"/>
    <col min="14584" max="14584" width="7" style="77" customWidth="1"/>
    <col min="14585" max="14585" width="24" style="77" customWidth="1"/>
    <col min="14586" max="14586" width="12.85546875" style="77" customWidth="1"/>
    <col min="14587" max="14588" width="13.140625" style="77" customWidth="1"/>
    <col min="14589" max="14589" width="9.140625" style="77"/>
    <col min="14590" max="14590" width="12.85546875" style="77" customWidth="1"/>
    <col min="14591" max="14591" width="9.140625" style="77"/>
    <col min="14592" max="14592" width="12.140625" style="77" customWidth="1"/>
    <col min="14593" max="14593" width="13" style="77" customWidth="1"/>
    <col min="14594" max="14594" width="11.7109375" style="77" customWidth="1"/>
    <col min="14595" max="14595" width="11.28515625" style="77" customWidth="1"/>
    <col min="14596" max="14596" width="14.85546875" style="77" customWidth="1"/>
    <col min="14597" max="14597" width="16.42578125" style="77" customWidth="1"/>
    <col min="14598" max="14598" width="14.85546875" style="77" customWidth="1"/>
    <col min="14599" max="14599" width="13.42578125" style="77" bestFit="1" customWidth="1"/>
    <col min="14600" max="14600" width="14.85546875" style="77" customWidth="1"/>
    <col min="14601" max="14601" width="16.5703125" style="77" customWidth="1"/>
    <col min="14602" max="14602" width="10.5703125" style="77" customWidth="1"/>
    <col min="14603" max="14603" width="12.42578125" style="77" bestFit="1" customWidth="1"/>
    <col min="14604" max="14604" width="15" style="77" bestFit="1" customWidth="1"/>
    <col min="14605" max="14606" width="18.28515625" style="77" bestFit="1" customWidth="1"/>
    <col min="14607" max="14607" width="17.42578125" style="77" bestFit="1" customWidth="1"/>
    <col min="14608" max="14608" width="12.85546875" style="77" bestFit="1" customWidth="1"/>
    <col min="14609" max="14609" width="12.28515625" style="77" bestFit="1" customWidth="1"/>
    <col min="14610" max="14837" width="9.140625" style="77"/>
    <col min="14838" max="14839" width="10" style="77" customWidth="1"/>
    <col min="14840" max="14840" width="7" style="77" customWidth="1"/>
    <col min="14841" max="14841" width="24" style="77" customWidth="1"/>
    <col min="14842" max="14842" width="12.85546875" style="77" customWidth="1"/>
    <col min="14843" max="14844" width="13.140625" style="77" customWidth="1"/>
    <col min="14845" max="14845" width="9.140625" style="77"/>
    <col min="14846" max="14846" width="12.85546875" style="77" customWidth="1"/>
    <col min="14847" max="14847" width="9.140625" style="77"/>
    <col min="14848" max="14848" width="12.140625" style="77" customWidth="1"/>
    <col min="14849" max="14849" width="13" style="77" customWidth="1"/>
    <col min="14850" max="14850" width="11.7109375" style="77" customWidth="1"/>
    <col min="14851" max="14851" width="11.28515625" style="77" customWidth="1"/>
    <col min="14852" max="14852" width="14.85546875" style="77" customWidth="1"/>
    <col min="14853" max="14853" width="16.42578125" style="77" customWidth="1"/>
    <col min="14854" max="14854" width="14.85546875" style="77" customWidth="1"/>
    <col min="14855" max="14855" width="13.42578125" style="77" bestFit="1" customWidth="1"/>
    <col min="14856" max="14856" width="14.85546875" style="77" customWidth="1"/>
    <col min="14857" max="14857" width="16.5703125" style="77" customWidth="1"/>
    <col min="14858" max="14858" width="10.5703125" style="77" customWidth="1"/>
    <col min="14859" max="14859" width="12.42578125" style="77" bestFit="1" customWidth="1"/>
    <col min="14860" max="14860" width="15" style="77" bestFit="1" customWidth="1"/>
    <col min="14861" max="14862" width="18.28515625" style="77" bestFit="1" customWidth="1"/>
    <col min="14863" max="14863" width="17.42578125" style="77" bestFit="1" customWidth="1"/>
    <col min="14864" max="14864" width="12.85546875" style="77" bestFit="1" customWidth="1"/>
    <col min="14865" max="14865" width="12.28515625" style="77" bestFit="1" customWidth="1"/>
    <col min="14866" max="15093" width="9.140625" style="77"/>
    <col min="15094" max="15095" width="10" style="77" customWidth="1"/>
    <col min="15096" max="15096" width="7" style="77" customWidth="1"/>
    <col min="15097" max="15097" width="24" style="77" customWidth="1"/>
    <col min="15098" max="15098" width="12.85546875" style="77" customWidth="1"/>
    <col min="15099" max="15100" width="13.140625" style="77" customWidth="1"/>
    <col min="15101" max="15101" width="9.140625" style="77"/>
    <col min="15102" max="15102" width="12.85546875" style="77" customWidth="1"/>
    <col min="15103" max="15103" width="9.140625" style="77"/>
    <col min="15104" max="15104" width="12.140625" style="77" customWidth="1"/>
    <col min="15105" max="15105" width="13" style="77" customWidth="1"/>
    <col min="15106" max="15106" width="11.7109375" style="77" customWidth="1"/>
    <col min="15107" max="15107" width="11.28515625" style="77" customWidth="1"/>
    <col min="15108" max="15108" width="14.85546875" style="77" customWidth="1"/>
    <col min="15109" max="15109" width="16.42578125" style="77" customWidth="1"/>
    <col min="15110" max="15110" width="14.85546875" style="77" customWidth="1"/>
    <col min="15111" max="15111" width="13.42578125" style="77" bestFit="1" customWidth="1"/>
    <col min="15112" max="15112" width="14.85546875" style="77" customWidth="1"/>
    <col min="15113" max="15113" width="16.5703125" style="77" customWidth="1"/>
    <col min="15114" max="15114" width="10.5703125" style="77" customWidth="1"/>
    <col min="15115" max="15115" width="12.42578125" style="77" bestFit="1" customWidth="1"/>
    <col min="15116" max="15116" width="15" style="77" bestFit="1" customWidth="1"/>
    <col min="15117" max="15118" width="18.28515625" style="77" bestFit="1" customWidth="1"/>
    <col min="15119" max="15119" width="17.42578125" style="77" bestFit="1" customWidth="1"/>
    <col min="15120" max="15120" width="12.85546875" style="77" bestFit="1" customWidth="1"/>
    <col min="15121" max="15121" width="12.28515625" style="77" bestFit="1" customWidth="1"/>
    <col min="15122" max="15349" width="9.140625" style="77"/>
    <col min="15350" max="15351" width="10" style="77" customWidth="1"/>
    <col min="15352" max="15352" width="7" style="77" customWidth="1"/>
    <col min="15353" max="15353" width="24" style="77" customWidth="1"/>
    <col min="15354" max="15354" width="12.85546875" style="77" customWidth="1"/>
    <col min="15355" max="15356" width="13.140625" style="77" customWidth="1"/>
    <col min="15357" max="15357" width="9.140625" style="77"/>
    <col min="15358" max="15358" width="12.85546875" style="77" customWidth="1"/>
    <col min="15359" max="15359" width="9.140625" style="77"/>
    <col min="15360" max="15360" width="12.140625" style="77" customWidth="1"/>
    <col min="15361" max="15361" width="13" style="77" customWidth="1"/>
    <col min="15362" max="15362" width="11.7109375" style="77" customWidth="1"/>
    <col min="15363" max="15363" width="11.28515625" style="77" customWidth="1"/>
    <col min="15364" max="15364" width="14.85546875" style="77" customWidth="1"/>
    <col min="15365" max="15365" width="16.42578125" style="77" customWidth="1"/>
    <col min="15366" max="15366" width="14.85546875" style="77" customWidth="1"/>
    <col min="15367" max="15367" width="13.42578125" style="77" bestFit="1" customWidth="1"/>
    <col min="15368" max="15368" width="14.85546875" style="77" customWidth="1"/>
    <col min="15369" max="15369" width="16.5703125" style="77" customWidth="1"/>
    <col min="15370" max="15370" width="10.5703125" style="77" customWidth="1"/>
    <col min="15371" max="15371" width="12.42578125" style="77" bestFit="1" customWidth="1"/>
    <col min="15372" max="15372" width="15" style="77" bestFit="1" customWidth="1"/>
    <col min="15373" max="15374" width="18.28515625" style="77" bestFit="1" customWidth="1"/>
    <col min="15375" max="15375" width="17.42578125" style="77" bestFit="1" customWidth="1"/>
    <col min="15376" max="15376" width="12.85546875" style="77" bestFit="1" customWidth="1"/>
    <col min="15377" max="15377" width="12.28515625" style="77" bestFit="1" customWidth="1"/>
    <col min="15378" max="15605" width="9.140625" style="77"/>
    <col min="15606" max="15607" width="10" style="77" customWidth="1"/>
    <col min="15608" max="15608" width="7" style="77" customWidth="1"/>
    <col min="15609" max="15609" width="24" style="77" customWidth="1"/>
    <col min="15610" max="15610" width="12.85546875" style="77" customWidth="1"/>
    <col min="15611" max="15612" width="13.140625" style="77" customWidth="1"/>
    <col min="15613" max="15613" width="9.140625" style="77"/>
    <col min="15614" max="15614" width="12.85546875" style="77" customWidth="1"/>
    <col min="15615" max="15615" width="9.140625" style="77"/>
    <col min="15616" max="15616" width="12.140625" style="77" customWidth="1"/>
    <col min="15617" max="15617" width="13" style="77" customWidth="1"/>
    <col min="15618" max="15618" width="11.7109375" style="77" customWidth="1"/>
    <col min="15619" max="15619" width="11.28515625" style="77" customWidth="1"/>
    <col min="15620" max="15620" width="14.85546875" style="77" customWidth="1"/>
    <col min="15621" max="15621" width="16.42578125" style="77" customWidth="1"/>
    <col min="15622" max="15622" width="14.85546875" style="77" customWidth="1"/>
    <col min="15623" max="15623" width="13.42578125" style="77" bestFit="1" customWidth="1"/>
    <col min="15624" max="15624" width="14.85546875" style="77" customWidth="1"/>
    <col min="15625" max="15625" width="16.5703125" style="77" customWidth="1"/>
    <col min="15626" max="15626" width="10.5703125" style="77" customWidth="1"/>
    <col min="15627" max="15627" width="12.42578125" style="77" bestFit="1" customWidth="1"/>
    <col min="15628" max="15628" width="15" style="77" bestFit="1" customWidth="1"/>
    <col min="15629" max="15630" width="18.28515625" style="77" bestFit="1" customWidth="1"/>
    <col min="15631" max="15631" width="17.42578125" style="77" bestFit="1" customWidth="1"/>
    <col min="15632" max="15632" width="12.85546875" style="77" bestFit="1" customWidth="1"/>
    <col min="15633" max="15633" width="12.28515625" style="77" bestFit="1" customWidth="1"/>
    <col min="15634" max="15861" width="9.140625" style="77"/>
    <col min="15862" max="15863" width="10" style="77" customWidth="1"/>
    <col min="15864" max="15864" width="7" style="77" customWidth="1"/>
    <col min="15865" max="15865" width="24" style="77" customWidth="1"/>
    <col min="15866" max="15866" width="12.85546875" style="77" customWidth="1"/>
    <col min="15867" max="15868" width="13.140625" style="77" customWidth="1"/>
    <col min="15869" max="15869" width="9.140625" style="77"/>
    <col min="15870" max="15870" width="12.85546875" style="77" customWidth="1"/>
    <col min="15871" max="15871" width="9.140625" style="77"/>
    <col min="15872" max="15872" width="12.140625" style="77" customWidth="1"/>
    <col min="15873" max="15873" width="13" style="77" customWidth="1"/>
    <col min="15874" max="15874" width="11.7109375" style="77" customWidth="1"/>
    <col min="15875" max="15875" width="11.28515625" style="77" customWidth="1"/>
    <col min="15876" max="15876" width="14.85546875" style="77" customWidth="1"/>
    <col min="15877" max="15877" width="16.42578125" style="77" customWidth="1"/>
    <col min="15878" max="15878" width="14.85546875" style="77" customWidth="1"/>
    <col min="15879" max="15879" width="13.42578125" style="77" bestFit="1" customWidth="1"/>
    <col min="15880" max="15880" width="14.85546875" style="77" customWidth="1"/>
    <col min="15881" max="15881" width="16.5703125" style="77" customWidth="1"/>
    <col min="15882" max="15882" width="10.5703125" style="77" customWidth="1"/>
    <col min="15883" max="15883" width="12.42578125" style="77" bestFit="1" customWidth="1"/>
    <col min="15884" max="15884" width="15" style="77" bestFit="1" customWidth="1"/>
    <col min="15885" max="15886" width="18.28515625" style="77" bestFit="1" customWidth="1"/>
    <col min="15887" max="15887" width="17.42578125" style="77" bestFit="1" customWidth="1"/>
    <col min="15888" max="15888" width="12.85546875" style="77" bestFit="1" customWidth="1"/>
    <col min="15889" max="15889" width="12.28515625" style="77" bestFit="1" customWidth="1"/>
    <col min="15890" max="16117" width="9.140625" style="77"/>
    <col min="16118" max="16119" width="10" style="77" customWidth="1"/>
    <col min="16120" max="16120" width="7" style="77" customWidth="1"/>
    <col min="16121" max="16121" width="24" style="77" customWidth="1"/>
    <col min="16122" max="16122" width="12.85546875" style="77" customWidth="1"/>
    <col min="16123" max="16124" width="13.140625" style="77" customWidth="1"/>
    <col min="16125" max="16125" width="9.140625" style="77"/>
    <col min="16126" max="16126" width="12.85546875" style="77" customWidth="1"/>
    <col min="16127" max="16127" width="9.140625" style="77"/>
    <col min="16128" max="16128" width="12.140625" style="77" customWidth="1"/>
    <col min="16129" max="16129" width="13" style="77" customWidth="1"/>
    <col min="16130" max="16130" width="11.7109375" style="77" customWidth="1"/>
    <col min="16131" max="16131" width="11.28515625" style="77" customWidth="1"/>
    <col min="16132" max="16132" width="14.85546875" style="77" customWidth="1"/>
    <col min="16133" max="16133" width="16.42578125" style="77" customWidth="1"/>
    <col min="16134" max="16134" width="14.85546875" style="77" customWidth="1"/>
    <col min="16135" max="16135" width="13.42578125" style="77" bestFit="1" customWidth="1"/>
    <col min="16136" max="16136" width="14.85546875" style="77" customWidth="1"/>
    <col min="16137" max="16137" width="16.5703125" style="77" customWidth="1"/>
    <col min="16138" max="16138" width="10.5703125" style="77" customWidth="1"/>
    <col min="16139" max="16139" width="12.42578125" style="77" bestFit="1" customWidth="1"/>
    <col min="16140" max="16140" width="15" style="77" bestFit="1" customWidth="1"/>
    <col min="16141" max="16142" width="18.28515625" style="77" bestFit="1" customWidth="1"/>
    <col min="16143" max="16143" width="17.42578125" style="77" bestFit="1" customWidth="1"/>
    <col min="16144" max="16144" width="12.85546875" style="77" bestFit="1" customWidth="1"/>
    <col min="16145" max="16145" width="12.28515625" style="77" bestFit="1" customWidth="1"/>
    <col min="16146" max="16384" width="9.140625" style="77"/>
  </cols>
  <sheetData>
    <row r="1" spans="1:18" x14ac:dyDescent="0.2">
      <c r="A1" s="75" t="s">
        <v>102</v>
      </c>
    </row>
    <row r="2" spans="1:18" x14ac:dyDescent="0.2">
      <c r="A2" s="76" t="s">
        <v>0</v>
      </c>
      <c r="J2" s="97" t="s">
        <v>103</v>
      </c>
      <c r="M2" s="371" t="s">
        <v>104</v>
      </c>
    </row>
    <row r="3" spans="1:18" x14ac:dyDescent="0.2">
      <c r="A3" s="76" t="s">
        <v>237</v>
      </c>
      <c r="B3" s="371"/>
      <c r="J3" s="97"/>
      <c r="M3" s="371"/>
    </row>
    <row r="4" spans="1:18" x14ac:dyDescent="0.2">
      <c r="A4" s="194" t="s">
        <v>113</v>
      </c>
      <c r="B4" s="371" t="s">
        <v>238</v>
      </c>
      <c r="J4" s="194" t="s">
        <v>92</v>
      </c>
      <c r="M4" s="371" t="s">
        <v>240</v>
      </c>
    </row>
    <row r="5" spans="1:18" x14ac:dyDescent="0.2">
      <c r="A5" s="76"/>
      <c r="B5" s="76"/>
    </row>
    <row r="6" spans="1:18" x14ac:dyDescent="0.2">
      <c r="A6" s="76" t="s">
        <v>1</v>
      </c>
      <c r="B6" s="188">
        <v>2012</v>
      </c>
      <c r="Q6" s="77" t="s">
        <v>311</v>
      </c>
      <c r="R6" s="77">
        <v>14503</v>
      </c>
    </row>
    <row r="7" spans="1:18" x14ac:dyDescent="0.2">
      <c r="L7" s="92"/>
      <c r="Q7" s="77" t="s">
        <v>310</v>
      </c>
      <c r="R7" s="252">
        <f>+M17-R6</f>
        <v>62937.822</v>
      </c>
    </row>
    <row r="8" spans="1:18" s="81" customFormat="1" ht="40.700000000000003" customHeight="1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O8" s="83"/>
      <c r="P8" s="83">
        <v>15</v>
      </c>
      <c r="Q8" s="83"/>
      <c r="R8" s="83"/>
    </row>
    <row r="9" spans="1:18" x14ac:dyDescent="0.2">
      <c r="A9" s="203" t="s">
        <v>239</v>
      </c>
      <c r="B9" s="205">
        <v>38717</v>
      </c>
      <c r="C9" s="206">
        <v>2005</v>
      </c>
      <c r="D9" s="206">
        <v>25</v>
      </c>
      <c r="E9" s="206">
        <f t="shared" ref="E9:E14" si="0">+C9+D9-1</f>
        <v>2029</v>
      </c>
      <c r="F9" s="207">
        <f t="shared" ref="F9:F14" si="1">IF(D9&gt;0,1/D9,0)</f>
        <v>0.04</v>
      </c>
      <c r="G9" s="222">
        <v>2157.9899999999998</v>
      </c>
      <c r="H9" s="209">
        <f t="shared" ref="H9:H15" si="2">IF(+G9&gt;0,IF(+$B$6-C9+1&gt;D9,D9,+$B$6-C9+1),0)</f>
        <v>8</v>
      </c>
      <c r="I9" s="209">
        <f t="shared" ref="I9:I15" si="3">IF(E9&gt;=$B$6,+D9-H9,0)</f>
        <v>17</v>
      </c>
      <c r="J9" s="222">
        <f t="shared" ref="J9:J15" si="4">+G9*F9</f>
        <v>86.319599999999994</v>
      </c>
      <c r="K9" s="222">
        <f t="shared" ref="K9:K15" si="5">IF(E9&gt;=$B$6,+J9,0)</f>
        <v>86.319599999999994</v>
      </c>
      <c r="L9" s="222">
        <f t="shared" ref="L9:L15" si="6">+J9*H9</f>
        <v>690.55679999999995</v>
      </c>
      <c r="M9" s="222">
        <f t="shared" ref="M9:M15" si="7">+G9-L9</f>
        <v>1467.4331999999999</v>
      </c>
      <c r="N9" s="206"/>
      <c r="O9" s="398">
        <f>+M9/$M$17</f>
        <v>1.8949091217032792E-2</v>
      </c>
      <c r="P9" s="88">
        <f>+$P$8-H9</f>
        <v>7</v>
      </c>
      <c r="Q9" s="77">
        <f>+O9*P9</f>
        <v>0.13264363851922956</v>
      </c>
      <c r="R9" s="401">
        <f t="shared" ref="R9:R15" si="8">+$R$7*O9</f>
        <v>1192.6145300793733</v>
      </c>
    </row>
    <row r="10" spans="1:18" x14ac:dyDescent="0.2">
      <c r="A10" s="203" t="s">
        <v>239</v>
      </c>
      <c r="B10" s="205">
        <v>39082</v>
      </c>
      <c r="C10" s="206">
        <v>2006</v>
      </c>
      <c r="D10" s="206">
        <v>25</v>
      </c>
      <c r="E10" s="206">
        <f t="shared" si="0"/>
        <v>2030</v>
      </c>
      <c r="F10" s="207">
        <f t="shared" si="1"/>
        <v>0.04</v>
      </c>
      <c r="G10" s="220">
        <v>13747.74</v>
      </c>
      <c r="H10" s="209">
        <f t="shared" si="2"/>
        <v>7</v>
      </c>
      <c r="I10" s="209">
        <f t="shared" si="3"/>
        <v>18</v>
      </c>
      <c r="J10" s="220">
        <f t="shared" si="4"/>
        <v>549.90959999999995</v>
      </c>
      <c r="K10" s="220">
        <f t="shared" si="5"/>
        <v>549.90959999999995</v>
      </c>
      <c r="L10" s="220">
        <f t="shared" si="6"/>
        <v>3849.3671999999997</v>
      </c>
      <c r="M10" s="220">
        <f t="shared" si="7"/>
        <v>9898.372800000001</v>
      </c>
      <c r="N10" s="206"/>
      <c r="O10" s="398">
        <f t="shared" ref="O10:O15" si="9">+M10/$M$17</f>
        <v>0.12781853994266745</v>
      </c>
      <c r="P10" s="88">
        <f t="shared" ref="P10:P15" si="10">+$P$8-H10</f>
        <v>8</v>
      </c>
      <c r="Q10" s="77">
        <f t="shared" ref="Q10:Q15" si="11">+O10*P10</f>
        <v>1.0225483195413396</v>
      </c>
      <c r="R10" s="401">
        <f t="shared" si="8"/>
        <v>8044.6205152114944</v>
      </c>
    </row>
    <row r="11" spans="1:18" x14ac:dyDescent="0.2">
      <c r="A11" s="203" t="s">
        <v>239</v>
      </c>
      <c r="B11" s="205">
        <v>39447</v>
      </c>
      <c r="C11" s="206">
        <v>2007</v>
      </c>
      <c r="D11" s="206">
        <v>25</v>
      </c>
      <c r="E11" s="206">
        <f t="shared" si="0"/>
        <v>2031</v>
      </c>
      <c r="F11" s="207">
        <f t="shared" si="1"/>
        <v>0.04</v>
      </c>
      <c r="G11" s="220">
        <f>36.98+1539.21+38.63+626.78+1121.67</f>
        <v>3363.2700000000004</v>
      </c>
      <c r="H11" s="209">
        <f t="shared" si="2"/>
        <v>6</v>
      </c>
      <c r="I11" s="209">
        <f t="shared" si="3"/>
        <v>19</v>
      </c>
      <c r="J11" s="220">
        <f t="shared" si="4"/>
        <v>134.53080000000003</v>
      </c>
      <c r="K11" s="220">
        <f t="shared" si="5"/>
        <v>134.53080000000003</v>
      </c>
      <c r="L11" s="220">
        <f t="shared" si="6"/>
        <v>807.18480000000022</v>
      </c>
      <c r="M11" s="220">
        <f t="shared" si="7"/>
        <v>2556.0852000000004</v>
      </c>
      <c r="N11" s="206"/>
      <c r="O11" s="398">
        <f t="shared" si="9"/>
        <v>3.3006948195875303E-2</v>
      </c>
      <c r="P11" s="88">
        <f t="shared" si="10"/>
        <v>9</v>
      </c>
      <c r="Q11" s="77">
        <f t="shared" si="11"/>
        <v>0.29706253376287772</v>
      </c>
      <c r="R11" s="401">
        <f t="shared" si="8"/>
        <v>2077.3854303152211</v>
      </c>
    </row>
    <row r="12" spans="1:18" x14ac:dyDescent="0.2">
      <c r="A12" s="203" t="s">
        <v>239</v>
      </c>
      <c r="B12" s="205">
        <v>39813</v>
      </c>
      <c r="C12" s="206">
        <v>2008</v>
      </c>
      <c r="D12" s="206">
        <v>25</v>
      </c>
      <c r="E12" s="206">
        <f t="shared" si="0"/>
        <v>2032</v>
      </c>
      <c r="F12" s="207">
        <f t="shared" si="1"/>
        <v>0.04</v>
      </c>
      <c r="G12" s="221">
        <f>9266.37-1382.77-626.44-186.81</f>
        <v>7070.3499999999995</v>
      </c>
      <c r="H12" s="209">
        <f t="shared" si="2"/>
        <v>5</v>
      </c>
      <c r="I12" s="209">
        <f t="shared" si="3"/>
        <v>20</v>
      </c>
      <c r="J12" s="220">
        <f t="shared" si="4"/>
        <v>282.81399999999996</v>
      </c>
      <c r="K12" s="220">
        <f t="shared" si="5"/>
        <v>282.81399999999996</v>
      </c>
      <c r="L12" s="220">
        <f t="shared" si="6"/>
        <v>1414.0699999999997</v>
      </c>
      <c r="M12" s="220">
        <f t="shared" si="7"/>
        <v>5656.28</v>
      </c>
      <c r="N12" s="206"/>
      <c r="O12" s="398">
        <f t="shared" si="9"/>
        <v>7.3040030489345778E-2</v>
      </c>
      <c r="P12" s="88">
        <f t="shared" si="10"/>
        <v>10</v>
      </c>
      <c r="Q12" s="77">
        <f t="shared" si="11"/>
        <v>0.73040030489345775</v>
      </c>
      <c r="R12" s="401">
        <f t="shared" si="8"/>
        <v>4596.9804378130175</v>
      </c>
    </row>
    <row r="13" spans="1:18" x14ac:dyDescent="0.2">
      <c r="A13" s="203" t="s">
        <v>239</v>
      </c>
      <c r="B13" s="205">
        <v>40178</v>
      </c>
      <c r="C13" s="206">
        <v>2009</v>
      </c>
      <c r="D13" s="206">
        <v>25</v>
      </c>
      <c r="E13" s="206">
        <f t="shared" si="0"/>
        <v>2033</v>
      </c>
      <c r="F13" s="207">
        <f t="shared" si="1"/>
        <v>0.04</v>
      </c>
      <c r="G13" s="221">
        <f>151.18+36092.34+436.9+3028.33-479.48+769.95+83.47+1970.72+4067.81+5175.09</f>
        <v>51296.31</v>
      </c>
      <c r="H13" s="209">
        <f t="shared" si="2"/>
        <v>4</v>
      </c>
      <c r="I13" s="209">
        <f t="shared" si="3"/>
        <v>21</v>
      </c>
      <c r="J13" s="220">
        <f t="shared" si="4"/>
        <v>2051.8523999999998</v>
      </c>
      <c r="K13" s="220">
        <f t="shared" si="5"/>
        <v>2051.8523999999998</v>
      </c>
      <c r="L13" s="220">
        <f t="shared" si="6"/>
        <v>8207.409599999999</v>
      </c>
      <c r="M13" s="220">
        <f t="shared" si="7"/>
        <v>43088.900399999999</v>
      </c>
      <c r="N13" s="206"/>
      <c r="O13" s="398">
        <f t="shared" si="9"/>
        <v>0.55641067962837476</v>
      </c>
      <c r="P13" s="88">
        <f t="shared" si="10"/>
        <v>11</v>
      </c>
      <c r="Q13" s="77">
        <f t="shared" si="11"/>
        <v>6.1205174759121226</v>
      </c>
      <c r="R13" s="401">
        <f t="shared" si="8"/>
        <v>35019.276313349677</v>
      </c>
    </row>
    <row r="14" spans="1:18" x14ac:dyDescent="0.2">
      <c r="A14" s="203" t="s">
        <v>239</v>
      </c>
      <c r="B14" s="205">
        <v>40543</v>
      </c>
      <c r="C14" s="206">
        <v>2010</v>
      </c>
      <c r="D14" s="206">
        <v>25</v>
      </c>
      <c r="E14" s="206">
        <f t="shared" si="0"/>
        <v>2034</v>
      </c>
      <c r="F14" s="207">
        <f t="shared" si="1"/>
        <v>0.04</v>
      </c>
      <c r="G14" s="221">
        <f>2867.83+1812.75+966.37</f>
        <v>5646.95</v>
      </c>
      <c r="H14" s="209">
        <f t="shared" si="2"/>
        <v>3</v>
      </c>
      <c r="I14" s="209">
        <f t="shared" si="3"/>
        <v>22</v>
      </c>
      <c r="J14" s="220">
        <f t="shared" si="4"/>
        <v>225.87799999999999</v>
      </c>
      <c r="K14" s="220">
        <f t="shared" si="5"/>
        <v>225.87799999999999</v>
      </c>
      <c r="L14" s="220">
        <f t="shared" si="6"/>
        <v>677.63400000000001</v>
      </c>
      <c r="M14" s="220">
        <f t="shared" si="7"/>
        <v>4969.3159999999998</v>
      </c>
      <c r="N14" s="206"/>
      <c r="O14" s="398">
        <f t="shared" si="9"/>
        <v>6.4169205228735815E-2</v>
      </c>
      <c r="P14" s="88">
        <f t="shared" si="10"/>
        <v>12</v>
      </c>
      <c r="Q14" s="77">
        <f t="shared" si="11"/>
        <v>0.77003046274482978</v>
      </c>
      <c r="R14" s="401">
        <f t="shared" si="8"/>
        <v>4038.6700165676439</v>
      </c>
    </row>
    <row r="15" spans="1:18" x14ac:dyDescent="0.2">
      <c r="A15" s="203" t="s">
        <v>239</v>
      </c>
      <c r="B15" s="205">
        <v>40908</v>
      </c>
      <c r="C15" s="206">
        <v>2011</v>
      </c>
      <c r="D15" s="206">
        <v>25</v>
      </c>
      <c r="E15" s="206">
        <f>+C15+D15-1</f>
        <v>2035</v>
      </c>
      <c r="F15" s="207">
        <f>IF(D15&gt;0,1/D15,0)</f>
        <v>0.04</v>
      </c>
      <c r="G15" s="221">
        <f>144.56+677.03+3260.41+2153.14</f>
        <v>6235.1399999999994</v>
      </c>
      <c r="H15" s="176">
        <f t="shared" si="2"/>
        <v>2</v>
      </c>
      <c r="I15" s="209">
        <f t="shared" si="3"/>
        <v>23</v>
      </c>
      <c r="J15" s="221">
        <f t="shared" si="4"/>
        <v>249.40559999999999</v>
      </c>
      <c r="K15" s="221">
        <f t="shared" si="5"/>
        <v>249.40559999999999</v>
      </c>
      <c r="L15" s="221">
        <f t="shared" si="6"/>
        <v>498.81119999999999</v>
      </c>
      <c r="M15" s="220">
        <f t="shared" si="7"/>
        <v>5736.3287999999993</v>
      </c>
      <c r="N15" s="206"/>
      <c r="O15" s="398">
        <f t="shared" si="9"/>
        <v>7.4073707533734587E-2</v>
      </c>
      <c r="P15" s="88">
        <f t="shared" si="10"/>
        <v>13</v>
      </c>
      <c r="Q15" s="77">
        <f t="shared" si="11"/>
        <v>0.96295819793854964</v>
      </c>
      <c r="R15" s="401">
        <f t="shared" si="8"/>
        <v>4662.0378196382462</v>
      </c>
    </row>
    <row r="16" spans="1:18" x14ac:dyDescent="0.2">
      <c r="A16" s="203" t="s">
        <v>239</v>
      </c>
      <c r="B16" s="205">
        <v>41274</v>
      </c>
      <c r="C16" s="206">
        <v>2012</v>
      </c>
      <c r="D16" s="206">
        <v>25</v>
      </c>
      <c r="E16" s="206">
        <f>+C16+D16-1</f>
        <v>2036</v>
      </c>
      <c r="F16" s="207">
        <f>IF(D16&gt;0,1/D16,0)</f>
        <v>0.04</v>
      </c>
      <c r="G16" s="221">
        <v>4237.6099999999997</v>
      </c>
      <c r="H16" s="176">
        <f t="shared" ref="H16" si="12">IF(+G16&gt;0,IF(+$B$6-C16+1&gt;D16,D16,+$B$6-C16+1),0)</f>
        <v>1</v>
      </c>
      <c r="I16" s="209">
        <f t="shared" ref="I16" si="13">IF(E16&gt;=$B$6,+D16-H16,0)</f>
        <v>24</v>
      </c>
      <c r="J16" s="221">
        <f t="shared" ref="J16" si="14">+G16*F16</f>
        <v>169.5044</v>
      </c>
      <c r="K16" s="221">
        <f t="shared" ref="K16" si="15">IF(E16&gt;=$B$6,+J16,0)</f>
        <v>169.5044</v>
      </c>
      <c r="L16" s="221">
        <f t="shared" ref="L16" si="16">+J16*H16</f>
        <v>169.5044</v>
      </c>
      <c r="M16" s="220">
        <f t="shared" ref="M16" si="17">+G16-L16</f>
        <v>4068.1055999999999</v>
      </c>
      <c r="N16" s="206"/>
    </row>
    <row r="17" spans="1:18" s="81" customFormat="1" x14ac:dyDescent="0.2">
      <c r="A17" s="148" t="s">
        <v>100</v>
      </c>
      <c r="B17" s="212"/>
      <c r="C17" s="274"/>
      <c r="D17" s="212"/>
      <c r="E17" s="206"/>
      <c r="F17" s="207"/>
      <c r="G17" s="223">
        <f>SUM(G9:G16)</f>
        <v>93755.36</v>
      </c>
      <c r="H17" s="241"/>
      <c r="I17" s="261"/>
      <c r="J17" s="261"/>
      <c r="K17" s="230">
        <f>SUM(K9:K16)</f>
        <v>3750.2143999999998</v>
      </c>
      <c r="L17" s="223">
        <f>SUM(L9:L16)</f>
        <v>16314.537999999999</v>
      </c>
      <c r="M17" s="242">
        <f>SUM(M9:M16)</f>
        <v>77440.822</v>
      </c>
      <c r="N17" s="206"/>
      <c r="Q17" s="81">
        <f>SUM(Q9:Q16)</f>
        <v>10.036160933312406</v>
      </c>
      <c r="R17" s="418">
        <f>SUM(R9:R16)</f>
        <v>59631.585062974678</v>
      </c>
    </row>
    <row r="18" spans="1:18" x14ac:dyDescent="0.2">
      <c r="A18" s="81"/>
      <c r="B18" s="127"/>
      <c r="F18" s="84"/>
      <c r="G18" s="252"/>
      <c r="H18" s="251"/>
      <c r="I18" s="252"/>
      <c r="J18" s="252"/>
      <c r="K18" s="252"/>
      <c r="L18" s="252"/>
      <c r="M18" s="252"/>
    </row>
    <row r="19" spans="1:18" x14ac:dyDescent="0.2">
      <c r="F19" s="100"/>
      <c r="G19" s="250"/>
      <c r="H19" s="258"/>
      <c r="I19" s="250"/>
      <c r="J19" s="250"/>
      <c r="K19" s="250"/>
      <c r="L19" s="250">
        <v>12564.32</v>
      </c>
      <c r="M19" s="252"/>
    </row>
    <row r="20" spans="1:18" x14ac:dyDescent="0.2">
      <c r="F20" s="247"/>
      <c r="G20" s="250"/>
      <c r="H20" s="258"/>
      <c r="I20" s="250"/>
      <c r="J20" s="250"/>
      <c r="K20" s="250"/>
      <c r="L20" s="250"/>
      <c r="M20" s="252"/>
    </row>
    <row r="21" spans="1:18" x14ac:dyDescent="0.2">
      <c r="F21" s="247"/>
      <c r="G21" s="250"/>
      <c r="H21" s="258"/>
      <c r="I21" s="250"/>
      <c r="J21" s="250"/>
      <c r="K21" s="250"/>
      <c r="L21" s="225">
        <f>+L17-L19</f>
        <v>3750.2179999999989</v>
      </c>
      <c r="M21" s="252"/>
    </row>
    <row r="22" spans="1:18" x14ac:dyDescent="0.2">
      <c r="G22" s="252"/>
      <c r="H22" s="251"/>
      <c r="I22" s="252"/>
      <c r="J22" s="252"/>
      <c r="K22" s="252"/>
      <c r="L22" s="252"/>
    </row>
    <row r="25" spans="1:18" x14ac:dyDescent="0.2">
      <c r="F25" s="378"/>
      <c r="G25" s="112"/>
      <c r="H25" s="111"/>
      <c r="I25" s="112"/>
      <c r="J25" s="112"/>
      <c r="K25" s="112"/>
    </row>
  </sheetData>
  <printOptions horizontalCentered="1"/>
  <pageMargins left="0.39370078740157483" right="0.39370078740157483" top="0.39370078740157483" bottom="0.78740157480314965" header="0" footer="0.59055118110236227"/>
  <pageSetup scale="69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>
      <selection activeCell="D16" sqref="D16:G18"/>
    </sheetView>
  </sheetViews>
  <sheetFormatPr defaultColWidth="9.140625" defaultRowHeight="12.75" x14ac:dyDescent="0.2"/>
  <cols>
    <col min="1" max="1" width="16" style="77" customWidth="1"/>
    <col min="2" max="2" width="10.85546875" style="79" customWidth="1"/>
    <col min="3" max="3" width="10.140625" style="79" customWidth="1"/>
    <col min="4" max="4" width="6.85546875" style="79" customWidth="1"/>
    <col min="5" max="5" width="9.85546875" style="79" customWidth="1"/>
    <col min="6" max="6" width="8.42578125" style="79" customWidth="1"/>
    <col min="7" max="7" width="11" style="77" bestFit="1" customWidth="1"/>
    <col min="8" max="8" width="10.5703125" style="79" customWidth="1"/>
    <col min="9" max="9" width="10.28515625" style="77" bestFit="1" customWidth="1"/>
    <col min="10" max="10" width="11" style="77" customWidth="1"/>
    <col min="11" max="11" width="9.85546875" style="77" customWidth="1"/>
    <col min="12" max="12" width="11.7109375" style="77" customWidth="1"/>
    <col min="13" max="13" width="12.28515625" style="77" customWidth="1"/>
    <col min="14" max="14" width="10.5703125" style="79" customWidth="1"/>
    <col min="15" max="15" width="10.42578125" style="77" bestFit="1" customWidth="1"/>
    <col min="16" max="16" width="2.5703125" style="77" bestFit="1" customWidth="1"/>
    <col min="17" max="17" width="10.42578125" style="77" bestFit="1" customWidth="1"/>
    <col min="18" max="237" width="9.140625" style="77"/>
    <col min="238" max="239" width="10" style="77" customWidth="1"/>
    <col min="240" max="240" width="7" style="77" customWidth="1"/>
    <col min="241" max="241" width="24" style="77" customWidth="1"/>
    <col min="242" max="242" width="12.85546875" style="77" customWidth="1"/>
    <col min="243" max="244" width="13.140625" style="77" customWidth="1"/>
    <col min="245" max="245" width="9.140625" style="77"/>
    <col min="246" max="246" width="12.85546875" style="77" customWidth="1"/>
    <col min="247" max="247" width="9.140625" style="77"/>
    <col min="248" max="248" width="12.140625" style="77" customWidth="1"/>
    <col min="249" max="249" width="13" style="77" customWidth="1"/>
    <col min="250" max="250" width="11.7109375" style="77" customWidth="1"/>
    <col min="251" max="251" width="11.28515625" style="77" customWidth="1"/>
    <col min="252" max="252" width="14.85546875" style="77" customWidth="1"/>
    <col min="253" max="253" width="16.42578125" style="77" customWidth="1"/>
    <col min="254" max="254" width="14.85546875" style="77" customWidth="1"/>
    <col min="255" max="255" width="13.42578125" style="77" bestFit="1" customWidth="1"/>
    <col min="256" max="256" width="14.85546875" style="77" customWidth="1"/>
    <col min="257" max="257" width="16.5703125" style="77" customWidth="1"/>
    <col min="258" max="258" width="10.5703125" style="77" customWidth="1"/>
    <col min="259" max="259" width="12.42578125" style="77" bestFit="1" customWidth="1"/>
    <col min="260" max="260" width="15" style="77" bestFit="1" customWidth="1"/>
    <col min="261" max="262" width="18.28515625" style="77" bestFit="1" customWidth="1"/>
    <col min="263" max="263" width="17.42578125" style="77" bestFit="1" customWidth="1"/>
    <col min="264" max="264" width="12.85546875" style="77" bestFit="1" customWidth="1"/>
    <col min="265" max="265" width="12.28515625" style="77" bestFit="1" customWidth="1"/>
    <col min="266" max="493" width="9.140625" style="77"/>
    <col min="494" max="495" width="10" style="77" customWidth="1"/>
    <col min="496" max="496" width="7" style="77" customWidth="1"/>
    <col min="497" max="497" width="24" style="77" customWidth="1"/>
    <col min="498" max="498" width="12.85546875" style="77" customWidth="1"/>
    <col min="499" max="500" width="13.140625" style="77" customWidth="1"/>
    <col min="501" max="501" width="9.140625" style="77"/>
    <col min="502" max="502" width="12.85546875" style="77" customWidth="1"/>
    <col min="503" max="503" width="9.140625" style="77"/>
    <col min="504" max="504" width="12.140625" style="77" customWidth="1"/>
    <col min="505" max="505" width="13" style="77" customWidth="1"/>
    <col min="506" max="506" width="11.7109375" style="77" customWidth="1"/>
    <col min="507" max="507" width="11.28515625" style="77" customWidth="1"/>
    <col min="508" max="508" width="14.85546875" style="77" customWidth="1"/>
    <col min="509" max="509" width="16.42578125" style="77" customWidth="1"/>
    <col min="510" max="510" width="14.85546875" style="77" customWidth="1"/>
    <col min="511" max="511" width="13.42578125" style="77" bestFit="1" customWidth="1"/>
    <col min="512" max="512" width="14.85546875" style="77" customWidth="1"/>
    <col min="513" max="513" width="16.5703125" style="77" customWidth="1"/>
    <col min="514" max="514" width="10.5703125" style="77" customWidth="1"/>
    <col min="515" max="515" width="12.42578125" style="77" bestFit="1" customWidth="1"/>
    <col min="516" max="516" width="15" style="77" bestFit="1" customWidth="1"/>
    <col min="517" max="518" width="18.28515625" style="77" bestFit="1" customWidth="1"/>
    <col min="519" max="519" width="17.42578125" style="77" bestFit="1" customWidth="1"/>
    <col min="520" max="520" width="12.85546875" style="77" bestFit="1" customWidth="1"/>
    <col min="521" max="521" width="12.28515625" style="77" bestFit="1" customWidth="1"/>
    <col min="522" max="749" width="9.140625" style="77"/>
    <col min="750" max="751" width="10" style="77" customWidth="1"/>
    <col min="752" max="752" width="7" style="77" customWidth="1"/>
    <col min="753" max="753" width="24" style="77" customWidth="1"/>
    <col min="754" max="754" width="12.85546875" style="77" customWidth="1"/>
    <col min="755" max="756" width="13.140625" style="77" customWidth="1"/>
    <col min="757" max="757" width="9.140625" style="77"/>
    <col min="758" max="758" width="12.85546875" style="77" customWidth="1"/>
    <col min="759" max="759" width="9.140625" style="77"/>
    <col min="760" max="760" width="12.140625" style="77" customWidth="1"/>
    <col min="761" max="761" width="13" style="77" customWidth="1"/>
    <col min="762" max="762" width="11.7109375" style="77" customWidth="1"/>
    <col min="763" max="763" width="11.28515625" style="77" customWidth="1"/>
    <col min="764" max="764" width="14.85546875" style="77" customWidth="1"/>
    <col min="765" max="765" width="16.42578125" style="77" customWidth="1"/>
    <col min="766" max="766" width="14.85546875" style="77" customWidth="1"/>
    <col min="767" max="767" width="13.42578125" style="77" bestFit="1" customWidth="1"/>
    <col min="768" max="768" width="14.85546875" style="77" customWidth="1"/>
    <col min="769" max="769" width="16.5703125" style="77" customWidth="1"/>
    <col min="770" max="770" width="10.5703125" style="77" customWidth="1"/>
    <col min="771" max="771" width="12.42578125" style="77" bestFit="1" customWidth="1"/>
    <col min="772" max="772" width="15" style="77" bestFit="1" customWidth="1"/>
    <col min="773" max="774" width="18.28515625" style="77" bestFit="1" customWidth="1"/>
    <col min="775" max="775" width="17.42578125" style="77" bestFit="1" customWidth="1"/>
    <col min="776" max="776" width="12.85546875" style="77" bestFit="1" customWidth="1"/>
    <col min="777" max="777" width="12.28515625" style="77" bestFit="1" customWidth="1"/>
    <col min="778" max="1005" width="9.140625" style="77"/>
    <col min="1006" max="1007" width="10" style="77" customWidth="1"/>
    <col min="1008" max="1008" width="7" style="77" customWidth="1"/>
    <col min="1009" max="1009" width="24" style="77" customWidth="1"/>
    <col min="1010" max="1010" width="12.85546875" style="77" customWidth="1"/>
    <col min="1011" max="1012" width="13.140625" style="77" customWidth="1"/>
    <col min="1013" max="1013" width="9.140625" style="77"/>
    <col min="1014" max="1014" width="12.85546875" style="77" customWidth="1"/>
    <col min="1015" max="1015" width="9.140625" style="77"/>
    <col min="1016" max="1016" width="12.140625" style="77" customWidth="1"/>
    <col min="1017" max="1017" width="13" style="77" customWidth="1"/>
    <col min="1018" max="1018" width="11.7109375" style="77" customWidth="1"/>
    <col min="1019" max="1019" width="11.28515625" style="77" customWidth="1"/>
    <col min="1020" max="1020" width="14.85546875" style="77" customWidth="1"/>
    <col min="1021" max="1021" width="16.42578125" style="77" customWidth="1"/>
    <col min="1022" max="1022" width="14.85546875" style="77" customWidth="1"/>
    <col min="1023" max="1023" width="13.42578125" style="77" bestFit="1" customWidth="1"/>
    <col min="1024" max="1024" width="14.85546875" style="77" customWidth="1"/>
    <col min="1025" max="1025" width="16.5703125" style="77" customWidth="1"/>
    <col min="1026" max="1026" width="10.5703125" style="77" customWidth="1"/>
    <col min="1027" max="1027" width="12.42578125" style="77" bestFit="1" customWidth="1"/>
    <col min="1028" max="1028" width="15" style="77" bestFit="1" customWidth="1"/>
    <col min="1029" max="1030" width="18.28515625" style="77" bestFit="1" customWidth="1"/>
    <col min="1031" max="1031" width="17.42578125" style="77" bestFit="1" customWidth="1"/>
    <col min="1032" max="1032" width="12.85546875" style="77" bestFit="1" customWidth="1"/>
    <col min="1033" max="1033" width="12.28515625" style="77" bestFit="1" customWidth="1"/>
    <col min="1034" max="1261" width="9.140625" style="77"/>
    <col min="1262" max="1263" width="10" style="77" customWidth="1"/>
    <col min="1264" max="1264" width="7" style="77" customWidth="1"/>
    <col min="1265" max="1265" width="24" style="77" customWidth="1"/>
    <col min="1266" max="1266" width="12.85546875" style="77" customWidth="1"/>
    <col min="1267" max="1268" width="13.140625" style="77" customWidth="1"/>
    <col min="1269" max="1269" width="9.140625" style="77"/>
    <col min="1270" max="1270" width="12.85546875" style="77" customWidth="1"/>
    <col min="1271" max="1271" width="9.140625" style="77"/>
    <col min="1272" max="1272" width="12.140625" style="77" customWidth="1"/>
    <col min="1273" max="1273" width="13" style="77" customWidth="1"/>
    <col min="1274" max="1274" width="11.7109375" style="77" customWidth="1"/>
    <col min="1275" max="1275" width="11.28515625" style="77" customWidth="1"/>
    <col min="1276" max="1276" width="14.85546875" style="77" customWidth="1"/>
    <col min="1277" max="1277" width="16.42578125" style="77" customWidth="1"/>
    <col min="1278" max="1278" width="14.85546875" style="77" customWidth="1"/>
    <col min="1279" max="1279" width="13.42578125" style="77" bestFit="1" customWidth="1"/>
    <col min="1280" max="1280" width="14.85546875" style="77" customWidth="1"/>
    <col min="1281" max="1281" width="16.5703125" style="77" customWidth="1"/>
    <col min="1282" max="1282" width="10.5703125" style="77" customWidth="1"/>
    <col min="1283" max="1283" width="12.42578125" style="77" bestFit="1" customWidth="1"/>
    <col min="1284" max="1284" width="15" style="77" bestFit="1" customWidth="1"/>
    <col min="1285" max="1286" width="18.28515625" style="77" bestFit="1" customWidth="1"/>
    <col min="1287" max="1287" width="17.42578125" style="77" bestFit="1" customWidth="1"/>
    <col min="1288" max="1288" width="12.85546875" style="77" bestFit="1" customWidth="1"/>
    <col min="1289" max="1289" width="12.28515625" style="77" bestFit="1" customWidth="1"/>
    <col min="1290" max="1517" width="9.140625" style="77"/>
    <col min="1518" max="1519" width="10" style="77" customWidth="1"/>
    <col min="1520" max="1520" width="7" style="77" customWidth="1"/>
    <col min="1521" max="1521" width="24" style="77" customWidth="1"/>
    <col min="1522" max="1522" width="12.85546875" style="77" customWidth="1"/>
    <col min="1523" max="1524" width="13.140625" style="77" customWidth="1"/>
    <col min="1525" max="1525" width="9.140625" style="77"/>
    <col min="1526" max="1526" width="12.85546875" style="77" customWidth="1"/>
    <col min="1527" max="1527" width="9.140625" style="77"/>
    <col min="1528" max="1528" width="12.140625" style="77" customWidth="1"/>
    <col min="1529" max="1529" width="13" style="77" customWidth="1"/>
    <col min="1530" max="1530" width="11.7109375" style="77" customWidth="1"/>
    <col min="1531" max="1531" width="11.28515625" style="77" customWidth="1"/>
    <col min="1532" max="1532" width="14.85546875" style="77" customWidth="1"/>
    <col min="1533" max="1533" width="16.42578125" style="77" customWidth="1"/>
    <col min="1534" max="1534" width="14.85546875" style="77" customWidth="1"/>
    <col min="1535" max="1535" width="13.42578125" style="77" bestFit="1" customWidth="1"/>
    <col min="1536" max="1536" width="14.85546875" style="77" customWidth="1"/>
    <col min="1537" max="1537" width="16.5703125" style="77" customWidth="1"/>
    <col min="1538" max="1538" width="10.5703125" style="77" customWidth="1"/>
    <col min="1539" max="1539" width="12.42578125" style="77" bestFit="1" customWidth="1"/>
    <col min="1540" max="1540" width="15" style="77" bestFit="1" customWidth="1"/>
    <col min="1541" max="1542" width="18.28515625" style="77" bestFit="1" customWidth="1"/>
    <col min="1543" max="1543" width="17.42578125" style="77" bestFit="1" customWidth="1"/>
    <col min="1544" max="1544" width="12.85546875" style="77" bestFit="1" customWidth="1"/>
    <col min="1545" max="1545" width="12.28515625" style="77" bestFit="1" customWidth="1"/>
    <col min="1546" max="1773" width="9.140625" style="77"/>
    <col min="1774" max="1775" width="10" style="77" customWidth="1"/>
    <col min="1776" max="1776" width="7" style="77" customWidth="1"/>
    <col min="1777" max="1777" width="24" style="77" customWidth="1"/>
    <col min="1778" max="1778" width="12.85546875" style="77" customWidth="1"/>
    <col min="1779" max="1780" width="13.140625" style="77" customWidth="1"/>
    <col min="1781" max="1781" width="9.140625" style="77"/>
    <col min="1782" max="1782" width="12.85546875" style="77" customWidth="1"/>
    <col min="1783" max="1783" width="9.140625" style="77"/>
    <col min="1784" max="1784" width="12.140625" style="77" customWidth="1"/>
    <col min="1785" max="1785" width="13" style="77" customWidth="1"/>
    <col min="1786" max="1786" width="11.7109375" style="77" customWidth="1"/>
    <col min="1787" max="1787" width="11.28515625" style="77" customWidth="1"/>
    <col min="1788" max="1788" width="14.85546875" style="77" customWidth="1"/>
    <col min="1789" max="1789" width="16.42578125" style="77" customWidth="1"/>
    <col min="1790" max="1790" width="14.85546875" style="77" customWidth="1"/>
    <col min="1791" max="1791" width="13.42578125" style="77" bestFit="1" customWidth="1"/>
    <col min="1792" max="1792" width="14.85546875" style="77" customWidth="1"/>
    <col min="1793" max="1793" width="16.5703125" style="77" customWidth="1"/>
    <col min="1794" max="1794" width="10.5703125" style="77" customWidth="1"/>
    <col min="1795" max="1795" width="12.42578125" style="77" bestFit="1" customWidth="1"/>
    <col min="1796" max="1796" width="15" style="77" bestFit="1" customWidth="1"/>
    <col min="1797" max="1798" width="18.28515625" style="77" bestFit="1" customWidth="1"/>
    <col min="1799" max="1799" width="17.42578125" style="77" bestFit="1" customWidth="1"/>
    <col min="1800" max="1800" width="12.85546875" style="77" bestFit="1" customWidth="1"/>
    <col min="1801" max="1801" width="12.28515625" style="77" bestFit="1" customWidth="1"/>
    <col min="1802" max="2029" width="9.140625" style="77"/>
    <col min="2030" max="2031" width="10" style="77" customWidth="1"/>
    <col min="2032" max="2032" width="7" style="77" customWidth="1"/>
    <col min="2033" max="2033" width="24" style="77" customWidth="1"/>
    <col min="2034" max="2034" width="12.85546875" style="77" customWidth="1"/>
    <col min="2035" max="2036" width="13.140625" style="77" customWidth="1"/>
    <col min="2037" max="2037" width="9.140625" style="77"/>
    <col min="2038" max="2038" width="12.85546875" style="77" customWidth="1"/>
    <col min="2039" max="2039" width="9.140625" style="77"/>
    <col min="2040" max="2040" width="12.140625" style="77" customWidth="1"/>
    <col min="2041" max="2041" width="13" style="77" customWidth="1"/>
    <col min="2042" max="2042" width="11.7109375" style="77" customWidth="1"/>
    <col min="2043" max="2043" width="11.28515625" style="77" customWidth="1"/>
    <col min="2044" max="2044" width="14.85546875" style="77" customWidth="1"/>
    <col min="2045" max="2045" width="16.42578125" style="77" customWidth="1"/>
    <col min="2046" max="2046" width="14.85546875" style="77" customWidth="1"/>
    <col min="2047" max="2047" width="13.42578125" style="77" bestFit="1" customWidth="1"/>
    <col min="2048" max="2048" width="14.85546875" style="77" customWidth="1"/>
    <col min="2049" max="2049" width="16.5703125" style="77" customWidth="1"/>
    <col min="2050" max="2050" width="10.5703125" style="77" customWidth="1"/>
    <col min="2051" max="2051" width="12.42578125" style="77" bestFit="1" customWidth="1"/>
    <col min="2052" max="2052" width="15" style="77" bestFit="1" customWidth="1"/>
    <col min="2053" max="2054" width="18.28515625" style="77" bestFit="1" customWidth="1"/>
    <col min="2055" max="2055" width="17.42578125" style="77" bestFit="1" customWidth="1"/>
    <col min="2056" max="2056" width="12.85546875" style="77" bestFit="1" customWidth="1"/>
    <col min="2057" max="2057" width="12.28515625" style="77" bestFit="1" customWidth="1"/>
    <col min="2058" max="2285" width="9.140625" style="77"/>
    <col min="2286" max="2287" width="10" style="77" customWidth="1"/>
    <col min="2288" max="2288" width="7" style="77" customWidth="1"/>
    <col min="2289" max="2289" width="24" style="77" customWidth="1"/>
    <col min="2290" max="2290" width="12.85546875" style="77" customWidth="1"/>
    <col min="2291" max="2292" width="13.140625" style="77" customWidth="1"/>
    <col min="2293" max="2293" width="9.140625" style="77"/>
    <col min="2294" max="2294" width="12.85546875" style="77" customWidth="1"/>
    <col min="2295" max="2295" width="9.140625" style="77"/>
    <col min="2296" max="2296" width="12.140625" style="77" customWidth="1"/>
    <col min="2297" max="2297" width="13" style="77" customWidth="1"/>
    <col min="2298" max="2298" width="11.7109375" style="77" customWidth="1"/>
    <col min="2299" max="2299" width="11.28515625" style="77" customWidth="1"/>
    <col min="2300" max="2300" width="14.85546875" style="77" customWidth="1"/>
    <col min="2301" max="2301" width="16.42578125" style="77" customWidth="1"/>
    <col min="2302" max="2302" width="14.85546875" style="77" customWidth="1"/>
    <col min="2303" max="2303" width="13.42578125" style="77" bestFit="1" customWidth="1"/>
    <col min="2304" max="2304" width="14.85546875" style="77" customWidth="1"/>
    <col min="2305" max="2305" width="16.5703125" style="77" customWidth="1"/>
    <col min="2306" max="2306" width="10.5703125" style="77" customWidth="1"/>
    <col min="2307" max="2307" width="12.42578125" style="77" bestFit="1" customWidth="1"/>
    <col min="2308" max="2308" width="15" style="77" bestFit="1" customWidth="1"/>
    <col min="2309" max="2310" width="18.28515625" style="77" bestFit="1" customWidth="1"/>
    <col min="2311" max="2311" width="17.42578125" style="77" bestFit="1" customWidth="1"/>
    <col min="2312" max="2312" width="12.85546875" style="77" bestFit="1" customWidth="1"/>
    <col min="2313" max="2313" width="12.28515625" style="77" bestFit="1" customWidth="1"/>
    <col min="2314" max="2541" width="9.140625" style="77"/>
    <col min="2542" max="2543" width="10" style="77" customWidth="1"/>
    <col min="2544" max="2544" width="7" style="77" customWidth="1"/>
    <col min="2545" max="2545" width="24" style="77" customWidth="1"/>
    <col min="2546" max="2546" width="12.85546875" style="77" customWidth="1"/>
    <col min="2547" max="2548" width="13.140625" style="77" customWidth="1"/>
    <col min="2549" max="2549" width="9.140625" style="77"/>
    <col min="2550" max="2550" width="12.85546875" style="77" customWidth="1"/>
    <col min="2551" max="2551" width="9.140625" style="77"/>
    <col min="2552" max="2552" width="12.140625" style="77" customWidth="1"/>
    <col min="2553" max="2553" width="13" style="77" customWidth="1"/>
    <col min="2554" max="2554" width="11.7109375" style="77" customWidth="1"/>
    <col min="2555" max="2555" width="11.28515625" style="77" customWidth="1"/>
    <col min="2556" max="2556" width="14.85546875" style="77" customWidth="1"/>
    <col min="2557" max="2557" width="16.42578125" style="77" customWidth="1"/>
    <col min="2558" max="2558" width="14.85546875" style="77" customWidth="1"/>
    <col min="2559" max="2559" width="13.42578125" style="77" bestFit="1" customWidth="1"/>
    <col min="2560" max="2560" width="14.85546875" style="77" customWidth="1"/>
    <col min="2561" max="2561" width="16.5703125" style="77" customWidth="1"/>
    <col min="2562" max="2562" width="10.5703125" style="77" customWidth="1"/>
    <col min="2563" max="2563" width="12.42578125" style="77" bestFit="1" customWidth="1"/>
    <col min="2564" max="2564" width="15" style="77" bestFit="1" customWidth="1"/>
    <col min="2565" max="2566" width="18.28515625" style="77" bestFit="1" customWidth="1"/>
    <col min="2567" max="2567" width="17.42578125" style="77" bestFit="1" customWidth="1"/>
    <col min="2568" max="2568" width="12.85546875" style="77" bestFit="1" customWidth="1"/>
    <col min="2569" max="2569" width="12.28515625" style="77" bestFit="1" customWidth="1"/>
    <col min="2570" max="2797" width="9.140625" style="77"/>
    <col min="2798" max="2799" width="10" style="77" customWidth="1"/>
    <col min="2800" max="2800" width="7" style="77" customWidth="1"/>
    <col min="2801" max="2801" width="24" style="77" customWidth="1"/>
    <col min="2802" max="2802" width="12.85546875" style="77" customWidth="1"/>
    <col min="2803" max="2804" width="13.140625" style="77" customWidth="1"/>
    <col min="2805" max="2805" width="9.140625" style="77"/>
    <col min="2806" max="2806" width="12.85546875" style="77" customWidth="1"/>
    <col min="2807" max="2807" width="9.140625" style="77"/>
    <col min="2808" max="2808" width="12.140625" style="77" customWidth="1"/>
    <col min="2809" max="2809" width="13" style="77" customWidth="1"/>
    <col min="2810" max="2810" width="11.7109375" style="77" customWidth="1"/>
    <col min="2811" max="2811" width="11.28515625" style="77" customWidth="1"/>
    <col min="2812" max="2812" width="14.85546875" style="77" customWidth="1"/>
    <col min="2813" max="2813" width="16.42578125" style="77" customWidth="1"/>
    <col min="2814" max="2814" width="14.85546875" style="77" customWidth="1"/>
    <col min="2815" max="2815" width="13.42578125" style="77" bestFit="1" customWidth="1"/>
    <col min="2816" max="2816" width="14.85546875" style="77" customWidth="1"/>
    <col min="2817" max="2817" width="16.5703125" style="77" customWidth="1"/>
    <col min="2818" max="2818" width="10.5703125" style="77" customWidth="1"/>
    <col min="2819" max="2819" width="12.42578125" style="77" bestFit="1" customWidth="1"/>
    <col min="2820" max="2820" width="15" style="77" bestFit="1" customWidth="1"/>
    <col min="2821" max="2822" width="18.28515625" style="77" bestFit="1" customWidth="1"/>
    <col min="2823" max="2823" width="17.42578125" style="77" bestFit="1" customWidth="1"/>
    <col min="2824" max="2824" width="12.85546875" style="77" bestFit="1" customWidth="1"/>
    <col min="2825" max="2825" width="12.28515625" style="77" bestFit="1" customWidth="1"/>
    <col min="2826" max="3053" width="9.140625" style="77"/>
    <col min="3054" max="3055" width="10" style="77" customWidth="1"/>
    <col min="3056" max="3056" width="7" style="77" customWidth="1"/>
    <col min="3057" max="3057" width="24" style="77" customWidth="1"/>
    <col min="3058" max="3058" width="12.85546875" style="77" customWidth="1"/>
    <col min="3059" max="3060" width="13.140625" style="77" customWidth="1"/>
    <col min="3061" max="3061" width="9.140625" style="77"/>
    <col min="3062" max="3062" width="12.85546875" style="77" customWidth="1"/>
    <col min="3063" max="3063" width="9.140625" style="77"/>
    <col min="3064" max="3064" width="12.140625" style="77" customWidth="1"/>
    <col min="3065" max="3065" width="13" style="77" customWidth="1"/>
    <col min="3066" max="3066" width="11.7109375" style="77" customWidth="1"/>
    <col min="3067" max="3067" width="11.28515625" style="77" customWidth="1"/>
    <col min="3068" max="3068" width="14.85546875" style="77" customWidth="1"/>
    <col min="3069" max="3069" width="16.42578125" style="77" customWidth="1"/>
    <col min="3070" max="3070" width="14.85546875" style="77" customWidth="1"/>
    <col min="3071" max="3071" width="13.42578125" style="77" bestFit="1" customWidth="1"/>
    <col min="3072" max="3072" width="14.85546875" style="77" customWidth="1"/>
    <col min="3073" max="3073" width="16.5703125" style="77" customWidth="1"/>
    <col min="3074" max="3074" width="10.5703125" style="77" customWidth="1"/>
    <col min="3075" max="3075" width="12.42578125" style="77" bestFit="1" customWidth="1"/>
    <col min="3076" max="3076" width="15" style="77" bestFit="1" customWidth="1"/>
    <col min="3077" max="3078" width="18.28515625" style="77" bestFit="1" customWidth="1"/>
    <col min="3079" max="3079" width="17.42578125" style="77" bestFit="1" customWidth="1"/>
    <col min="3080" max="3080" width="12.85546875" style="77" bestFit="1" customWidth="1"/>
    <col min="3081" max="3081" width="12.28515625" style="77" bestFit="1" customWidth="1"/>
    <col min="3082" max="3309" width="9.140625" style="77"/>
    <col min="3310" max="3311" width="10" style="77" customWidth="1"/>
    <col min="3312" max="3312" width="7" style="77" customWidth="1"/>
    <col min="3313" max="3313" width="24" style="77" customWidth="1"/>
    <col min="3314" max="3314" width="12.85546875" style="77" customWidth="1"/>
    <col min="3315" max="3316" width="13.140625" style="77" customWidth="1"/>
    <col min="3317" max="3317" width="9.140625" style="77"/>
    <col min="3318" max="3318" width="12.85546875" style="77" customWidth="1"/>
    <col min="3319" max="3319" width="9.140625" style="77"/>
    <col min="3320" max="3320" width="12.140625" style="77" customWidth="1"/>
    <col min="3321" max="3321" width="13" style="77" customWidth="1"/>
    <col min="3322" max="3322" width="11.7109375" style="77" customWidth="1"/>
    <col min="3323" max="3323" width="11.28515625" style="77" customWidth="1"/>
    <col min="3324" max="3324" width="14.85546875" style="77" customWidth="1"/>
    <col min="3325" max="3325" width="16.42578125" style="77" customWidth="1"/>
    <col min="3326" max="3326" width="14.85546875" style="77" customWidth="1"/>
    <col min="3327" max="3327" width="13.42578125" style="77" bestFit="1" customWidth="1"/>
    <col min="3328" max="3328" width="14.85546875" style="77" customWidth="1"/>
    <col min="3329" max="3329" width="16.5703125" style="77" customWidth="1"/>
    <col min="3330" max="3330" width="10.5703125" style="77" customWidth="1"/>
    <col min="3331" max="3331" width="12.42578125" style="77" bestFit="1" customWidth="1"/>
    <col min="3332" max="3332" width="15" style="77" bestFit="1" customWidth="1"/>
    <col min="3333" max="3334" width="18.28515625" style="77" bestFit="1" customWidth="1"/>
    <col min="3335" max="3335" width="17.42578125" style="77" bestFit="1" customWidth="1"/>
    <col min="3336" max="3336" width="12.85546875" style="77" bestFit="1" customWidth="1"/>
    <col min="3337" max="3337" width="12.28515625" style="77" bestFit="1" customWidth="1"/>
    <col min="3338" max="3565" width="9.140625" style="77"/>
    <col min="3566" max="3567" width="10" style="77" customWidth="1"/>
    <col min="3568" max="3568" width="7" style="77" customWidth="1"/>
    <col min="3569" max="3569" width="24" style="77" customWidth="1"/>
    <col min="3570" max="3570" width="12.85546875" style="77" customWidth="1"/>
    <col min="3571" max="3572" width="13.140625" style="77" customWidth="1"/>
    <col min="3573" max="3573" width="9.140625" style="77"/>
    <col min="3574" max="3574" width="12.85546875" style="77" customWidth="1"/>
    <col min="3575" max="3575" width="9.140625" style="77"/>
    <col min="3576" max="3576" width="12.140625" style="77" customWidth="1"/>
    <col min="3577" max="3577" width="13" style="77" customWidth="1"/>
    <col min="3578" max="3578" width="11.7109375" style="77" customWidth="1"/>
    <col min="3579" max="3579" width="11.28515625" style="77" customWidth="1"/>
    <col min="3580" max="3580" width="14.85546875" style="77" customWidth="1"/>
    <col min="3581" max="3581" width="16.42578125" style="77" customWidth="1"/>
    <col min="3582" max="3582" width="14.85546875" style="77" customWidth="1"/>
    <col min="3583" max="3583" width="13.42578125" style="77" bestFit="1" customWidth="1"/>
    <col min="3584" max="3584" width="14.85546875" style="77" customWidth="1"/>
    <col min="3585" max="3585" width="16.5703125" style="77" customWidth="1"/>
    <col min="3586" max="3586" width="10.5703125" style="77" customWidth="1"/>
    <col min="3587" max="3587" width="12.42578125" style="77" bestFit="1" customWidth="1"/>
    <col min="3588" max="3588" width="15" style="77" bestFit="1" customWidth="1"/>
    <col min="3589" max="3590" width="18.28515625" style="77" bestFit="1" customWidth="1"/>
    <col min="3591" max="3591" width="17.42578125" style="77" bestFit="1" customWidth="1"/>
    <col min="3592" max="3592" width="12.85546875" style="77" bestFit="1" customWidth="1"/>
    <col min="3593" max="3593" width="12.28515625" style="77" bestFit="1" customWidth="1"/>
    <col min="3594" max="3821" width="9.140625" style="77"/>
    <col min="3822" max="3823" width="10" style="77" customWidth="1"/>
    <col min="3824" max="3824" width="7" style="77" customWidth="1"/>
    <col min="3825" max="3825" width="24" style="77" customWidth="1"/>
    <col min="3826" max="3826" width="12.85546875" style="77" customWidth="1"/>
    <col min="3827" max="3828" width="13.140625" style="77" customWidth="1"/>
    <col min="3829" max="3829" width="9.140625" style="77"/>
    <col min="3830" max="3830" width="12.85546875" style="77" customWidth="1"/>
    <col min="3831" max="3831" width="9.140625" style="77"/>
    <col min="3832" max="3832" width="12.140625" style="77" customWidth="1"/>
    <col min="3833" max="3833" width="13" style="77" customWidth="1"/>
    <col min="3834" max="3834" width="11.7109375" style="77" customWidth="1"/>
    <col min="3835" max="3835" width="11.28515625" style="77" customWidth="1"/>
    <col min="3836" max="3836" width="14.85546875" style="77" customWidth="1"/>
    <col min="3837" max="3837" width="16.42578125" style="77" customWidth="1"/>
    <col min="3838" max="3838" width="14.85546875" style="77" customWidth="1"/>
    <col min="3839" max="3839" width="13.42578125" style="77" bestFit="1" customWidth="1"/>
    <col min="3840" max="3840" width="14.85546875" style="77" customWidth="1"/>
    <col min="3841" max="3841" width="16.5703125" style="77" customWidth="1"/>
    <col min="3842" max="3842" width="10.5703125" style="77" customWidth="1"/>
    <col min="3843" max="3843" width="12.42578125" style="77" bestFit="1" customWidth="1"/>
    <col min="3844" max="3844" width="15" style="77" bestFit="1" customWidth="1"/>
    <col min="3845" max="3846" width="18.28515625" style="77" bestFit="1" customWidth="1"/>
    <col min="3847" max="3847" width="17.42578125" style="77" bestFit="1" customWidth="1"/>
    <col min="3848" max="3848" width="12.85546875" style="77" bestFit="1" customWidth="1"/>
    <col min="3849" max="3849" width="12.28515625" style="77" bestFit="1" customWidth="1"/>
    <col min="3850" max="4077" width="9.140625" style="77"/>
    <col min="4078" max="4079" width="10" style="77" customWidth="1"/>
    <col min="4080" max="4080" width="7" style="77" customWidth="1"/>
    <col min="4081" max="4081" width="24" style="77" customWidth="1"/>
    <col min="4082" max="4082" width="12.85546875" style="77" customWidth="1"/>
    <col min="4083" max="4084" width="13.140625" style="77" customWidth="1"/>
    <col min="4085" max="4085" width="9.140625" style="77"/>
    <col min="4086" max="4086" width="12.85546875" style="77" customWidth="1"/>
    <col min="4087" max="4087" width="9.140625" style="77"/>
    <col min="4088" max="4088" width="12.140625" style="77" customWidth="1"/>
    <col min="4089" max="4089" width="13" style="77" customWidth="1"/>
    <col min="4090" max="4090" width="11.7109375" style="77" customWidth="1"/>
    <col min="4091" max="4091" width="11.28515625" style="77" customWidth="1"/>
    <col min="4092" max="4092" width="14.85546875" style="77" customWidth="1"/>
    <col min="4093" max="4093" width="16.42578125" style="77" customWidth="1"/>
    <col min="4094" max="4094" width="14.85546875" style="77" customWidth="1"/>
    <col min="4095" max="4095" width="13.42578125" style="77" bestFit="1" customWidth="1"/>
    <col min="4096" max="4096" width="14.85546875" style="77" customWidth="1"/>
    <col min="4097" max="4097" width="16.5703125" style="77" customWidth="1"/>
    <col min="4098" max="4098" width="10.5703125" style="77" customWidth="1"/>
    <col min="4099" max="4099" width="12.42578125" style="77" bestFit="1" customWidth="1"/>
    <col min="4100" max="4100" width="15" style="77" bestFit="1" customWidth="1"/>
    <col min="4101" max="4102" width="18.28515625" style="77" bestFit="1" customWidth="1"/>
    <col min="4103" max="4103" width="17.42578125" style="77" bestFit="1" customWidth="1"/>
    <col min="4104" max="4104" width="12.85546875" style="77" bestFit="1" customWidth="1"/>
    <col min="4105" max="4105" width="12.28515625" style="77" bestFit="1" customWidth="1"/>
    <col min="4106" max="4333" width="9.140625" style="77"/>
    <col min="4334" max="4335" width="10" style="77" customWidth="1"/>
    <col min="4336" max="4336" width="7" style="77" customWidth="1"/>
    <col min="4337" max="4337" width="24" style="77" customWidth="1"/>
    <col min="4338" max="4338" width="12.85546875" style="77" customWidth="1"/>
    <col min="4339" max="4340" width="13.140625" style="77" customWidth="1"/>
    <col min="4341" max="4341" width="9.140625" style="77"/>
    <col min="4342" max="4342" width="12.85546875" style="77" customWidth="1"/>
    <col min="4343" max="4343" width="9.140625" style="77"/>
    <col min="4344" max="4344" width="12.140625" style="77" customWidth="1"/>
    <col min="4345" max="4345" width="13" style="77" customWidth="1"/>
    <col min="4346" max="4346" width="11.7109375" style="77" customWidth="1"/>
    <col min="4347" max="4347" width="11.28515625" style="77" customWidth="1"/>
    <col min="4348" max="4348" width="14.85546875" style="77" customWidth="1"/>
    <col min="4349" max="4349" width="16.42578125" style="77" customWidth="1"/>
    <col min="4350" max="4350" width="14.85546875" style="77" customWidth="1"/>
    <col min="4351" max="4351" width="13.42578125" style="77" bestFit="1" customWidth="1"/>
    <col min="4352" max="4352" width="14.85546875" style="77" customWidth="1"/>
    <col min="4353" max="4353" width="16.5703125" style="77" customWidth="1"/>
    <col min="4354" max="4354" width="10.5703125" style="77" customWidth="1"/>
    <col min="4355" max="4355" width="12.42578125" style="77" bestFit="1" customWidth="1"/>
    <col min="4356" max="4356" width="15" style="77" bestFit="1" customWidth="1"/>
    <col min="4357" max="4358" width="18.28515625" style="77" bestFit="1" customWidth="1"/>
    <col min="4359" max="4359" width="17.42578125" style="77" bestFit="1" customWidth="1"/>
    <col min="4360" max="4360" width="12.85546875" style="77" bestFit="1" customWidth="1"/>
    <col min="4361" max="4361" width="12.28515625" style="77" bestFit="1" customWidth="1"/>
    <col min="4362" max="4589" width="9.140625" style="77"/>
    <col min="4590" max="4591" width="10" style="77" customWidth="1"/>
    <col min="4592" max="4592" width="7" style="77" customWidth="1"/>
    <col min="4593" max="4593" width="24" style="77" customWidth="1"/>
    <col min="4594" max="4594" width="12.85546875" style="77" customWidth="1"/>
    <col min="4595" max="4596" width="13.140625" style="77" customWidth="1"/>
    <col min="4597" max="4597" width="9.140625" style="77"/>
    <col min="4598" max="4598" width="12.85546875" style="77" customWidth="1"/>
    <col min="4599" max="4599" width="9.140625" style="77"/>
    <col min="4600" max="4600" width="12.140625" style="77" customWidth="1"/>
    <col min="4601" max="4601" width="13" style="77" customWidth="1"/>
    <col min="4602" max="4602" width="11.7109375" style="77" customWidth="1"/>
    <col min="4603" max="4603" width="11.28515625" style="77" customWidth="1"/>
    <col min="4604" max="4604" width="14.85546875" style="77" customWidth="1"/>
    <col min="4605" max="4605" width="16.42578125" style="77" customWidth="1"/>
    <col min="4606" max="4606" width="14.85546875" style="77" customWidth="1"/>
    <col min="4607" max="4607" width="13.42578125" style="77" bestFit="1" customWidth="1"/>
    <col min="4608" max="4608" width="14.85546875" style="77" customWidth="1"/>
    <col min="4609" max="4609" width="16.5703125" style="77" customWidth="1"/>
    <col min="4610" max="4610" width="10.5703125" style="77" customWidth="1"/>
    <col min="4611" max="4611" width="12.42578125" style="77" bestFit="1" customWidth="1"/>
    <col min="4612" max="4612" width="15" style="77" bestFit="1" customWidth="1"/>
    <col min="4613" max="4614" width="18.28515625" style="77" bestFit="1" customWidth="1"/>
    <col min="4615" max="4615" width="17.42578125" style="77" bestFit="1" customWidth="1"/>
    <col min="4616" max="4616" width="12.85546875" style="77" bestFit="1" customWidth="1"/>
    <col min="4617" max="4617" width="12.28515625" style="77" bestFit="1" customWidth="1"/>
    <col min="4618" max="4845" width="9.140625" style="77"/>
    <col min="4846" max="4847" width="10" style="77" customWidth="1"/>
    <col min="4848" max="4848" width="7" style="77" customWidth="1"/>
    <col min="4849" max="4849" width="24" style="77" customWidth="1"/>
    <col min="4850" max="4850" width="12.85546875" style="77" customWidth="1"/>
    <col min="4851" max="4852" width="13.140625" style="77" customWidth="1"/>
    <col min="4853" max="4853" width="9.140625" style="77"/>
    <col min="4854" max="4854" width="12.85546875" style="77" customWidth="1"/>
    <col min="4855" max="4855" width="9.140625" style="77"/>
    <col min="4856" max="4856" width="12.140625" style="77" customWidth="1"/>
    <col min="4857" max="4857" width="13" style="77" customWidth="1"/>
    <col min="4858" max="4858" width="11.7109375" style="77" customWidth="1"/>
    <col min="4859" max="4859" width="11.28515625" style="77" customWidth="1"/>
    <col min="4860" max="4860" width="14.85546875" style="77" customWidth="1"/>
    <col min="4861" max="4861" width="16.42578125" style="77" customWidth="1"/>
    <col min="4862" max="4862" width="14.85546875" style="77" customWidth="1"/>
    <col min="4863" max="4863" width="13.42578125" style="77" bestFit="1" customWidth="1"/>
    <col min="4864" max="4864" width="14.85546875" style="77" customWidth="1"/>
    <col min="4865" max="4865" width="16.5703125" style="77" customWidth="1"/>
    <col min="4866" max="4866" width="10.5703125" style="77" customWidth="1"/>
    <col min="4867" max="4867" width="12.42578125" style="77" bestFit="1" customWidth="1"/>
    <col min="4868" max="4868" width="15" style="77" bestFit="1" customWidth="1"/>
    <col min="4869" max="4870" width="18.28515625" style="77" bestFit="1" customWidth="1"/>
    <col min="4871" max="4871" width="17.42578125" style="77" bestFit="1" customWidth="1"/>
    <col min="4872" max="4872" width="12.85546875" style="77" bestFit="1" customWidth="1"/>
    <col min="4873" max="4873" width="12.28515625" style="77" bestFit="1" customWidth="1"/>
    <col min="4874" max="5101" width="9.140625" style="77"/>
    <col min="5102" max="5103" width="10" style="77" customWidth="1"/>
    <col min="5104" max="5104" width="7" style="77" customWidth="1"/>
    <col min="5105" max="5105" width="24" style="77" customWidth="1"/>
    <col min="5106" max="5106" width="12.85546875" style="77" customWidth="1"/>
    <col min="5107" max="5108" width="13.140625" style="77" customWidth="1"/>
    <col min="5109" max="5109" width="9.140625" style="77"/>
    <col min="5110" max="5110" width="12.85546875" style="77" customWidth="1"/>
    <col min="5111" max="5111" width="9.140625" style="77"/>
    <col min="5112" max="5112" width="12.140625" style="77" customWidth="1"/>
    <col min="5113" max="5113" width="13" style="77" customWidth="1"/>
    <col min="5114" max="5114" width="11.7109375" style="77" customWidth="1"/>
    <col min="5115" max="5115" width="11.28515625" style="77" customWidth="1"/>
    <col min="5116" max="5116" width="14.85546875" style="77" customWidth="1"/>
    <col min="5117" max="5117" width="16.42578125" style="77" customWidth="1"/>
    <col min="5118" max="5118" width="14.85546875" style="77" customWidth="1"/>
    <col min="5119" max="5119" width="13.42578125" style="77" bestFit="1" customWidth="1"/>
    <col min="5120" max="5120" width="14.85546875" style="77" customWidth="1"/>
    <col min="5121" max="5121" width="16.5703125" style="77" customWidth="1"/>
    <col min="5122" max="5122" width="10.5703125" style="77" customWidth="1"/>
    <col min="5123" max="5123" width="12.42578125" style="77" bestFit="1" customWidth="1"/>
    <col min="5124" max="5124" width="15" style="77" bestFit="1" customWidth="1"/>
    <col min="5125" max="5126" width="18.28515625" style="77" bestFit="1" customWidth="1"/>
    <col min="5127" max="5127" width="17.42578125" style="77" bestFit="1" customWidth="1"/>
    <col min="5128" max="5128" width="12.85546875" style="77" bestFit="1" customWidth="1"/>
    <col min="5129" max="5129" width="12.28515625" style="77" bestFit="1" customWidth="1"/>
    <col min="5130" max="5357" width="9.140625" style="77"/>
    <col min="5358" max="5359" width="10" style="77" customWidth="1"/>
    <col min="5360" max="5360" width="7" style="77" customWidth="1"/>
    <col min="5361" max="5361" width="24" style="77" customWidth="1"/>
    <col min="5362" max="5362" width="12.85546875" style="77" customWidth="1"/>
    <col min="5363" max="5364" width="13.140625" style="77" customWidth="1"/>
    <col min="5365" max="5365" width="9.140625" style="77"/>
    <col min="5366" max="5366" width="12.85546875" style="77" customWidth="1"/>
    <col min="5367" max="5367" width="9.140625" style="77"/>
    <col min="5368" max="5368" width="12.140625" style="77" customWidth="1"/>
    <col min="5369" max="5369" width="13" style="77" customWidth="1"/>
    <col min="5370" max="5370" width="11.7109375" style="77" customWidth="1"/>
    <col min="5371" max="5371" width="11.28515625" style="77" customWidth="1"/>
    <col min="5372" max="5372" width="14.85546875" style="77" customWidth="1"/>
    <col min="5373" max="5373" width="16.42578125" style="77" customWidth="1"/>
    <col min="5374" max="5374" width="14.85546875" style="77" customWidth="1"/>
    <col min="5375" max="5375" width="13.42578125" style="77" bestFit="1" customWidth="1"/>
    <col min="5376" max="5376" width="14.85546875" style="77" customWidth="1"/>
    <col min="5377" max="5377" width="16.5703125" style="77" customWidth="1"/>
    <col min="5378" max="5378" width="10.5703125" style="77" customWidth="1"/>
    <col min="5379" max="5379" width="12.42578125" style="77" bestFit="1" customWidth="1"/>
    <col min="5380" max="5380" width="15" style="77" bestFit="1" customWidth="1"/>
    <col min="5381" max="5382" width="18.28515625" style="77" bestFit="1" customWidth="1"/>
    <col min="5383" max="5383" width="17.42578125" style="77" bestFit="1" customWidth="1"/>
    <col min="5384" max="5384" width="12.85546875" style="77" bestFit="1" customWidth="1"/>
    <col min="5385" max="5385" width="12.28515625" style="77" bestFit="1" customWidth="1"/>
    <col min="5386" max="5613" width="9.140625" style="77"/>
    <col min="5614" max="5615" width="10" style="77" customWidth="1"/>
    <col min="5616" max="5616" width="7" style="77" customWidth="1"/>
    <col min="5617" max="5617" width="24" style="77" customWidth="1"/>
    <col min="5618" max="5618" width="12.85546875" style="77" customWidth="1"/>
    <col min="5619" max="5620" width="13.140625" style="77" customWidth="1"/>
    <col min="5621" max="5621" width="9.140625" style="77"/>
    <col min="5622" max="5622" width="12.85546875" style="77" customWidth="1"/>
    <col min="5623" max="5623" width="9.140625" style="77"/>
    <col min="5624" max="5624" width="12.140625" style="77" customWidth="1"/>
    <col min="5625" max="5625" width="13" style="77" customWidth="1"/>
    <col min="5626" max="5626" width="11.7109375" style="77" customWidth="1"/>
    <col min="5627" max="5627" width="11.28515625" style="77" customWidth="1"/>
    <col min="5628" max="5628" width="14.85546875" style="77" customWidth="1"/>
    <col min="5629" max="5629" width="16.42578125" style="77" customWidth="1"/>
    <col min="5630" max="5630" width="14.85546875" style="77" customWidth="1"/>
    <col min="5631" max="5631" width="13.42578125" style="77" bestFit="1" customWidth="1"/>
    <col min="5632" max="5632" width="14.85546875" style="77" customWidth="1"/>
    <col min="5633" max="5633" width="16.5703125" style="77" customWidth="1"/>
    <col min="5634" max="5634" width="10.5703125" style="77" customWidth="1"/>
    <col min="5635" max="5635" width="12.42578125" style="77" bestFit="1" customWidth="1"/>
    <col min="5636" max="5636" width="15" style="77" bestFit="1" customWidth="1"/>
    <col min="5637" max="5638" width="18.28515625" style="77" bestFit="1" customWidth="1"/>
    <col min="5639" max="5639" width="17.42578125" style="77" bestFit="1" customWidth="1"/>
    <col min="5640" max="5640" width="12.85546875" style="77" bestFit="1" customWidth="1"/>
    <col min="5641" max="5641" width="12.28515625" style="77" bestFit="1" customWidth="1"/>
    <col min="5642" max="5869" width="9.140625" style="77"/>
    <col min="5870" max="5871" width="10" style="77" customWidth="1"/>
    <col min="5872" max="5872" width="7" style="77" customWidth="1"/>
    <col min="5873" max="5873" width="24" style="77" customWidth="1"/>
    <col min="5874" max="5874" width="12.85546875" style="77" customWidth="1"/>
    <col min="5875" max="5876" width="13.140625" style="77" customWidth="1"/>
    <col min="5877" max="5877" width="9.140625" style="77"/>
    <col min="5878" max="5878" width="12.85546875" style="77" customWidth="1"/>
    <col min="5879" max="5879" width="9.140625" style="77"/>
    <col min="5880" max="5880" width="12.140625" style="77" customWidth="1"/>
    <col min="5881" max="5881" width="13" style="77" customWidth="1"/>
    <col min="5882" max="5882" width="11.7109375" style="77" customWidth="1"/>
    <col min="5883" max="5883" width="11.28515625" style="77" customWidth="1"/>
    <col min="5884" max="5884" width="14.85546875" style="77" customWidth="1"/>
    <col min="5885" max="5885" width="16.42578125" style="77" customWidth="1"/>
    <col min="5886" max="5886" width="14.85546875" style="77" customWidth="1"/>
    <col min="5887" max="5887" width="13.42578125" style="77" bestFit="1" customWidth="1"/>
    <col min="5888" max="5888" width="14.85546875" style="77" customWidth="1"/>
    <col min="5889" max="5889" width="16.5703125" style="77" customWidth="1"/>
    <col min="5890" max="5890" width="10.5703125" style="77" customWidth="1"/>
    <col min="5891" max="5891" width="12.42578125" style="77" bestFit="1" customWidth="1"/>
    <col min="5892" max="5892" width="15" style="77" bestFit="1" customWidth="1"/>
    <col min="5893" max="5894" width="18.28515625" style="77" bestFit="1" customWidth="1"/>
    <col min="5895" max="5895" width="17.42578125" style="77" bestFit="1" customWidth="1"/>
    <col min="5896" max="5896" width="12.85546875" style="77" bestFit="1" customWidth="1"/>
    <col min="5897" max="5897" width="12.28515625" style="77" bestFit="1" customWidth="1"/>
    <col min="5898" max="6125" width="9.140625" style="77"/>
    <col min="6126" max="6127" width="10" style="77" customWidth="1"/>
    <col min="6128" max="6128" width="7" style="77" customWidth="1"/>
    <col min="6129" max="6129" width="24" style="77" customWidth="1"/>
    <col min="6130" max="6130" width="12.85546875" style="77" customWidth="1"/>
    <col min="6131" max="6132" width="13.140625" style="77" customWidth="1"/>
    <col min="6133" max="6133" width="9.140625" style="77"/>
    <col min="6134" max="6134" width="12.85546875" style="77" customWidth="1"/>
    <col min="6135" max="6135" width="9.140625" style="77"/>
    <col min="6136" max="6136" width="12.140625" style="77" customWidth="1"/>
    <col min="6137" max="6137" width="13" style="77" customWidth="1"/>
    <col min="6138" max="6138" width="11.7109375" style="77" customWidth="1"/>
    <col min="6139" max="6139" width="11.28515625" style="77" customWidth="1"/>
    <col min="6140" max="6140" width="14.85546875" style="77" customWidth="1"/>
    <col min="6141" max="6141" width="16.42578125" style="77" customWidth="1"/>
    <col min="6142" max="6142" width="14.85546875" style="77" customWidth="1"/>
    <col min="6143" max="6143" width="13.42578125" style="77" bestFit="1" customWidth="1"/>
    <col min="6144" max="6144" width="14.85546875" style="77" customWidth="1"/>
    <col min="6145" max="6145" width="16.5703125" style="77" customWidth="1"/>
    <col min="6146" max="6146" width="10.5703125" style="77" customWidth="1"/>
    <col min="6147" max="6147" width="12.42578125" style="77" bestFit="1" customWidth="1"/>
    <col min="6148" max="6148" width="15" style="77" bestFit="1" customWidth="1"/>
    <col min="6149" max="6150" width="18.28515625" style="77" bestFit="1" customWidth="1"/>
    <col min="6151" max="6151" width="17.42578125" style="77" bestFit="1" customWidth="1"/>
    <col min="6152" max="6152" width="12.85546875" style="77" bestFit="1" customWidth="1"/>
    <col min="6153" max="6153" width="12.28515625" style="77" bestFit="1" customWidth="1"/>
    <col min="6154" max="6381" width="9.140625" style="77"/>
    <col min="6382" max="6383" width="10" style="77" customWidth="1"/>
    <col min="6384" max="6384" width="7" style="77" customWidth="1"/>
    <col min="6385" max="6385" width="24" style="77" customWidth="1"/>
    <col min="6386" max="6386" width="12.85546875" style="77" customWidth="1"/>
    <col min="6387" max="6388" width="13.140625" style="77" customWidth="1"/>
    <col min="6389" max="6389" width="9.140625" style="77"/>
    <col min="6390" max="6390" width="12.85546875" style="77" customWidth="1"/>
    <col min="6391" max="6391" width="9.140625" style="77"/>
    <col min="6392" max="6392" width="12.140625" style="77" customWidth="1"/>
    <col min="6393" max="6393" width="13" style="77" customWidth="1"/>
    <col min="6394" max="6394" width="11.7109375" style="77" customWidth="1"/>
    <col min="6395" max="6395" width="11.28515625" style="77" customWidth="1"/>
    <col min="6396" max="6396" width="14.85546875" style="77" customWidth="1"/>
    <col min="6397" max="6397" width="16.42578125" style="77" customWidth="1"/>
    <col min="6398" max="6398" width="14.85546875" style="77" customWidth="1"/>
    <col min="6399" max="6399" width="13.42578125" style="77" bestFit="1" customWidth="1"/>
    <col min="6400" max="6400" width="14.85546875" style="77" customWidth="1"/>
    <col min="6401" max="6401" width="16.5703125" style="77" customWidth="1"/>
    <col min="6402" max="6402" width="10.5703125" style="77" customWidth="1"/>
    <col min="6403" max="6403" width="12.42578125" style="77" bestFit="1" customWidth="1"/>
    <col min="6404" max="6404" width="15" style="77" bestFit="1" customWidth="1"/>
    <col min="6405" max="6406" width="18.28515625" style="77" bestFit="1" customWidth="1"/>
    <col min="6407" max="6407" width="17.42578125" style="77" bestFit="1" customWidth="1"/>
    <col min="6408" max="6408" width="12.85546875" style="77" bestFit="1" customWidth="1"/>
    <col min="6409" max="6409" width="12.28515625" style="77" bestFit="1" customWidth="1"/>
    <col min="6410" max="6637" width="9.140625" style="77"/>
    <col min="6638" max="6639" width="10" style="77" customWidth="1"/>
    <col min="6640" max="6640" width="7" style="77" customWidth="1"/>
    <col min="6641" max="6641" width="24" style="77" customWidth="1"/>
    <col min="6642" max="6642" width="12.85546875" style="77" customWidth="1"/>
    <col min="6643" max="6644" width="13.140625" style="77" customWidth="1"/>
    <col min="6645" max="6645" width="9.140625" style="77"/>
    <col min="6646" max="6646" width="12.85546875" style="77" customWidth="1"/>
    <col min="6647" max="6647" width="9.140625" style="77"/>
    <col min="6648" max="6648" width="12.140625" style="77" customWidth="1"/>
    <col min="6649" max="6649" width="13" style="77" customWidth="1"/>
    <col min="6650" max="6650" width="11.7109375" style="77" customWidth="1"/>
    <col min="6651" max="6651" width="11.28515625" style="77" customWidth="1"/>
    <col min="6652" max="6652" width="14.85546875" style="77" customWidth="1"/>
    <col min="6653" max="6653" width="16.42578125" style="77" customWidth="1"/>
    <col min="6654" max="6654" width="14.85546875" style="77" customWidth="1"/>
    <col min="6655" max="6655" width="13.42578125" style="77" bestFit="1" customWidth="1"/>
    <col min="6656" max="6656" width="14.85546875" style="77" customWidth="1"/>
    <col min="6657" max="6657" width="16.5703125" style="77" customWidth="1"/>
    <col min="6658" max="6658" width="10.5703125" style="77" customWidth="1"/>
    <col min="6659" max="6659" width="12.42578125" style="77" bestFit="1" customWidth="1"/>
    <col min="6660" max="6660" width="15" style="77" bestFit="1" customWidth="1"/>
    <col min="6661" max="6662" width="18.28515625" style="77" bestFit="1" customWidth="1"/>
    <col min="6663" max="6663" width="17.42578125" style="77" bestFit="1" customWidth="1"/>
    <col min="6664" max="6664" width="12.85546875" style="77" bestFit="1" customWidth="1"/>
    <col min="6665" max="6665" width="12.28515625" style="77" bestFit="1" customWidth="1"/>
    <col min="6666" max="6893" width="9.140625" style="77"/>
    <col min="6894" max="6895" width="10" style="77" customWidth="1"/>
    <col min="6896" max="6896" width="7" style="77" customWidth="1"/>
    <col min="6897" max="6897" width="24" style="77" customWidth="1"/>
    <col min="6898" max="6898" width="12.85546875" style="77" customWidth="1"/>
    <col min="6899" max="6900" width="13.140625" style="77" customWidth="1"/>
    <col min="6901" max="6901" width="9.140625" style="77"/>
    <col min="6902" max="6902" width="12.85546875" style="77" customWidth="1"/>
    <col min="6903" max="6903" width="9.140625" style="77"/>
    <col min="6904" max="6904" width="12.140625" style="77" customWidth="1"/>
    <col min="6905" max="6905" width="13" style="77" customWidth="1"/>
    <col min="6906" max="6906" width="11.7109375" style="77" customWidth="1"/>
    <col min="6907" max="6907" width="11.28515625" style="77" customWidth="1"/>
    <col min="6908" max="6908" width="14.85546875" style="77" customWidth="1"/>
    <col min="6909" max="6909" width="16.42578125" style="77" customWidth="1"/>
    <col min="6910" max="6910" width="14.85546875" style="77" customWidth="1"/>
    <col min="6911" max="6911" width="13.42578125" style="77" bestFit="1" customWidth="1"/>
    <col min="6912" max="6912" width="14.85546875" style="77" customWidth="1"/>
    <col min="6913" max="6913" width="16.5703125" style="77" customWidth="1"/>
    <col min="6914" max="6914" width="10.5703125" style="77" customWidth="1"/>
    <col min="6915" max="6915" width="12.42578125" style="77" bestFit="1" customWidth="1"/>
    <col min="6916" max="6916" width="15" style="77" bestFit="1" customWidth="1"/>
    <col min="6917" max="6918" width="18.28515625" style="77" bestFit="1" customWidth="1"/>
    <col min="6919" max="6919" width="17.42578125" style="77" bestFit="1" customWidth="1"/>
    <col min="6920" max="6920" width="12.85546875" style="77" bestFit="1" customWidth="1"/>
    <col min="6921" max="6921" width="12.28515625" style="77" bestFit="1" customWidth="1"/>
    <col min="6922" max="7149" width="9.140625" style="77"/>
    <col min="7150" max="7151" width="10" style="77" customWidth="1"/>
    <col min="7152" max="7152" width="7" style="77" customWidth="1"/>
    <col min="7153" max="7153" width="24" style="77" customWidth="1"/>
    <col min="7154" max="7154" width="12.85546875" style="77" customWidth="1"/>
    <col min="7155" max="7156" width="13.140625" style="77" customWidth="1"/>
    <col min="7157" max="7157" width="9.140625" style="77"/>
    <col min="7158" max="7158" width="12.85546875" style="77" customWidth="1"/>
    <col min="7159" max="7159" width="9.140625" style="77"/>
    <col min="7160" max="7160" width="12.140625" style="77" customWidth="1"/>
    <col min="7161" max="7161" width="13" style="77" customWidth="1"/>
    <col min="7162" max="7162" width="11.7109375" style="77" customWidth="1"/>
    <col min="7163" max="7163" width="11.28515625" style="77" customWidth="1"/>
    <col min="7164" max="7164" width="14.85546875" style="77" customWidth="1"/>
    <col min="7165" max="7165" width="16.42578125" style="77" customWidth="1"/>
    <col min="7166" max="7166" width="14.85546875" style="77" customWidth="1"/>
    <col min="7167" max="7167" width="13.42578125" style="77" bestFit="1" customWidth="1"/>
    <col min="7168" max="7168" width="14.85546875" style="77" customWidth="1"/>
    <col min="7169" max="7169" width="16.5703125" style="77" customWidth="1"/>
    <col min="7170" max="7170" width="10.5703125" style="77" customWidth="1"/>
    <col min="7171" max="7171" width="12.42578125" style="77" bestFit="1" customWidth="1"/>
    <col min="7172" max="7172" width="15" style="77" bestFit="1" customWidth="1"/>
    <col min="7173" max="7174" width="18.28515625" style="77" bestFit="1" customWidth="1"/>
    <col min="7175" max="7175" width="17.42578125" style="77" bestFit="1" customWidth="1"/>
    <col min="7176" max="7176" width="12.85546875" style="77" bestFit="1" customWidth="1"/>
    <col min="7177" max="7177" width="12.28515625" style="77" bestFit="1" customWidth="1"/>
    <col min="7178" max="7405" width="9.140625" style="77"/>
    <col min="7406" max="7407" width="10" style="77" customWidth="1"/>
    <col min="7408" max="7408" width="7" style="77" customWidth="1"/>
    <col min="7409" max="7409" width="24" style="77" customWidth="1"/>
    <col min="7410" max="7410" width="12.85546875" style="77" customWidth="1"/>
    <col min="7411" max="7412" width="13.140625" style="77" customWidth="1"/>
    <col min="7413" max="7413" width="9.140625" style="77"/>
    <col min="7414" max="7414" width="12.85546875" style="77" customWidth="1"/>
    <col min="7415" max="7415" width="9.140625" style="77"/>
    <col min="7416" max="7416" width="12.140625" style="77" customWidth="1"/>
    <col min="7417" max="7417" width="13" style="77" customWidth="1"/>
    <col min="7418" max="7418" width="11.7109375" style="77" customWidth="1"/>
    <col min="7419" max="7419" width="11.28515625" style="77" customWidth="1"/>
    <col min="7420" max="7420" width="14.85546875" style="77" customWidth="1"/>
    <col min="7421" max="7421" width="16.42578125" style="77" customWidth="1"/>
    <col min="7422" max="7422" width="14.85546875" style="77" customWidth="1"/>
    <col min="7423" max="7423" width="13.42578125" style="77" bestFit="1" customWidth="1"/>
    <col min="7424" max="7424" width="14.85546875" style="77" customWidth="1"/>
    <col min="7425" max="7425" width="16.5703125" style="77" customWidth="1"/>
    <col min="7426" max="7426" width="10.5703125" style="77" customWidth="1"/>
    <col min="7427" max="7427" width="12.42578125" style="77" bestFit="1" customWidth="1"/>
    <col min="7428" max="7428" width="15" style="77" bestFit="1" customWidth="1"/>
    <col min="7429" max="7430" width="18.28515625" style="77" bestFit="1" customWidth="1"/>
    <col min="7431" max="7431" width="17.42578125" style="77" bestFit="1" customWidth="1"/>
    <col min="7432" max="7432" width="12.85546875" style="77" bestFit="1" customWidth="1"/>
    <col min="7433" max="7433" width="12.28515625" style="77" bestFit="1" customWidth="1"/>
    <col min="7434" max="7661" width="9.140625" style="77"/>
    <col min="7662" max="7663" width="10" style="77" customWidth="1"/>
    <col min="7664" max="7664" width="7" style="77" customWidth="1"/>
    <col min="7665" max="7665" width="24" style="77" customWidth="1"/>
    <col min="7666" max="7666" width="12.85546875" style="77" customWidth="1"/>
    <col min="7667" max="7668" width="13.140625" style="77" customWidth="1"/>
    <col min="7669" max="7669" width="9.140625" style="77"/>
    <col min="7670" max="7670" width="12.85546875" style="77" customWidth="1"/>
    <col min="7671" max="7671" width="9.140625" style="77"/>
    <col min="7672" max="7672" width="12.140625" style="77" customWidth="1"/>
    <col min="7673" max="7673" width="13" style="77" customWidth="1"/>
    <col min="7674" max="7674" width="11.7109375" style="77" customWidth="1"/>
    <col min="7675" max="7675" width="11.28515625" style="77" customWidth="1"/>
    <col min="7676" max="7676" width="14.85546875" style="77" customWidth="1"/>
    <col min="7677" max="7677" width="16.42578125" style="77" customWidth="1"/>
    <col min="7678" max="7678" width="14.85546875" style="77" customWidth="1"/>
    <col min="7679" max="7679" width="13.42578125" style="77" bestFit="1" customWidth="1"/>
    <col min="7680" max="7680" width="14.85546875" style="77" customWidth="1"/>
    <col min="7681" max="7681" width="16.5703125" style="77" customWidth="1"/>
    <col min="7682" max="7682" width="10.5703125" style="77" customWidth="1"/>
    <col min="7683" max="7683" width="12.42578125" style="77" bestFit="1" customWidth="1"/>
    <col min="7684" max="7684" width="15" style="77" bestFit="1" customWidth="1"/>
    <col min="7685" max="7686" width="18.28515625" style="77" bestFit="1" customWidth="1"/>
    <col min="7687" max="7687" width="17.42578125" style="77" bestFit="1" customWidth="1"/>
    <col min="7688" max="7688" width="12.85546875" style="77" bestFit="1" customWidth="1"/>
    <col min="7689" max="7689" width="12.28515625" style="77" bestFit="1" customWidth="1"/>
    <col min="7690" max="7917" width="9.140625" style="77"/>
    <col min="7918" max="7919" width="10" style="77" customWidth="1"/>
    <col min="7920" max="7920" width="7" style="77" customWidth="1"/>
    <col min="7921" max="7921" width="24" style="77" customWidth="1"/>
    <col min="7922" max="7922" width="12.85546875" style="77" customWidth="1"/>
    <col min="7923" max="7924" width="13.140625" style="77" customWidth="1"/>
    <col min="7925" max="7925" width="9.140625" style="77"/>
    <col min="7926" max="7926" width="12.85546875" style="77" customWidth="1"/>
    <col min="7927" max="7927" width="9.140625" style="77"/>
    <col min="7928" max="7928" width="12.140625" style="77" customWidth="1"/>
    <col min="7929" max="7929" width="13" style="77" customWidth="1"/>
    <col min="7930" max="7930" width="11.7109375" style="77" customWidth="1"/>
    <col min="7931" max="7931" width="11.28515625" style="77" customWidth="1"/>
    <col min="7932" max="7932" width="14.85546875" style="77" customWidth="1"/>
    <col min="7933" max="7933" width="16.42578125" style="77" customWidth="1"/>
    <col min="7934" max="7934" width="14.85546875" style="77" customWidth="1"/>
    <col min="7935" max="7935" width="13.42578125" style="77" bestFit="1" customWidth="1"/>
    <col min="7936" max="7936" width="14.85546875" style="77" customWidth="1"/>
    <col min="7937" max="7937" width="16.5703125" style="77" customWidth="1"/>
    <col min="7938" max="7938" width="10.5703125" style="77" customWidth="1"/>
    <col min="7939" max="7939" width="12.42578125" style="77" bestFit="1" customWidth="1"/>
    <col min="7940" max="7940" width="15" style="77" bestFit="1" customWidth="1"/>
    <col min="7941" max="7942" width="18.28515625" style="77" bestFit="1" customWidth="1"/>
    <col min="7943" max="7943" width="17.42578125" style="77" bestFit="1" customWidth="1"/>
    <col min="7944" max="7944" width="12.85546875" style="77" bestFit="1" customWidth="1"/>
    <col min="7945" max="7945" width="12.28515625" style="77" bestFit="1" customWidth="1"/>
    <col min="7946" max="8173" width="9.140625" style="77"/>
    <col min="8174" max="8175" width="10" style="77" customWidth="1"/>
    <col min="8176" max="8176" width="7" style="77" customWidth="1"/>
    <col min="8177" max="8177" width="24" style="77" customWidth="1"/>
    <col min="8178" max="8178" width="12.85546875" style="77" customWidth="1"/>
    <col min="8179" max="8180" width="13.140625" style="77" customWidth="1"/>
    <col min="8181" max="8181" width="9.140625" style="77"/>
    <col min="8182" max="8182" width="12.85546875" style="77" customWidth="1"/>
    <col min="8183" max="8183" width="9.140625" style="77"/>
    <col min="8184" max="8184" width="12.140625" style="77" customWidth="1"/>
    <col min="8185" max="8185" width="13" style="77" customWidth="1"/>
    <col min="8186" max="8186" width="11.7109375" style="77" customWidth="1"/>
    <col min="8187" max="8187" width="11.28515625" style="77" customWidth="1"/>
    <col min="8188" max="8188" width="14.85546875" style="77" customWidth="1"/>
    <col min="8189" max="8189" width="16.42578125" style="77" customWidth="1"/>
    <col min="8190" max="8190" width="14.85546875" style="77" customWidth="1"/>
    <col min="8191" max="8191" width="13.42578125" style="77" bestFit="1" customWidth="1"/>
    <col min="8192" max="8192" width="14.85546875" style="77" customWidth="1"/>
    <col min="8193" max="8193" width="16.5703125" style="77" customWidth="1"/>
    <col min="8194" max="8194" width="10.5703125" style="77" customWidth="1"/>
    <col min="8195" max="8195" width="12.42578125" style="77" bestFit="1" customWidth="1"/>
    <col min="8196" max="8196" width="15" style="77" bestFit="1" customWidth="1"/>
    <col min="8197" max="8198" width="18.28515625" style="77" bestFit="1" customWidth="1"/>
    <col min="8199" max="8199" width="17.42578125" style="77" bestFit="1" customWidth="1"/>
    <col min="8200" max="8200" width="12.85546875" style="77" bestFit="1" customWidth="1"/>
    <col min="8201" max="8201" width="12.28515625" style="77" bestFit="1" customWidth="1"/>
    <col min="8202" max="8429" width="9.140625" style="77"/>
    <col min="8430" max="8431" width="10" style="77" customWidth="1"/>
    <col min="8432" max="8432" width="7" style="77" customWidth="1"/>
    <col min="8433" max="8433" width="24" style="77" customWidth="1"/>
    <col min="8434" max="8434" width="12.85546875" style="77" customWidth="1"/>
    <col min="8435" max="8436" width="13.140625" style="77" customWidth="1"/>
    <col min="8437" max="8437" width="9.140625" style="77"/>
    <col min="8438" max="8438" width="12.85546875" style="77" customWidth="1"/>
    <col min="8439" max="8439" width="9.140625" style="77"/>
    <col min="8440" max="8440" width="12.140625" style="77" customWidth="1"/>
    <col min="8441" max="8441" width="13" style="77" customWidth="1"/>
    <col min="8442" max="8442" width="11.7109375" style="77" customWidth="1"/>
    <col min="8443" max="8443" width="11.28515625" style="77" customWidth="1"/>
    <col min="8444" max="8444" width="14.85546875" style="77" customWidth="1"/>
    <col min="8445" max="8445" width="16.42578125" style="77" customWidth="1"/>
    <col min="8446" max="8446" width="14.85546875" style="77" customWidth="1"/>
    <col min="8447" max="8447" width="13.42578125" style="77" bestFit="1" customWidth="1"/>
    <col min="8448" max="8448" width="14.85546875" style="77" customWidth="1"/>
    <col min="8449" max="8449" width="16.5703125" style="77" customWidth="1"/>
    <col min="8450" max="8450" width="10.5703125" style="77" customWidth="1"/>
    <col min="8451" max="8451" width="12.42578125" style="77" bestFit="1" customWidth="1"/>
    <col min="8452" max="8452" width="15" style="77" bestFit="1" customWidth="1"/>
    <col min="8453" max="8454" width="18.28515625" style="77" bestFit="1" customWidth="1"/>
    <col min="8455" max="8455" width="17.42578125" style="77" bestFit="1" customWidth="1"/>
    <col min="8456" max="8456" width="12.85546875" style="77" bestFit="1" customWidth="1"/>
    <col min="8457" max="8457" width="12.28515625" style="77" bestFit="1" customWidth="1"/>
    <col min="8458" max="8685" width="9.140625" style="77"/>
    <col min="8686" max="8687" width="10" style="77" customWidth="1"/>
    <col min="8688" max="8688" width="7" style="77" customWidth="1"/>
    <col min="8689" max="8689" width="24" style="77" customWidth="1"/>
    <col min="8690" max="8690" width="12.85546875" style="77" customWidth="1"/>
    <col min="8691" max="8692" width="13.140625" style="77" customWidth="1"/>
    <col min="8693" max="8693" width="9.140625" style="77"/>
    <col min="8694" max="8694" width="12.85546875" style="77" customWidth="1"/>
    <col min="8695" max="8695" width="9.140625" style="77"/>
    <col min="8696" max="8696" width="12.140625" style="77" customWidth="1"/>
    <col min="8697" max="8697" width="13" style="77" customWidth="1"/>
    <col min="8698" max="8698" width="11.7109375" style="77" customWidth="1"/>
    <col min="8699" max="8699" width="11.28515625" style="77" customWidth="1"/>
    <col min="8700" max="8700" width="14.85546875" style="77" customWidth="1"/>
    <col min="8701" max="8701" width="16.42578125" style="77" customWidth="1"/>
    <col min="8702" max="8702" width="14.85546875" style="77" customWidth="1"/>
    <col min="8703" max="8703" width="13.42578125" style="77" bestFit="1" customWidth="1"/>
    <col min="8704" max="8704" width="14.85546875" style="77" customWidth="1"/>
    <col min="8705" max="8705" width="16.5703125" style="77" customWidth="1"/>
    <col min="8706" max="8706" width="10.5703125" style="77" customWidth="1"/>
    <col min="8707" max="8707" width="12.42578125" style="77" bestFit="1" customWidth="1"/>
    <col min="8708" max="8708" width="15" style="77" bestFit="1" customWidth="1"/>
    <col min="8709" max="8710" width="18.28515625" style="77" bestFit="1" customWidth="1"/>
    <col min="8711" max="8711" width="17.42578125" style="77" bestFit="1" customWidth="1"/>
    <col min="8712" max="8712" width="12.85546875" style="77" bestFit="1" customWidth="1"/>
    <col min="8713" max="8713" width="12.28515625" style="77" bestFit="1" customWidth="1"/>
    <col min="8714" max="8941" width="9.140625" style="77"/>
    <col min="8942" max="8943" width="10" style="77" customWidth="1"/>
    <col min="8944" max="8944" width="7" style="77" customWidth="1"/>
    <col min="8945" max="8945" width="24" style="77" customWidth="1"/>
    <col min="8946" max="8946" width="12.85546875" style="77" customWidth="1"/>
    <col min="8947" max="8948" width="13.140625" style="77" customWidth="1"/>
    <col min="8949" max="8949" width="9.140625" style="77"/>
    <col min="8950" max="8950" width="12.85546875" style="77" customWidth="1"/>
    <col min="8951" max="8951" width="9.140625" style="77"/>
    <col min="8952" max="8952" width="12.140625" style="77" customWidth="1"/>
    <col min="8953" max="8953" width="13" style="77" customWidth="1"/>
    <col min="8954" max="8954" width="11.7109375" style="77" customWidth="1"/>
    <col min="8955" max="8955" width="11.28515625" style="77" customWidth="1"/>
    <col min="8956" max="8956" width="14.85546875" style="77" customWidth="1"/>
    <col min="8957" max="8957" width="16.42578125" style="77" customWidth="1"/>
    <col min="8958" max="8958" width="14.85546875" style="77" customWidth="1"/>
    <col min="8959" max="8959" width="13.42578125" style="77" bestFit="1" customWidth="1"/>
    <col min="8960" max="8960" width="14.85546875" style="77" customWidth="1"/>
    <col min="8961" max="8961" width="16.5703125" style="77" customWidth="1"/>
    <col min="8962" max="8962" width="10.5703125" style="77" customWidth="1"/>
    <col min="8963" max="8963" width="12.42578125" style="77" bestFit="1" customWidth="1"/>
    <col min="8964" max="8964" width="15" style="77" bestFit="1" customWidth="1"/>
    <col min="8965" max="8966" width="18.28515625" style="77" bestFit="1" customWidth="1"/>
    <col min="8967" max="8967" width="17.42578125" style="77" bestFit="1" customWidth="1"/>
    <col min="8968" max="8968" width="12.85546875" style="77" bestFit="1" customWidth="1"/>
    <col min="8969" max="8969" width="12.28515625" style="77" bestFit="1" customWidth="1"/>
    <col min="8970" max="9197" width="9.140625" style="77"/>
    <col min="9198" max="9199" width="10" style="77" customWidth="1"/>
    <col min="9200" max="9200" width="7" style="77" customWidth="1"/>
    <col min="9201" max="9201" width="24" style="77" customWidth="1"/>
    <col min="9202" max="9202" width="12.85546875" style="77" customWidth="1"/>
    <col min="9203" max="9204" width="13.140625" style="77" customWidth="1"/>
    <col min="9205" max="9205" width="9.140625" style="77"/>
    <col min="9206" max="9206" width="12.85546875" style="77" customWidth="1"/>
    <col min="9207" max="9207" width="9.140625" style="77"/>
    <col min="9208" max="9208" width="12.140625" style="77" customWidth="1"/>
    <col min="9209" max="9209" width="13" style="77" customWidth="1"/>
    <col min="9210" max="9210" width="11.7109375" style="77" customWidth="1"/>
    <col min="9211" max="9211" width="11.28515625" style="77" customWidth="1"/>
    <col min="9212" max="9212" width="14.85546875" style="77" customWidth="1"/>
    <col min="9213" max="9213" width="16.42578125" style="77" customWidth="1"/>
    <col min="9214" max="9214" width="14.85546875" style="77" customWidth="1"/>
    <col min="9215" max="9215" width="13.42578125" style="77" bestFit="1" customWidth="1"/>
    <col min="9216" max="9216" width="14.85546875" style="77" customWidth="1"/>
    <col min="9217" max="9217" width="16.5703125" style="77" customWidth="1"/>
    <col min="9218" max="9218" width="10.5703125" style="77" customWidth="1"/>
    <col min="9219" max="9219" width="12.42578125" style="77" bestFit="1" customWidth="1"/>
    <col min="9220" max="9220" width="15" style="77" bestFit="1" customWidth="1"/>
    <col min="9221" max="9222" width="18.28515625" style="77" bestFit="1" customWidth="1"/>
    <col min="9223" max="9223" width="17.42578125" style="77" bestFit="1" customWidth="1"/>
    <col min="9224" max="9224" width="12.85546875" style="77" bestFit="1" customWidth="1"/>
    <col min="9225" max="9225" width="12.28515625" style="77" bestFit="1" customWidth="1"/>
    <col min="9226" max="9453" width="9.140625" style="77"/>
    <col min="9454" max="9455" width="10" style="77" customWidth="1"/>
    <col min="9456" max="9456" width="7" style="77" customWidth="1"/>
    <col min="9457" max="9457" width="24" style="77" customWidth="1"/>
    <col min="9458" max="9458" width="12.85546875" style="77" customWidth="1"/>
    <col min="9459" max="9460" width="13.140625" style="77" customWidth="1"/>
    <col min="9461" max="9461" width="9.140625" style="77"/>
    <col min="9462" max="9462" width="12.85546875" style="77" customWidth="1"/>
    <col min="9463" max="9463" width="9.140625" style="77"/>
    <col min="9464" max="9464" width="12.140625" style="77" customWidth="1"/>
    <col min="9465" max="9465" width="13" style="77" customWidth="1"/>
    <col min="9466" max="9466" width="11.7109375" style="77" customWidth="1"/>
    <col min="9467" max="9467" width="11.28515625" style="77" customWidth="1"/>
    <col min="9468" max="9468" width="14.85546875" style="77" customWidth="1"/>
    <col min="9469" max="9469" width="16.42578125" style="77" customWidth="1"/>
    <col min="9470" max="9470" width="14.85546875" style="77" customWidth="1"/>
    <col min="9471" max="9471" width="13.42578125" style="77" bestFit="1" customWidth="1"/>
    <col min="9472" max="9472" width="14.85546875" style="77" customWidth="1"/>
    <col min="9473" max="9473" width="16.5703125" style="77" customWidth="1"/>
    <col min="9474" max="9474" width="10.5703125" style="77" customWidth="1"/>
    <col min="9475" max="9475" width="12.42578125" style="77" bestFit="1" customWidth="1"/>
    <col min="9476" max="9476" width="15" style="77" bestFit="1" customWidth="1"/>
    <col min="9477" max="9478" width="18.28515625" style="77" bestFit="1" customWidth="1"/>
    <col min="9479" max="9479" width="17.42578125" style="77" bestFit="1" customWidth="1"/>
    <col min="9480" max="9480" width="12.85546875" style="77" bestFit="1" customWidth="1"/>
    <col min="9481" max="9481" width="12.28515625" style="77" bestFit="1" customWidth="1"/>
    <col min="9482" max="9709" width="9.140625" style="77"/>
    <col min="9710" max="9711" width="10" style="77" customWidth="1"/>
    <col min="9712" max="9712" width="7" style="77" customWidth="1"/>
    <col min="9713" max="9713" width="24" style="77" customWidth="1"/>
    <col min="9714" max="9714" width="12.85546875" style="77" customWidth="1"/>
    <col min="9715" max="9716" width="13.140625" style="77" customWidth="1"/>
    <col min="9717" max="9717" width="9.140625" style="77"/>
    <col min="9718" max="9718" width="12.85546875" style="77" customWidth="1"/>
    <col min="9719" max="9719" width="9.140625" style="77"/>
    <col min="9720" max="9720" width="12.140625" style="77" customWidth="1"/>
    <col min="9721" max="9721" width="13" style="77" customWidth="1"/>
    <col min="9722" max="9722" width="11.7109375" style="77" customWidth="1"/>
    <col min="9723" max="9723" width="11.28515625" style="77" customWidth="1"/>
    <col min="9724" max="9724" width="14.85546875" style="77" customWidth="1"/>
    <col min="9725" max="9725" width="16.42578125" style="77" customWidth="1"/>
    <col min="9726" max="9726" width="14.85546875" style="77" customWidth="1"/>
    <col min="9727" max="9727" width="13.42578125" style="77" bestFit="1" customWidth="1"/>
    <col min="9728" max="9728" width="14.85546875" style="77" customWidth="1"/>
    <col min="9729" max="9729" width="16.5703125" style="77" customWidth="1"/>
    <col min="9730" max="9730" width="10.5703125" style="77" customWidth="1"/>
    <col min="9731" max="9731" width="12.42578125" style="77" bestFit="1" customWidth="1"/>
    <col min="9732" max="9732" width="15" style="77" bestFit="1" customWidth="1"/>
    <col min="9733" max="9734" width="18.28515625" style="77" bestFit="1" customWidth="1"/>
    <col min="9735" max="9735" width="17.42578125" style="77" bestFit="1" customWidth="1"/>
    <col min="9736" max="9736" width="12.85546875" style="77" bestFit="1" customWidth="1"/>
    <col min="9737" max="9737" width="12.28515625" style="77" bestFit="1" customWidth="1"/>
    <col min="9738" max="9965" width="9.140625" style="77"/>
    <col min="9966" max="9967" width="10" style="77" customWidth="1"/>
    <col min="9968" max="9968" width="7" style="77" customWidth="1"/>
    <col min="9969" max="9969" width="24" style="77" customWidth="1"/>
    <col min="9970" max="9970" width="12.85546875" style="77" customWidth="1"/>
    <col min="9971" max="9972" width="13.140625" style="77" customWidth="1"/>
    <col min="9973" max="9973" width="9.140625" style="77"/>
    <col min="9974" max="9974" width="12.85546875" style="77" customWidth="1"/>
    <col min="9975" max="9975" width="9.140625" style="77"/>
    <col min="9976" max="9976" width="12.140625" style="77" customWidth="1"/>
    <col min="9977" max="9977" width="13" style="77" customWidth="1"/>
    <col min="9978" max="9978" width="11.7109375" style="77" customWidth="1"/>
    <col min="9979" max="9979" width="11.28515625" style="77" customWidth="1"/>
    <col min="9980" max="9980" width="14.85546875" style="77" customWidth="1"/>
    <col min="9981" max="9981" width="16.42578125" style="77" customWidth="1"/>
    <col min="9982" max="9982" width="14.85546875" style="77" customWidth="1"/>
    <col min="9983" max="9983" width="13.42578125" style="77" bestFit="1" customWidth="1"/>
    <col min="9984" max="9984" width="14.85546875" style="77" customWidth="1"/>
    <col min="9985" max="9985" width="16.5703125" style="77" customWidth="1"/>
    <col min="9986" max="9986" width="10.5703125" style="77" customWidth="1"/>
    <col min="9987" max="9987" width="12.42578125" style="77" bestFit="1" customWidth="1"/>
    <col min="9988" max="9988" width="15" style="77" bestFit="1" customWidth="1"/>
    <col min="9989" max="9990" width="18.28515625" style="77" bestFit="1" customWidth="1"/>
    <col min="9991" max="9991" width="17.42578125" style="77" bestFit="1" customWidth="1"/>
    <col min="9992" max="9992" width="12.85546875" style="77" bestFit="1" customWidth="1"/>
    <col min="9993" max="9993" width="12.28515625" style="77" bestFit="1" customWidth="1"/>
    <col min="9994" max="10221" width="9.140625" style="77"/>
    <col min="10222" max="10223" width="10" style="77" customWidth="1"/>
    <col min="10224" max="10224" width="7" style="77" customWidth="1"/>
    <col min="10225" max="10225" width="24" style="77" customWidth="1"/>
    <col min="10226" max="10226" width="12.85546875" style="77" customWidth="1"/>
    <col min="10227" max="10228" width="13.140625" style="77" customWidth="1"/>
    <col min="10229" max="10229" width="9.140625" style="77"/>
    <col min="10230" max="10230" width="12.85546875" style="77" customWidth="1"/>
    <col min="10231" max="10231" width="9.140625" style="77"/>
    <col min="10232" max="10232" width="12.140625" style="77" customWidth="1"/>
    <col min="10233" max="10233" width="13" style="77" customWidth="1"/>
    <col min="10234" max="10234" width="11.7109375" style="77" customWidth="1"/>
    <col min="10235" max="10235" width="11.28515625" style="77" customWidth="1"/>
    <col min="10236" max="10236" width="14.85546875" style="77" customWidth="1"/>
    <col min="10237" max="10237" width="16.42578125" style="77" customWidth="1"/>
    <col min="10238" max="10238" width="14.85546875" style="77" customWidth="1"/>
    <col min="10239" max="10239" width="13.42578125" style="77" bestFit="1" customWidth="1"/>
    <col min="10240" max="10240" width="14.85546875" style="77" customWidth="1"/>
    <col min="10241" max="10241" width="16.5703125" style="77" customWidth="1"/>
    <col min="10242" max="10242" width="10.5703125" style="77" customWidth="1"/>
    <col min="10243" max="10243" width="12.42578125" style="77" bestFit="1" customWidth="1"/>
    <col min="10244" max="10244" width="15" style="77" bestFit="1" customWidth="1"/>
    <col min="10245" max="10246" width="18.28515625" style="77" bestFit="1" customWidth="1"/>
    <col min="10247" max="10247" width="17.42578125" style="77" bestFit="1" customWidth="1"/>
    <col min="10248" max="10248" width="12.85546875" style="77" bestFit="1" customWidth="1"/>
    <col min="10249" max="10249" width="12.28515625" style="77" bestFit="1" customWidth="1"/>
    <col min="10250" max="10477" width="9.140625" style="77"/>
    <col min="10478" max="10479" width="10" style="77" customWidth="1"/>
    <col min="10480" max="10480" width="7" style="77" customWidth="1"/>
    <col min="10481" max="10481" width="24" style="77" customWidth="1"/>
    <col min="10482" max="10482" width="12.85546875" style="77" customWidth="1"/>
    <col min="10483" max="10484" width="13.140625" style="77" customWidth="1"/>
    <col min="10485" max="10485" width="9.140625" style="77"/>
    <col min="10486" max="10486" width="12.85546875" style="77" customWidth="1"/>
    <col min="10487" max="10487" width="9.140625" style="77"/>
    <col min="10488" max="10488" width="12.140625" style="77" customWidth="1"/>
    <col min="10489" max="10489" width="13" style="77" customWidth="1"/>
    <col min="10490" max="10490" width="11.7109375" style="77" customWidth="1"/>
    <col min="10491" max="10491" width="11.28515625" style="77" customWidth="1"/>
    <col min="10492" max="10492" width="14.85546875" style="77" customWidth="1"/>
    <col min="10493" max="10493" width="16.42578125" style="77" customWidth="1"/>
    <col min="10494" max="10494" width="14.85546875" style="77" customWidth="1"/>
    <col min="10495" max="10495" width="13.42578125" style="77" bestFit="1" customWidth="1"/>
    <col min="10496" max="10496" width="14.85546875" style="77" customWidth="1"/>
    <col min="10497" max="10497" width="16.5703125" style="77" customWidth="1"/>
    <col min="10498" max="10498" width="10.5703125" style="77" customWidth="1"/>
    <col min="10499" max="10499" width="12.42578125" style="77" bestFit="1" customWidth="1"/>
    <col min="10500" max="10500" width="15" style="77" bestFit="1" customWidth="1"/>
    <col min="10501" max="10502" width="18.28515625" style="77" bestFit="1" customWidth="1"/>
    <col min="10503" max="10503" width="17.42578125" style="77" bestFit="1" customWidth="1"/>
    <col min="10504" max="10504" width="12.85546875" style="77" bestFit="1" customWidth="1"/>
    <col min="10505" max="10505" width="12.28515625" style="77" bestFit="1" customWidth="1"/>
    <col min="10506" max="10733" width="9.140625" style="77"/>
    <col min="10734" max="10735" width="10" style="77" customWidth="1"/>
    <col min="10736" max="10736" width="7" style="77" customWidth="1"/>
    <col min="10737" max="10737" width="24" style="77" customWidth="1"/>
    <col min="10738" max="10738" width="12.85546875" style="77" customWidth="1"/>
    <col min="10739" max="10740" width="13.140625" style="77" customWidth="1"/>
    <col min="10741" max="10741" width="9.140625" style="77"/>
    <col min="10742" max="10742" width="12.85546875" style="77" customWidth="1"/>
    <col min="10743" max="10743" width="9.140625" style="77"/>
    <col min="10744" max="10744" width="12.140625" style="77" customWidth="1"/>
    <col min="10745" max="10745" width="13" style="77" customWidth="1"/>
    <col min="10746" max="10746" width="11.7109375" style="77" customWidth="1"/>
    <col min="10747" max="10747" width="11.28515625" style="77" customWidth="1"/>
    <col min="10748" max="10748" width="14.85546875" style="77" customWidth="1"/>
    <col min="10749" max="10749" width="16.42578125" style="77" customWidth="1"/>
    <col min="10750" max="10750" width="14.85546875" style="77" customWidth="1"/>
    <col min="10751" max="10751" width="13.42578125" style="77" bestFit="1" customWidth="1"/>
    <col min="10752" max="10752" width="14.85546875" style="77" customWidth="1"/>
    <col min="10753" max="10753" width="16.5703125" style="77" customWidth="1"/>
    <col min="10754" max="10754" width="10.5703125" style="77" customWidth="1"/>
    <col min="10755" max="10755" width="12.42578125" style="77" bestFit="1" customWidth="1"/>
    <col min="10756" max="10756" width="15" style="77" bestFit="1" customWidth="1"/>
    <col min="10757" max="10758" width="18.28515625" style="77" bestFit="1" customWidth="1"/>
    <col min="10759" max="10759" width="17.42578125" style="77" bestFit="1" customWidth="1"/>
    <col min="10760" max="10760" width="12.85546875" style="77" bestFit="1" customWidth="1"/>
    <col min="10761" max="10761" width="12.28515625" style="77" bestFit="1" customWidth="1"/>
    <col min="10762" max="10989" width="9.140625" style="77"/>
    <col min="10990" max="10991" width="10" style="77" customWidth="1"/>
    <col min="10992" max="10992" width="7" style="77" customWidth="1"/>
    <col min="10993" max="10993" width="24" style="77" customWidth="1"/>
    <col min="10994" max="10994" width="12.85546875" style="77" customWidth="1"/>
    <col min="10995" max="10996" width="13.140625" style="77" customWidth="1"/>
    <col min="10997" max="10997" width="9.140625" style="77"/>
    <col min="10998" max="10998" width="12.85546875" style="77" customWidth="1"/>
    <col min="10999" max="10999" width="9.140625" style="77"/>
    <col min="11000" max="11000" width="12.140625" style="77" customWidth="1"/>
    <col min="11001" max="11001" width="13" style="77" customWidth="1"/>
    <col min="11002" max="11002" width="11.7109375" style="77" customWidth="1"/>
    <col min="11003" max="11003" width="11.28515625" style="77" customWidth="1"/>
    <col min="11004" max="11004" width="14.85546875" style="77" customWidth="1"/>
    <col min="11005" max="11005" width="16.42578125" style="77" customWidth="1"/>
    <col min="11006" max="11006" width="14.85546875" style="77" customWidth="1"/>
    <col min="11007" max="11007" width="13.42578125" style="77" bestFit="1" customWidth="1"/>
    <col min="11008" max="11008" width="14.85546875" style="77" customWidth="1"/>
    <col min="11009" max="11009" width="16.5703125" style="77" customWidth="1"/>
    <col min="11010" max="11010" width="10.5703125" style="77" customWidth="1"/>
    <col min="11011" max="11011" width="12.42578125" style="77" bestFit="1" customWidth="1"/>
    <col min="11012" max="11012" width="15" style="77" bestFit="1" customWidth="1"/>
    <col min="11013" max="11014" width="18.28515625" style="77" bestFit="1" customWidth="1"/>
    <col min="11015" max="11015" width="17.42578125" style="77" bestFit="1" customWidth="1"/>
    <col min="11016" max="11016" width="12.85546875" style="77" bestFit="1" customWidth="1"/>
    <col min="11017" max="11017" width="12.28515625" style="77" bestFit="1" customWidth="1"/>
    <col min="11018" max="11245" width="9.140625" style="77"/>
    <col min="11246" max="11247" width="10" style="77" customWidth="1"/>
    <col min="11248" max="11248" width="7" style="77" customWidth="1"/>
    <col min="11249" max="11249" width="24" style="77" customWidth="1"/>
    <col min="11250" max="11250" width="12.85546875" style="77" customWidth="1"/>
    <col min="11251" max="11252" width="13.140625" style="77" customWidth="1"/>
    <col min="11253" max="11253" width="9.140625" style="77"/>
    <col min="11254" max="11254" width="12.85546875" style="77" customWidth="1"/>
    <col min="11255" max="11255" width="9.140625" style="77"/>
    <col min="11256" max="11256" width="12.140625" style="77" customWidth="1"/>
    <col min="11257" max="11257" width="13" style="77" customWidth="1"/>
    <col min="11258" max="11258" width="11.7109375" style="77" customWidth="1"/>
    <col min="11259" max="11259" width="11.28515625" style="77" customWidth="1"/>
    <col min="11260" max="11260" width="14.85546875" style="77" customWidth="1"/>
    <col min="11261" max="11261" width="16.42578125" style="77" customWidth="1"/>
    <col min="11262" max="11262" width="14.85546875" style="77" customWidth="1"/>
    <col min="11263" max="11263" width="13.42578125" style="77" bestFit="1" customWidth="1"/>
    <col min="11264" max="11264" width="14.85546875" style="77" customWidth="1"/>
    <col min="11265" max="11265" width="16.5703125" style="77" customWidth="1"/>
    <col min="11266" max="11266" width="10.5703125" style="77" customWidth="1"/>
    <col min="11267" max="11267" width="12.42578125" style="77" bestFit="1" customWidth="1"/>
    <col min="11268" max="11268" width="15" style="77" bestFit="1" customWidth="1"/>
    <col min="11269" max="11270" width="18.28515625" style="77" bestFit="1" customWidth="1"/>
    <col min="11271" max="11271" width="17.42578125" style="77" bestFit="1" customWidth="1"/>
    <col min="11272" max="11272" width="12.85546875" style="77" bestFit="1" customWidth="1"/>
    <col min="11273" max="11273" width="12.28515625" style="77" bestFit="1" customWidth="1"/>
    <col min="11274" max="11501" width="9.140625" style="77"/>
    <col min="11502" max="11503" width="10" style="77" customWidth="1"/>
    <col min="11504" max="11504" width="7" style="77" customWidth="1"/>
    <col min="11505" max="11505" width="24" style="77" customWidth="1"/>
    <col min="11506" max="11506" width="12.85546875" style="77" customWidth="1"/>
    <col min="11507" max="11508" width="13.140625" style="77" customWidth="1"/>
    <col min="11509" max="11509" width="9.140625" style="77"/>
    <col min="11510" max="11510" width="12.85546875" style="77" customWidth="1"/>
    <col min="11511" max="11511" width="9.140625" style="77"/>
    <col min="11512" max="11512" width="12.140625" style="77" customWidth="1"/>
    <col min="11513" max="11513" width="13" style="77" customWidth="1"/>
    <col min="11514" max="11514" width="11.7109375" style="77" customWidth="1"/>
    <col min="11515" max="11515" width="11.28515625" style="77" customWidth="1"/>
    <col min="11516" max="11516" width="14.85546875" style="77" customWidth="1"/>
    <col min="11517" max="11517" width="16.42578125" style="77" customWidth="1"/>
    <col min="11518" max="11518" width="14.85546875" style="77" customWidth="1"/>
    <col min="11519" max="11519" width="13.42578125" style="77" bestFit="1" customWidth="1"/>
    <col min="11520" max="11520" width="14.85546875" style="77" customWidth="1"/>
    <col min="11521" max="11521" width="16.5703125" style="77" customWidth="1"/>
    <col min="11522" max="11522" width="10.5703125" style="77" customWidth="1"/>
    <col min="11523" max="11523" width="12.42578125" style="77" bestFit="1" customWidth="1"/>
    <col min="11524" max="11524" width="15" style="77" bestFit="1" customWidth="1"/>
    <col min="11525" max="11526" width="18.28515625" style="77" bestFit="1" customWidth="1"/>
    <col min="11527" max="11527" width="17.42578125" style="77" bestFit="1" customWidth="1"/>
    <col min="11528" max="11528" width="12.85546875" style="77" bestFit="1" customWidth="1"/>
    <col min="11529" max="11529" width="12.28515625" style="77" bestFit="1" customWidth="1"/>
    <col min="11530" max="11757" width="9.140625" style="77"/>
    <col min="11758" max="11759" width="10" style="77" customWidth="1"/>
    <col min="11760" max="11760" width="7" style="77" customWidth="1"/>
    <col min="11761" max="11761" width="24" style="77" customWidth="1"/>
    <col min="11762" max="11762" width="12.85546875" style="77" customWidth="1"/>
    <col min="11763" max="11764" width="13.140625" style="77" customWidth="1"/>
    <col min="11765" max="11765" width="9.140625" style="77"/>
    <col min="11766" max="11766" width="12.85546875" style="77" customWidth="1"/>
    <col min="11767" max="11767" width="9.140625" style="77"/>
    <col min="11768" max="11768" width="12.140625" style="77" customWidth="1"/>
    <col min="11769" max="11769" width="13" style="77" customWidth="1"/>
    <col min="11770" max="11770" width="11.7109375" style="77" customWidth="1"/>
    <col min="11771" max="11771" width="11.28515625" style="77" customWidth="1"/>
    <col min="11772" max="11772" width="14.85546875" style="77" customWidth="1"/>
    <col min="11773" max="11773" width="16.42578125" style="77" customWidth="1"/>
    <col min="11774" max="11774" width="14.85546875" style="77" customWidth="1"/>
    <col min="11775" max="11775" width="13.42578125" style="77" bestFit="1" customWidth="1"/>
    <col min="11776" max="11776" width="14.85546875" style="77" customWidth="1"/>
    <col min="11777" max="11777" width="16.5703125" style="77" customWidth="1"/>
    <col min="11778" max="11778" width="10.5703125" style="77" customWidth="1"/>
    <col min="11779" max="11779" width="12.42578125" style="77" bestFit="1" customWidth="1"/>
    <col min="11780" max="11780" width="15" style="77" bestFit="1" customWidth="1"/>
    <col min="11781" max="11782" width="18.28515625" style="77" bestFit="1" customWidth="1"/>
    <col min="11783" max="11783" width="17.42578125" style="77" bestFit="1" customWidth="1"/>
    <col min="11784" max="11784" width="12.85546875" style="77" bestFit="1" customWidth="1"/>
    <col min="11785" max="11785" width="12.28515625" style="77" bestFit="1" customWidth="1"/>
    <col min="11786" max="12013" width="9.140625" style="77"/>
    <col min="12014" max="12015" width="10" style="77" customWidth="1"/>
    <col min="12016" max="12016" width="7" style="77" customWidth="1"/>
    <col min="12017" max="12017" width="24" style="77" customWidth="1"/>
    <col min="12018" max="12018" width="12.85546875" style="77" customWidth="1"/>
    <col min="12019" max="12020" width="13.140625" style="77" customWidth="1"/>
    <col min="12021" max="12021" width="9.140625" style="77"/>
    <col min="12022" max="12022" width="12.85546875" style="77" customWidth="1"/>
    <col min="12023" max="12023" width="9.140625" style="77"/>
    <col min="12024" max="12024" width="12.140625" style="77" customWidth="1"/>
    <col min="12025" max="12025" width="13" style="77" customWidth="1"/>
    <col min="12026" max="12026" width="11.7109375" style="77" customWidth="1"/>
    <col min="12027" max="12027" width="11.28515625" style="77" customWidth="1"/>
    <col min="12028" max="12028" width="14.85546875" style="77" customWidth="1"/>
    <col min="12029" max="12029" width="16.42578125" style="77" customWidth="1"/>
    <col min="12030" max="12030" width="14.85546875" style="77" customWidth="1"/>
    <col min="12031" max="12031" width="13.42578125" style="77" bestFit="1" customWidth="1"/>
    <col min="12032" max="12032" width="14.85546875" style="77" customWidth="1"/>
    <col min="12033" max="12033" width="16.5703125" style="77" customWidth="1"/>
    <col min="12034" max="12034" width="10.5703125" style="77" customWidth="1"/>
    <col min="12035" max="12035" width="12.42578125" style="77" bestFit="1" customWidth="1"/>
    <col min="12036" max="12036" width="15" style="77" bestFit="1" customWidth="1"/>
    <col min="12037" max="12038" width="18.28515625" style="77" bestFit="1" customWidth="1"/>
    <col min="12039" max="12039" width="17.42578125" style="77" bestFit="1" customWidth="1"/>
    <col min="12040" max="12040" width="12.85546875" style="77" bestFit="1" customWidth="1"/>
    <col min="12041" max="12041" width="12.28515625" style="77" bestFit="1" customWidth="1"/>
    <col min="12042" max="12269" width="9.140625" style="77"/>
    <col min="12270" max="12271" width="10" style="77" customWidth="1"/>
    <col min="12272" max="12272" width="7" style="77" customWidth="1"/>
    <col min="12273" max="12273" width="24" style="77" customWidth="1"/>
    <col min="12274" max="12274" width="12.85546875" style="77" customWidth="1"/>
    <col min="12275" max="12276" width="13.140625" style="77" customWidth="1"/>
    <col min="12277" max="12277" width="9.140625" style="77"/>
    <col min="12278" max="12278" width="12.85546875" style="77" customWidth="1"/>
    <col min="12279" max="12279" width="9.140625" style="77"/>
    <col min="12280" max="12280" width="12.140625" style="77" customWidth="1"/>
    <col min="12281" max="12281" width="13" style="77" customWidth="1"/>
    <col min="12282" max="12282" width="11.7109375" style="77" customWidth="1"/>
    <col min="12283" max="12283" width="11.28515625" style="77" customWidth="1"/>
    <col min="12284" max="12284" width="14.85546875" style="77" customWidth="1"/>
    <col min="12285" max="12285" width="16.42578125" style="77" customWidth="1"/>
    <col min="12286" max="12286" width="14.85546875" style="77" customWidth="1"/>
    <col min="12287" max="12287" width="13.42578125" style="77" bestFit="1" customWidth="1"/>
    <col min="12288" max="12288" width="14.85546875" style="77" customWidth="1"/>
    <col min="12289" max="12289" width="16.5703125" style="77" customWidth="1"/>
    <col min="12290" max="12290" width="10.5703125" style="77" customWidth="1"/>
    <col min="12291" max="12291" width="12.42578125" style="77" bestFit="1" customWidth="1"/>
    <col min="12292" max="12292" width="15" style="77" bestFit="1" customWidth="1"/>
    <col min="12293" max="12294" width="18.28515625" style="77" bestFit="1" customWidth="1"/>
    <col min="12295" max="12295" width="17.42578125" style="77" bestFit="1" customWidth="1"/>
    <col min="12296" max="12296" width="12.85546875" style="77" bestFit="1" customWidth="1"/>
    <col min="12297" max="12297" width="12.28515625" style="77" bestFit="1" customWidth="1"/>
    <col min="12298" max="12525" width="9.140625" style="77"/>
    <col min="12526" max="12527" width="10" style="77" customWidth="1"/>
    <col min="12528" max="12528" width="7" style="77" customWidth="1"/>
    <col min="12529" max="12529" width="24" style="77" customWidth="1"/>
    <col min="12530" max="12530" width="12.85546875" style="77" customWidth="1"/>
    <col min="12531" max="12532" width="13.140625" style="77" customWidth="1"/>
    <col min="12533" max="12533" width="9.140625" style="77"/>
    <col min="12534" max="12534" width="12.85546875" style="77" customWidth="1"/>
    <col min="12535" max="12535" width="9.140625" style="77"/>
    <col min="12536" max="12536" width="12.140625" style="77" customWidth="1"/>
    <col min="12537" max="12537" width="13" style="77" customWidth="1"/>
    <col min="12538" max="12538" width="11.7109375" style="77" customWidth="1"/>
    <col min="12539" max="12539" width="11.28515625" style="77" customWidth="1"/>
    <col min="12540" max="12540" width="14.85546875" style="77" customWidth="1"/>
    <col min="12541" max="12541" width="16.42578125" style="77" customWidth="1"/>
    <col min="12542" max="12542" width="14.85546875" style="77" customWidth="1"/>
    <col min="12543" max="12543" width="13.42578125" style="77" bestFit="1" customWidth="1"/>
    <col min="12544" max="12544" width="14.85546875" style="77" customWidth="1"/>
    <col min="12545" max="12545" width="16.5703125" style="77" customWidth="1"/>
    <col min="12546" max="12546" width="10.5703125" style="77" customWidth="1"/>
    <col min="12547" max="12547" width="12.42578125" style="77" bestFit="1" customWidth="1"/>
    <col min="12548" max="12548" width="15" style="77" bestFit="1" customWidth="1"/>
    <col min="12549" max="12550" width="18.28515625" style="77" bestFit="1" customWidth="1"/>
    <col min="12551" max="12551" width="17.42578125" style="77" bestFit="1" customWidth="1"/>
    <col min="12552" max="12552" width="12.85546875" style="77" bestFit="1" customWidth="1"/>
    <col min="12553" max="12553" width="12.28515625" style="77" bestFit="1" customWidth="1"/>
    <col min="12554" max="12781" width="9.140625" style="77"/>
    <col min="12782" max="12783" width="10" style="77" customWidth="1"/>
    <col min="12784" max="12784" width="7" style="77" customWidth="1"/>
    <col min="12785" max="12785" width="24" style="77" customWidth="1"/>
    <col min="12786" max="12786" width="12.85546875" style="77" customWidth="1"/>
    <col min="12787" max="12788" width="13.140625" style="77" customWidth="1"/>
    <col min="12789" max="12789" width="9.140625" style="77"/>
    <col min="12790" max="12790" width="12.85546875" style="77" customWidth="1"/>
    <col min="12791" max="12791" width="9.140625" style="77"/>
    <col min="12792" max="12792" width="12.140625" style="77" customWidth="1"/>
    <col min="12793" max="12793" width="13" style="77" customWidth="1"/>
    <col min="12794" max="12794" width="11.7109375" style="77" customWidth="1"/>
    <col min="12795" max="12795" width="11.28515625" style="77" customWidth="1"/>
    <col min="12796" max="12796" width="14.85546875" style="77" customWidth="1"/>
    <col min="12797" max="12797" width="16.42578125" style="77" customWidth="1"/>
    <col min="12798" max="12798" width="14.85546875" style="77" customWidth="1"/>
    <col min="12799" max="12799" width="13.42578125" style="77" bestFit="1" customWidth="1"/>
    <col min="12800" max="12800" width="14.85546875" style="77" customWidth="1"/>
    <col min="12801" max="12801" width="16.5703125" style="77" customWidth="1"/>
    <col min="12802" max="12802" width="10.5703125" style="77" customWidth="1"/>
    <col min="12803" max="12803" width="12.42578125" style="77" bestFit="1" customWidth="1"/>
    <col min="12804" max="12804" width="15" style="77" bestFit="1" customWidth="1"/>
    <col min="12805" max="12806" width="18.28515625" style="77" bestFit="1" customWidth="1"/>
    <col min="12807" max="12807" width="17.42578125" style="77" bestFit="1" customWidth="1"/>
    <col min="12808" max="12808" width="12.85546875" style="77" bestFit="1" customWidth="1"/>
    <col min="12809" max="12809" width="12.28515625" style="77" bestFit="1" customWidth="1"/>
    <col min="12810" max="13037" width="9.140625" style="77"/>
    <col min="13038" max="13039" width="10" style="77" customWidth="1"/>
    <col min="13040" max="13040" width="7" style="77" customWidth="1"/>
    <col min="13041" max="13041" width="24" style="77" customWidth="1"/>
    <col min="13042" max="13042" width="12.85546875" style="77" customWidth="1"/>
    <col min="13043" max="13044" width="13.140625" style="77" customWidth="1"/>
    <col min="13045" max="13045" width="9.140625" style="77"/>
    <col min="13046" max="13046" width="12.85546875" style="77" customWidth="1"/>
    <col min="13047" max="13047" width="9.140625" style="77"/>
    <col min="13048" max="13048" width="12.140625" style="77" customWidth="1"/>
    <col min="13049" max="13049" width="13" style="77" customWidth="1"/>
    <col min="13050" max="13050" width="11.7109375" style="77" customWidth="1"/>
    <col min="13051" max="13051" width="11.28515625" style="77" customWidth="1"/>
    <col min="13052" max="13052" width="14.85546875" style="77" customWidth="1"/>
    <col min="13053" max="13053" width="16.42578125" style="77" customWidth="1"/>
    <col min="13054" max="13054" width="14.85546875" style="77" customWidth="1"/>
    <col min="13055" max="13055" width="13.42578125" style="77" bestFit="1" customWidth="1"/>
    <col min="13056" max="13056" width="14.85546875" style="77" customWidth="1"/>
    <col min="13057" max="13057" width="16.5703125" style="77" customWidth="1"/>
    <col min="13058" max="13058" width="10.5703125" style="77" customWidth="1"/>
    <col min="13059" max="13059" width="12.42578125" style="77" bestFit="1" customWidth="1"/>
    <col min="13060" max="13060" width="15" style="77" bestFit="1" customWidth="1"/>
    <col min="13061" max="13062" width="18.28515625" style="77" bestFit="1" customWidth="1"/>
    <col min="13063" max="13063" width="17.42578125" style="77" bestFit="1" customWidth="1"/>
    <col min="13064" max="13064" width="12.85546875" style="77" bestFit="1" customWidth="1"/>
    <col min="13065" max="13065" width="12.28515625" style="77" bestFit="1" customWidth="1"/>
    <col min="13066" max="13293" width="9.140625" style="77"/>
    <col min="13294" max="13295" width="10" style="77" customWidth="1"/>
    <col min="13296" max="13296" width="7" style="77" customWidth="1"/>
    <col min="13297" max="13297" width="24" style="77" customWidth="1"/>
    <col min="13298" max="13298" width="12.85546875" style="77" customWidth="1"/>
    <col min="13299" max="13300" width="13.140625" style="77" customWidth="1"/>
    <col min="13301" max="13301" width="9.140625" style="77"/>
    <col min="13302" max="13302" width="12.85546875" style="77" customWidth="1"/>
    <col min="13303" max="13303" width="9.140625" style="77"/>
    <col min="13304" max="13304" width="12.140625" style="77" customWidth="1"/>
    <col min="13305" max="13305" width="13" style="77" customWidth="1"/>
    <col min="13306" max="13306" width="11.7109375" style="77" customWidth="1"/>
    <col min="13307" max="13307" width="11.28515625" style="77" customWidth="1"/>
    <col min="13308" max="13308" width="14.85546875" style="77" customWidth="1"/>
    <col min="13309" max="13309" width="16.42578125" style="77" customWidth="1"/>
    <col min="13310" max="13310" width="14.85546875" style="77" customWidth="1"/>
    <col min="13311" max="13311" width="13.42578125" style="77" bestFit="1" customWidth="1"/>
    <col min="13312" max="13312" width="14.85546875" style="77" customWidth="1"/>
    <col min="13313" max="13313" width="16.5703125" style="77" customWidth="1"/>
    <col min="13314" max="13314" width="10.5703125" style="77" customWidth="1"/>
    <col min="13315" max="13315" width="12.42578125" style="77" bestFit="1" customWidth="1"/>
    <col min="13316" max="13316" width="15" style="77" bestFit="1" customWidth="1"/>
    <col min="13317" max="13318" width="18.28515625" style="77" bestFit="1" customWidth="1"/>
    <col min="13319" max="13319" width="17.42578125" style="77" bestFit="1" customWidth="1"/>
    <col min="13320" max="13320" width="12.85546875" style="77" bestFit="1" customWidth="1"/>
    <col min="13321" max="13321" width="12.28515625" style="77" bestFit="1" customWidth="1"/>
    <col min="13322" max="13549" width="9.140625" style="77"/>
    <col min="13550" max="13551" width="10" style="77" customWidth="1"/>
    <col min="13552" max="13552" width="7" style="77" customWidth="1"/>
    <col min="13553" max="13553" width="24" style="77" customWidth="1"/>
    <col min="13554" max="13554" width="12.85546875" style="77" customWidth="1"/>
    <col min="13555" max="13556" width="13.140625" style="77" customWidth="1"/>
    <col min="13557" max="13557" width="9.140625" style="77"/>
    <col min="13558" max="13558" width="12.85546875" style="77" customWidth="1"/>
    <col min="13559" max="13559" width="9.140625" style="77"/>
    <col min="13560" max="13560" width="12.140625" style="77" customWidth="1"/>
    <col min="13561" max="13561" width="13" style="77" customWidth="1"/>
    <col min="13562" max="13562" width="11.7109375" style="77" customWidth="1"/>
    <col min="13563" max="13563" width="11.28515625" style="77" customWidth="1"/>
    <col min="13564" max="13564" width="14.85546875" style="77" customWidth="1"/>
    <col min="13565" max="13565" width="16.42578125" style="77" customWidth="1"/>
    <col min="13566" max="13566" width="14.85546875" style="77" customWidth="1"/>
    <col min="13567" max="13567" width="13.42578125" style="77" bestFit="1" customWidth="1"/>
    <col min="13568" max="13568" width="14.85546875" style="77" customWidth="1"/>
    <col min="13569" max="13569" width="16.5703125" style="77" customWidth="1"/>
    <col min="13570" max="13570" width="10.5703125" style="77" customWidth="1"/>
    <col min="13571" max="13571" width="12.42578125" style="77" bestFit="1" customWidth="1"/>
    <col min="13572" max="13572" width="15" style="77" bestFit="1" customWidth="1"/>
    <col min="13573" max="13574" width="18.28515625" style="77" bestFit="1" customWidth="1"/>
    <col min="13575" max="13575" width="17.42578125" style="77" bestFit="1" customWidth="1"/>
    <col min="13576" max="13576" width="12.85546875" style="77" bestFit="1" customWidth="1"/>
    <col min="13577" max="13577" width="12.28515625" style="77" bestFit="1" customWidth="1"/>
    <col min="13578" max="13805" width="9.140625" style="77"/>
    <col min="13806" max="13807" width="10" style="77" customWidth="1"/>
    <col min="13808" max="13808" width="7" style="77" customWidth="1"/>
    <col min="13809" max="13809" width="24" style="77" customWidth="1"/>
    <col min="13810" max="13810" width="12.85546875" style="77" customWidth="1"/>
    <col min="13811" max="13812" width="13.140625" style="77" customWidth="1"/>
    <col min="13813" max="13813" width="9.140625" style="77"/>
    <col min="13814" max="13814" width="12.85546875" style="77" customWidth="1"/>
    <col min="13815" max="13815" width="9.140625" style="77"/>
    <col min="13816" max="13816" width="12.140625" style="77" customWidth="1"/>
    <col min="13817" max="13817" width="13" style="77" customWidth="1"/>
    <col min="13818" max="13818" width="11.7109375" style="77" customWidth="1"/>
    <col min="13819" max="13819" width="11.28515625" style="77" customWidth="1"/>
    <col min="13820" max="13820" width="14.85546875" style="77" customWidth="1"/>
    <col min="13821" max="13821" width="16.42578125" style="77" customWidth="1"/>
    <col min="13822" max="13822" width="14.85546875" style="77" customWidth="1"/>
    <col min="13823" max="13823" width="13.42578125" style="77" bestFit="1" customWidth="1"/>
    <col min="13824" max="13824" width="14.85546875" style="77" customWidth="1"/>
    <col min="13825" max="13825" width="16.5703125" style="77" customWidth="1"/>
    <col min="13826" max="13826" width="10.5703125" style="77" customWidth="1"/>
    <col min="13827" max="13827" width="12.42578125" style="77" bestFit="1" customWidth="1"/>
    <col min="13828" max="13828" width="15" style="77" bestFit="1" customWidth="1"/>
    <col min="13829" max="13830" width="18.28515625" style="77" bestFit="1" customWidth="1"/>
    <col min="13831" max="13831" width="17.42578125" style="77" bestFit="1" customWidth="1"/>
    <col min="13832" max="13832" width="12.85546875" style="77" bestFit="1" customWidth="1"/>
    <col min="13833" max="13833" width="12.28515625" style="77" bestFit="1" customWidth="1"/>
    <col min="13834" max="14061" width="9.140625" style="77"/>
    <col min="14062" max="14063" width="10" style="77" customWidth="1"/>
    <col min="14064" max="14064" width="7" style="77" customWidth="1"/>
    <col min="14065" max="14065" width="24" style="77" customWidth="1"/>
    <col min="14066" max="14066" width="12.85546875" style="77" customWidth="1"/>
    <col min="14067" max="14068" width="13.140625" style="77" customWidth="1"/>
    <col min="14069" max="14069" width="9.140625" style="77"/>
    <col min="14070" max="14070" width="12.85546875" style="77" customWidth="1"/>
    <col min="14071" max="14071" width="9.140625" style="77"/>
    <col min="14072" max="14072" width="12.140625" style="77" customWidth="1"/>
    <col min="14073" max="14073" width="13" style="77" customWidth="1"/>
    <col min="14074" max="14074" width="11.7109375" style="77" customWidth="1"/>
    <col min="14075" max="14075" width="11.28515625" style="77" customWidth="1"/>
    <col min="14076" max="14076" width="14.85546875" style="77" customWidth="1"/>
    <col min="14077" max="14077" width="16.42578125" style="77" customWidth="1"/>
    <col min="14078" max="14078" width="14.85546875" style="77" customWidth="1"/>
    <col min="14079" max="14079" width="13.42578125" style="77" bestFit="1" customWidth="1"/>
    <col min="14080" max="14080" width="14.85546875" style="77" customWidth="1"/>
    <col min="14081" max="14081" width="16.5703125" style="77" customWidth="1"/>
    <col min="14082" max="14082" width="10.5703125" style="77" customWidth="1"/>
    <col min="14083" max="14083" width="12.42578125" style="77" bestFit="1" customWidth="1"/>
    <col min="14084" max="14084" width="15" style="77" bestFit="1" customWidth="1"/>
    <col min="14085" max="14086" width="18.28515625" style="77" bestFit="1" customWidth="1"/>
    <col min="14087" max="14087" width="17.42578125" style="77" bestFit="1" customWidth="1"/>
    <col min="14088" max="14088" width="12.85546875" style="77" bestFit="1" customWidth="1"/>
    <col min="14089" max="14089" width="12.28515625" style="77" bestFit="1" customWidth="1"/>
    <col min="14090" max="14317" width="9.140625" style="77"/>
    <col min="14318" max="14319" width="10" style="77" customWidth="1"/>
    <col min="14320" max="14320" width="7" style="77" customWidth="1"/>
    <col min="14321" max="14321" width="24" style="77" customWidth="1"/>
    <col min="14322" max="14322" width="12.85546875" style="77" customWidth="1"/>
    <col min="14323" max="14324" width="13.140625" style="77" customWidth="1"/>
    <col min="14325" max="14325" width="9.140625" style="77"/>
    <col min="14326" max="14326" width="12.85546875" style="77" customWidth="1"/>
    <col min="14327" max="14327" width="9.140625" style="77"/>
    <col min="14328" max="14328" width="12.140625" style="77" customWidth="1"/>
    <col min="14329" max="14329" width="13" style="77" customWidth="1"/>
    <col min="14330" max="14330" width="11.7109375" style="77" customWidth="1"/>
    <col min="14331" max="14331" width="11.28515625" style="77" customWidth="1"/>
    <col min="14332" max="14332" width="14.85546875" style="77" customWidth="1"/>
    <col min="14333" max="14333" width="16.42578125" style="77" customWidth="1"/>
    <col min="14334" max="14334" width="14.85546875" style="77" customWidth="1"/>
    <col min="14335" max="14335" width="13.42578125" style="77" bestFit="1" customWidth="1"/>
    <col min="14336" max="14336" width="14.85546875" style="77" customWidth="1"/>
    <col min="14337" max="14337" width="16.5703125" style="77" customWidth="1"/>
    <col min="14338" max="14338" width="10.5703125" style="77" customWidth="1"/>
    <col min="14339" max="14339" width="12.42578125" style="77" bestFit="1" customWidth="1"/>
    <col min="14340" max="14340" width="15" style="77" bestFit="1" customWidth="1"/>
    <col min="14341" max="14342" width="18.28515625" style="77" bestFit="1" customWidth="1"/>
    <col min="14343" max="14343" width="17.42578125" style="77" bestFit="1" customWidth="1"/>
    <col min="14344" max="14344" width="12.85546875" style="77" bestFit="1" customWidth="1"/>
    <col min="14345" max="14345" width="12.28515625" style="77" bestFit="1" customWidth="1"/>
    <col min="14346" max="14573" width="9.140625" style="77"/>
    <col min="14574" max="14575" width="10" style="77" customWidth="1"/>
    <col min="14576" max="14576" width="7" style="77" customWidth="1"/>
    <col min="14577" max="14577" width="24" style="77" customWidth="1"/>
    <col min="14578" max="14578" width="12.85546875" style="77" customWidth="1"/>
    <col min="14579" max="14580" width="13.140625" style="77" customWidth="1"/>
    <col min="14581" max="14581" width="9.140625" style="77"/>
    <col min="14582" max="14582" width="12.85546875" style="77" customWidth="1"/>
    <col min="14583" max="14583" width="9.140625" style="77"/>
    <col min="14584" max="14584" width="12.140625" style="77" customWidth="1"/>
    <col min="14585" max="14585" width="13" style="77" customWidth="1"/>
    <col min="14586" max="14586" width="11.7109375" style="77" customWidth="1"/>
    <col min="14587" max="14587" width="11.28515625" style="77" customWidth="1"/>
    <col min="14588" max="14588" width="14.85546875" style="77" customWidth="1"/>
    <col min="14589" max="14589" width="16.42578125" style="77" customWidth="1"/>
    <col min="14590" max="14590" width="14.85546875" style="77" customWidth="1"/>
    <col min="14591" max="14591" width="13.42578125" style="77" bestFit="1" customWidth="1"/>
    <col min="14592" max="14592" width="14.85546875" style="77" customWidth="1"/>
    <col min="14593" max="14593" width="16.5703125" style="77" customWidth="1"/>
    <col min="14594" max="14594" width="10.5703125" style="77" customWidth="1"/>
    <col min="14595" max="14595" width="12.42578125" style="77" bestFit="1" customWidth="1"/>
    <col min="14596" max="14596" width="15" style="77" bestFit="1" customWidth="1"/>
    <col min="14597" max="14598" width="18.28515625" style="77" bestFit="1" customWidth="1"/>
    <col min="14599" max="14599" width="17.42578125" style="77" bestFit="1" customWidth="1"/>
    <col min="14600" max="14600" width="12.85546875" style="77" bestFit="1" customWidth="1"/>
    <col min="14601" max="14601" width="12.28515625" style="77" bestFit="1" customWidth="1"/>
    <col min="14602" max="14829" width="9.140625" style="77"/>
    <col min="14830" max="14831" width="10" style="77" customWidth="1"/>
    <col min="14832" max="14832" width="7" style="77" customWidth="1"/>
    <col min="14833" max="14833" width="24" style="77" customWidth="1"/>
    <col min="14834" max="14834" width="12.85546875" style="77" customWidth="1"/>
    <col min="14835" max="14836" width="13.140625" style="77" customWidth="1"/>
    <col min="14837" max="14837" width="9.140625" style="77"/>
    <col min="14838" max="14838" width="12.85546875" style="77" customWidth="1"/>
    <col min="14839" max="14839" width="9.140625" style="77"/>
    <col min="14840" max="14840" width="12.140625" style="77" customWidth="1"/>
    <col min="14841" max="14841" width="13" style="77" customWidth="1"/>
    <col min="14842" max="14842" width="11.7109375" style="77" customWidth="1"/>
    <col min="14843" max="14843" width="11.28515625" style="77" customWidth="1"/>
    <col min="14844" max="14844" width="14.85546875" style="77" customWidth="1"/>
    <col min="14845" max="14845" width="16.42578125" style="77" customWidth="1"/>
    <col min="14846" max="14846" width="14.85546875" style="77" customWidth="1"/>
    <col min="14847" max="14847" width="13.42578125" style="77" bestFit="1" customWidth="1"/>
    <col min="14848" max="14848" width="14.85546875" style="77" customWidth="1"/>
    <col min="14849" max="14849" width="16.5703125" style="77" customWidth="1"/>
    <col min="14850" max="14850" width="10.5703125" style="77" customWidth="1"/>
    <col min="14851" max="14851" width="12.42578125" style="77" bestFit="1" customWidth="1"/>
    <col min="14852" max="14852" width="15" style="77" bestFit="1" customWidth="1"/>
    <col min="14853" max="14854" width="18.28515625" style="77" bestFit="1" customWidth="1"/>
    <col min="14855" max="14855" width="17.42578125" style="77" bestFit="1" customWidth="1"/>
    <col min="14856" max="14856" width="12.85546875" style="77" bestFit="1" customWidth="1"/>
    <col min="14857" max="14857" width="12.28515625" style="77" bestFit="1" customWidth="1"/>
    <col min="14858" max="15085" width="9.140625" style="77"/>
    <col min="15086" max="15087" width="10" style="77" customWidth="1"/>
    <col min="15088" max="15088" width="7" style="77" customWidth="1"/>
    <col min="15089" max="15089" width="24" style="77" customWidth="1"/>
    <col min="15090" max="15090" width="12.85546875" style="77" customWidth="1"/>
    <col min="15091" max="15092" width="13.140625" style="77" customWidth="1"/>
    <col min="15093" max="15093" width="9.140625" style="77"/>
    <col min="15094" max="15094" width="12.85546875" style="77" customWidth="1"/>
    <col min="15095" max="15095" width="9.140625" style="77"/>
    <col min="15096" max="15096" width="12.140625" style="77" customWidth="1"/>
    <col min="15097" max="15097" width="13" style="77" customWidth="1"/>
    <col min="15098" max="15098" width="11.7109375" style="77" customWidth="1"/>
    <col min="15099" max="15099" width="11.28515625" style="77" customWidth="1"/>
    <col min="15100" max="15100" width="14.85546875" style="77" customWidth="1"/>
    <col min="15101" max="15101" width="16.42578125" style="77" customWidth="1"/>
    <col min="15102" max="15102" width="14.85546875" style="77" customWidth="1"/>
    <col min="15103" max="15103" width="13.42578125" style="77" bestFit="1" customWidth="1"/>
    <col min="15104" max="15104" width="14.85546875" style="77" customWidth="1"/>
    <col min="15105" max="15105" width="16.5703125" style="77" customWidth="1"/>
    <col min="15106" max="15106" width="10.5703125" style="77" customWidth="1"/>
    <col min="15107" max="15107" width="12.42578125" style="77" bestFit="1" customWidth="1"/>
    <col min="15108" max="15108" width="15" style="77" bestFit="1" customWidth="1"/>
    <col min="15109" max="15110" width="18.28515625" style="77" bestFit="1" customWidth="1"/>
    <col min="15111" max="15111" width="17.42578125" style="77" bestFit="1" customWidth="1"/>
    <col min="15112" max="15112" width="12.85546875" style="77" bestFit="1" customWidth="1"/>
    <col min="15113" max="15113" width="12.28515625" style="77" bestFit="1" customWidth="1"/>
    <col min="15114" max="15341" width="9.140625" style="77"/>
    <col min="15342" max="15343" width="10" style="77" customWidth="1"/>
    <col min="15344" max="15344" width="7" style="77" customWidth="1"/>
    <col min="15345" max="15345" width="24" style="77" customWidth="1"/>
    <col min="15346" max="15346" width="12.85546875" style="77" customWidth="1"/>
    <col min="15347" max="15348" width="13.140625" style="77" customWidth="1"/>
    <col min="15349" max="15349" width="9.140625" style="77"/>
    <col min="15350" max="15350" width="12.85546875" style="77" customWidth="1"/>
    <col min="15351" max="15351" width="9.140625" style="77"/>
    <col min="15352" max="15352" width="12.140625" style="77" customWidth="1"/>
    <col min="15353" max="15353" width="13" style="77" customWidth="1"/>
    <col min="15354" max="15354" width="11.7109375" style="77" customWidth="1"/>
    <col min="15355" max="15355" width="11.28515625" style="77" customWidth="1"/>
    <col min="15356" max="15356" width="14.85546875" style="77" customWidth="1"/>
    <col min="15357" max="15357" width="16.42578125" style="77" customWidth="1"/>
    <col min="15358" max="15358" width="14.85546875" style="77" customWidth="1"/>
    <col min="15359" max="15359" width="13.42578125" style="77" bestFit="1" customWidth="1"/>
    <col min="15360" max="15360" width="14.85546875" style="77" customWidth="1"/>
    <col min="15361" max="15361" width="16.5703125" style="77" customWidth="1"/>
    <col min="15362" max="15362" width="10.5703125" style="77" customWidth="1"/>
    <col min="15363" max="15363" width="12.42578125" style="77" bestFit="1" customWidth="1"/>
    <col min="15364" max="15364" width="15" style="77" bestFit="1" customWidth="1"/>
    <col min="15365" max="15366" width="18.28515625" style="77" bestFit="1" customWidth="1"/>
    <col min="15367" max="15367" width="17.42578125" style="77" bestFit="1" customWidth="1"/>
    <col min="15368" max="15368" width="12.85546875" style="77" bestFit="1" customWidth="1"/>
    <col min="15369" max="15369" width="12.28515625" style="77" bestFit="1" customWidth="1"/>
    <col min="15370" max="15597" width="9.140625" style="77"/>
    <col min="15598" max="15599" width="10" style="77" customWidth="1"/>
    <col min="15600" max="15600" width="7" style="77" customWidth="1"/>
    <col min="15601" max="15601" width="24" style="77" customWidth="1"/>
    <col min="15602" max="15602" width="12.85546875" style="77" customWidth="1"/>
    <col min="15603" max="15604" width="13.140625" style="77" customWidth="1"/>
    <col min="15605" max="15605" width="9.140625" style="77"/>
    <col min="15606" max="15606" width="12.85546875" style="77" customWidth="1"/>
    <col min="15607" max="15607" width="9.140625" style="77"/>
    <col min="15608" max="15608" width="12.140625" style="77" customWidth="1"/>
    <col min="15609" max="15609" width="13" style="77" customWidth="1"/>
    <col min="15610" max="15610" width="11.7109375" style="77" customWidth="1"/>
    <col min="15611" max="15611" width="11.28515625" style="77" customWidth="1"/>
    <col min="15612" max="15612" width="14.85546875" style="77" customWidth="1"/>
    <col min="15613" max="15613" width="16.42578125" style="77" customWidth="1"/>
    <col min="15614" max="15614" width="14.85546875" style="77" customWidth="1"/>
    <col min="15615" max="15615" width="13.42578125" style="77" bestFit="1" customWidth="1"/>
    <col min="15616" max="15616" width="14.85546875" style="77" customWidth="1"/>
    <col min="15617" max="15617" width="16.5703125" style="77" customWidth="1"/>
    <col min="15618" max="15618" width="10.5703125" style="77" customWidth="1"/>
    <col min="15619" max="15619" width="12.42578125" style="77" bestFit="1" customWidth="1"/>
    <col min="15620" max="15620" width="15" style="77" bestFit="1" customWidth="1"/>
    <col min="15621" max="15622" width="18.28515625" style="77" bestFit="1" customWidth="1"/>
    <col min="15623" max="15623" width="17.42578125" style="77" bestFit="1" customWidth="1"/>
    <col min="15624" max="15624" width="12.85546875" style="77" bestFit="1" customWidth="1"/>
    <col min="15625" max="15625" width="12.28515625" style="77" bestFit="1" customWidth="1"/>
    <col min="15626" max="15853" width="9.140625" style="77"/>
    <col min="15854" max="15855" width="10" style="77" customWidth="1"/>
    <col min="15856" max="15856" width="7" style="77" customWidth="1"/>
    <col min="15857" max="15857" width="24" style="77" customWidth="1"/>
    <col min="15858" max="15858" width="12.85546875" style="77" customWidth="1"/>
    <col min="15859" max="15860" width="13.140625" style="77" customWidth="1"/>
    <col min="15861" max="15861" width="9.140625" style="77"/>
    <col min="15862" max="15862" width="12.85546875" style="77" customWidth="1"/>
    <col min="15863" max="15863" width="9.140625" style="77"/>
    <col min="15864" max="15864" width="12.140625" style="77" customWidth="1"/>
    <col min="15865" max="15865" width="13" style="77" customWidth="1"/>
    <col min="15866" max="15866" width="11.7109375" style="77" customWidth="1"/>
    <col min="15867" max="15867" width="11.28515625" style="77" customWidth="1"/>
    <col min="15868" max="15868" width="14.85546875" style="77" customWidth="1"/>
    <col min="15869" max="15869" width="16.42578125" style="77" customWidth="1"/>
    <col min="15870" max="15870" width="14.85546875" style="77" customWidth="1"/>
    <col min="15871" max="15871" width="13.42578125" style="77" bestFit="1" customWidth="1"/>
    <col min="15872" max="15872" width="14.85546875" style="77" customWidth="1"/>
    <col min="15873" max="15873" width="16.5703125" style="77" customWidth="1"/>
    <col min="15874" max="15874" width="10.5703125" style="77" customWidth="1"/>
    <col min="15875" max="15875" width="12.42578125" style="77" bestFit="1" customWidth="1"/>
    <col min="15876" max="15876" width="15" style="77" bestFit="1" customWidth="1"/>
    <col min="15877" max="15878" width="18.28515625" style="77" bestFit="1" customWidth="1"/>
    <col min="15879" max="15879" width="17.42578125" style="77" bestFit="1" customWidth="1"/>
    <col min="15880" max="15880" width="12.85546875" style="77" bestFit="1" customWidth="1"/>
    <col min="15881" max="15881" width="12.28515625" style="77" bestFit="1" customWidth="1"/>
    <col min="15882" max="16109" width="9.140625" style="77"/>
    <col min="16110" max="16111" width="10" style="77" customWidth="1"/>
    <col min="16112" max="16112" width="7" style="77" customWidth="1"/>
    <col min="16113" max="16113" width="24" style="77" customWidth="1"/>
    <col min="16114" max="16114" width="12.85546875" style="77" customWidth="1"/>
    <col min="16115" max="16116" width="13.140625" style="77" customWidth="1"/>
    <col min="16117" max="16117" width="9.140625" style="77"/>
    <col min="16118" max="16118" width="12.85546875" style="77" customWidth="1"/>
    <col min="16119" max="16119" width="9.140625" style="77"/>
    <col min="16120" max="16120" width="12.140625" style="77" customWidth="1"/>
    <col min="16121" max="16121" width="13" style="77" customWidth="1"/>
    <col min="16122" max="16122" width="11.7109375" style="77" customWidth="1"/>
    <col min="16123" max="16123" width="11.28515625" style="77" customWidth="1"/>
    <col min="16124" max="16124" width="14.85546875" style="77" customWidth="1"/>
    <col min="16125" max="16125" width="16.42578125" style="77" customWidth="1"/>
    <col min="16126" max="16126" width="14.85546875" style="77" customWidth="1"/>
    <col min="16127" max="16127" width="13.42578125" style="77" bestFit="1" customWidth="1"/>
    <col min="16128" max="16128" width="14.85546875" style="77" customWidth="1"/>
    <col min="16129" max="16129" width="16.5703125" style="77" customWidth="1"/>
    <col min="16130" max="16130" width="10.5703125" style="77" customWidth="1"/>
    <col min="16131" max="16131" width="12.42578125" style="77" bestFit="1" customWidth="1"/>
    <col min="16132" max="16132" width="15" style="77" bestFit="1" customWidth="1"/>
    <col min="16133" max="16134" width="18.28515625" style="77" bestFit="1" customWidth="1"/>
    <col min="16135" max="16135" width="17.42578125" style="77" bestFit="1" customWidth="1"/>
    <col min="16136" max="16136" width="12.85546875" style="77" bestFit="1" customWidth="1"/>
    <col min="16137" max="16137" width="12.28515625" style="77" bestFit="1" customWidth="1"/>
    <col min="16138" max="16384" width="9.140625" style="77"/>
  </cols>
  <sheetData>
    <row r="1" spans="1:17" x14ac:dyDescent="0.2">
      <c r="A1" s="75" t="s">
        <v>102</v>
      </c>
    </row>
    <row r="2" spans="1:17" x14ac:dyDescent="0.2">
      <c r="A2" s="76" t="s">
        <v>0</v>
      </c>
      <c r="J2" s="97" t="s">
        <v>103</v>
      </c>
      <c r="M2" s="371" t="s">
        <v>104</v>
      </c>
    </row>
    <row r="3" spans="1:17" x14ac:dyDescent="0.2">
      <c r="A3" s="76" t="s">
        <v>241</v>
      </c>
      <c r="J3" s="97"/>
      <c r="M3" s="371"/>
    </row>
    <row r="4" spans="1:17" x14ac:dyDescent="0.2">
      <c r="A4" s="194" t="s">
        <v>113</v>
      </c>
      <c r="B4" s="371" t="s">
        <v>242</v>
      </c>
      <c r="J4" s="194" t="s">
        <v>92</v>
      </c>
      <c r="M4" s="371" t="s">
        <v>244</v>
      </c>
    </row>
    <row r="5" spans="1:17" x14ac:dyDescent="0.2">
      <c r="A5" s="76"/>
      <c r="B5" s="76"/>
    </row>
    <row r="6" spans="1:17" x14ac:dyDescent="0.2">
      <c r="A6" s="76" t="s">
        <v>1</v>
      </c>
      <c r="B6" s="188">
        <v>2012</v>
      </c>
    </row>
    <row r="7" spans="1:17" x14ac:dyDescent="0.2">
      <c r="L7" s="92"/>
    </row>
    <row r="8" spans="1:17" s="81" customFormat="1" ht="40.700000000000003" customHeight="1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P8" s="81">
        <v>30</v>
      </c>
    </row>
    <row r="9" spans="1:17" x14ac:dyDescent="0.2">
      <c r="A9" s="203" t="s">
        <v>243</v>
      </c>
      <c r="B9" s="205">
        <v>39813</v>
      </c>
      <c r="C9" s="206">
        <v>2008</v>
      </c>
      <c r="D9" s="206">
        <v>25</v>
      </c>
      <c r="E9" s="206">
        <f>+C9+D9-1</f>
        <v>2032</v>
      </c>
      <c r="F9" s="207">
        <f>IF(D9&gt;0,1/D9,0)</f>
        <v>0.04</v>
      </c>
      <c r="G9" s="261">
        <f>16557.2+7512.28+1515.36+24022.8</f>
        <v>49607.64</v>
      </c>
      <c r="H9" s="209">
        <f>IF(+G9&gt;0,IF(+$B$6-C9+1&gt;D9,D9,+$B$6-C9+1),0)</f>
        <v>5</v>
      </c>
      <c r="I9" s="209">
        <f>IF(E9&gt;=$B$6,+D9-H9,0)</f>
        <v>20</v>
      </c>
      <c r="J9" s="222">
        <f>+G9*F9</f>
        <v>1984.3055999999999</v>
      </c>
      <c r="K9" s="222">
        <f>IF(E9&gt;=$B$6,+J9,0)</f>
        <v>1984.3055999999999</v>
      </c>
      <c r="L9" s="222">
        <f>+J9*H9</f>
        <v>9921.5280000000002</v>
      </c>
      <c r="M9" s="222">
        <f>+G9-L9</f>
        <v>39686.112000000001</v>
      </c>
      <c r="N9" s="206"/>
      <c r="O9" s="395">
        <f>+M9/M14</f>
        <v>0.66303233881904089</v>
      </c>
      <c r="P9" s="88">
        <f>+P8-H9</f>
        <v>25</v>
      </c>
      <c r="Q9" s="77">
        <f>+O9*P9</f>
        <v>16.575808470476023</v>
      </c>
    </row>
    <row r="10" spans="1:17" x14ac:dyDescent="0.2">
      <c r="A10" s="203" t="s">
        <v>243</v>
      </c>
      <c r="B10" s="205">
        <v>40178</v>
      </c>
      <c r="C10" s="206">
        <v>2009</v>
      </c>
      <c r="D10" s="206">
        <v>25</v>
      </c>
      <c r="E10" s="206">
        <f>+C10+D10-1</f>
        <v>2033</v>
      </c>
      <c r="F10" s="207">
        <f>IF(D10&gt;0,1/D10,0)</f>
        <v>0.04</v>
      </c>
      <c r="G10" s="221">
        <f>186.37+7713.44+13.28+39.43+243.89+226.35+15588.38</f>
        <v>24011.14</v>
      </c>
      <c r="H10" s="176">
        <f>IF(+G10&gt;0,IF(+$B$6-C10+1&gt;D10,D10,+$B$6-C10+1),0)</f>
        <v>4</v>
      </c>
      <c r="I10" s="209">
        <f>IF(E10&gt;=$B$6,+D10-H10,0)</f>
        <v>21</v>
      </c>
      <c r="J10" s="221">
        <f>+G10*F10</f>
        <v>960.44560000000001</v>
      </c>
      <c r="K10" s="221">
        <f>IF(E10&gt;=$B$6,+J10,0)</f>
        <v>960.44560000000001</v>
      </c>
      <c r="L10" s="221">
        <f>+J10*H10</f>
        <v>3841.7824000000001</v>
      </c>
      <c r="M10" s="220">
        <f>+G10-L10</f>
        <v>20169.357599999999</v>
      </c>
      <c r="N10" s="206"/>
      <c r="O10" s="77">
        <f>+M10/M14</f>
        <v>0.33696766118095917</v>
      </c>
      <c r="P10" s="88">
        <f>+P8-H10</f>
        <v>26</v>
      </c>
      <c r="Q10" s="77">
        <f>+O10*P10</f>
        <v>8.7611591907049391</v>
      </c>
    </row>
    <row r="11" spans="1:17" x14ac:dyDescent="0.2">
      <c r="A11" s="203" t="s">
        <v>243</v>
      </c>
      <c r="B11" s="205">
        <v>40543</v>
      </c>
      <c r="C11" s="206">
        <v>2010</v>
      </c>
      <c r="D11" s="206">
        <v>25</v>
      </c>
      <c r="E11" s="206">
        <f>+C11+D11-1</f>
        <v>2034</v>
      </c>
      <c r="F11" s="207">
        <f>IF(D11&gt;0,1/D11,0)</f>
        <v>0.04</v>
      </c>
      <c r="G11" s="221">
        <v>0</v>
      </c>
      <c r="H11" s="176">
        <f>IF(+G11&gt;0,IF(+$B$6-C11+1&gt;D11,D11,+$B$6-C11+1),0)</f>
        <v>0</v>
      </c>
      <c r="I11" s="209">
        <f>IF(E11&gt;=$B$6,+D11-H11,0)</f>
        <v>25</v>
      </c>
      <c r="J11" s="221">
        <f>+G11*F11</f>
        <v>0</v>
      </c>
      <c r="K11" s="221">
        <f>IF(E11&gt;=$B$6,+J11,0)</f>
        <v>0</v>
      </c>
      <c r="L11" s="221">
        <f>+J11*H11</f>
        <v>0</v>
      </c>
      <c r="M11" s="220">
        <f>+G11-L11</f>
        <v>0</v>
      </c>
      <c r="N11" s="206"/>
    </row>
    <row r="12" spans="1:17" x14ac:dyDescent="0.2">
      <c r="A12" s="203" t="s">
        <v>243</v>
      </c>
      <c r="B12" s="205">
        <v>40908</v>
      </c>
      <c r="C12" s="206">
        <v>2011</v>
      </c>
      <c r="D12" s="206">
        <v>25</v>
      </c>
      <c r="E12" s="206">
        <f>+C12+D12-1</f>
        <v>2035</v>
      </c>
      <c r="F12" s="207">
        <f>IF(D12&gt;0,1/D12,0)</f>
        <v>0.04</v>
      </c>
      <c r="G12" s="221">
        <v>0</v>
      </c>
      <c r="H12" s="176">
        <f>IF(+G12&gt;0,IF(+$B$6-C12+1&gt;D12,D12,+$B$6-C12+1),0)</f>
        <v>0</v>
      </c>
      <c r="I12" s="209">
        <f>IF(E12&gt;=$B$6,+D12-H12,0)</f>
        <v>25</v>
      </c>
      <c r="J12" s="221">
        <f>+G12*F12/2</f>
        <v>0</v>
      </c>
      <c r="K12" s="221">
        <f>IF(E12&gt;=$B$6,+J12,0)</f>
        <v>0</v>
      </c>
      <c r="L12" s="221">
        <f>+J12*H12</f>
        <v>0</v>
      </c>
      <c r="M12" s="220">
        <f>+G12-L12</f>
        <v>0</v>
      </c>
      <c r="N12" s="206"/>
    </row>
    <row r="13" spans="1:17" x14ac:dyDescent="0.2">
      <c r="A13" s="148"/>
      <c r="B13" s="205"/>
      <c r="C13" s="206"/>
      <c r="D13" s="206"/>
      <c r="E13" s="206"/>
      <c r="F13" s="207"/>
      <c r="G13" s="221"/>
      <c r="H13" s="176"/>
      <c r="I13" s="266"/>
      <c r="J13" s="221"/>
      <c r="K13" s="221"/>
      <c r="L13" s="221"/>
      <c r="M13" s="220"/>
      <c r="N13" s="206"/>
    </row>
    <row r="14" spans="1:17" x14ac:dyDescent="0.2">
      <c r="A14" s="148" t="s">
        <v>100</v>
      </c>
      <c r="B14" s="265"/>
      <c r="C14" s="206"/>
      <c r="D14" s="206"/>
      <c r="E14" s="206"/>
      <c r="F14" s="207"/>
      <c r="G14" s="223">
        <f>SUM(G9:G13)</f>
        <v>73618.78</v>
      </c>
      <c r="H14" s="241"/>
      <c r="I14" s="261"/>
      <c r="J14" s="261"/>
      <c r="K14" s="230">
        <f>SUM(K9:K13)</f>
        <v>2944.7511999999997</v>
      </c>
      <c r="L14" s="223">
        <f>SUM(L9:L13)</f>
        <v>13763.3104</v>
      </c>
      <c r="M14" s="242">
        <f>SUM(M9:M13)</f>
        <v>59855.469599999997</v>
      </c>
      <c r="N14" s="206"/>
      <c r="Q14" s="77">
        <f>+Q10+Q9</f>
        <v>25.336967661180964</v>
      </c>
    </row>
    <row r="15" spans="1:17" x14ac:dyDescent="0.2">
      <c r="G15" s="252"/>
      <c r="H15" s="251"/>
      <c r="I15" s="252"/>
      <c r="J15" s="252"/>
      <c r="K15" s="252"/>
      <c r="L15" s="252"/>
      <c r="M15" s="252"/>
    </row>
    <row r="16" spans="1:17" x14ac:dyDescent="0.2">
      <c r="F16" s="100"/>
      <c r="G16" s="250"/>
      <c r="H16" s="258"/>
      <c r="I16" s="250"/>
      <c r="J16" s="250"/>
      <c r="K16" s="250"/>
      <c r="L16" s="250">
        <v>10818.55</v>
      </c>
      <c r="M16" s="252"/>
    </row>
    <row r="17" spans="6:13" x14ac:dyDescent="0.2">
      <c r="F17" s="247"/>
      <c r="G17" s="250"/>
      <c r="H17" s="258"/>
      <c r="I17" s="250"/>
      <c r="J17" s="250"/>
      <c r="K17" s="250"/>
      <c r="L17" s="250"/>
      <c r="M17" s="252"/>
    </row>
    <row r="18" spans="6:13" x14ac:dyDescent="0.2">
      <c r="F18" s="247"/>
      <c r="G18" s="250"/>
      <c r="H18" s="258"/>
      <c r="I18" s="250"/>
      <c r="J18" s="250"/>
      <c r="K18" s="250"/>
      <c r="L18" s="374">
        <f>+L14-L16</f>
        <v>2944.760400000001</v>
      </c>
      <c r="M18" s="252"/>
    </row>
    <row r="19" spans="6:13" x14ac:dyDescent="0.2">
      <c r="G19" s="252"/>
      <c r="H19" s="251"/>
      <c r="I19" s="252"/>
      <c r="J19" s="252"/>
      <c r="K19" s="252"/>
      <c r="L19" s="252"/>
    </row>
    <row r="22" spans="6:13" x14ac:dyDescent="0.2">
      <c r="F22" s="378"/>
      <c r="G22" s="112"/>
      <c r="H22" s="111"/>
      <c r="I22" s="112"/>
    </row>
  </sheetData>
  <printOptions horizontalCentered="1"/>
  <pageMargins left="0.39370078740157483" right="0.39370078740157483" top="0.39370078740157483" bottom="0.78740157480314965" header="0" footer="0.59055118110236227"/>
  <pageSetup scale="75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workbookViewId="0">
      <selection activeCell="F17" sqref="F17:H20"/>
    </sheetView>
  </sheetViews>
  <sheetFormatPr defaultRowHeight="12.75" x14ac:dyDescent="0.2"/>
  <cols>
    <col min="1" max="1" width="26.28515625" style="300" customWidth="1"/>
    <col min="2" max="2" width="10.28515625" style="301" customWidth="1"/>
    <col min="3" max="3" width="9" style="301" customWidth="1"/>
    <col min="4" max="4" width="9.42578125" style="301" bestFit="1" customWidth="1"/>
    <col min="5" max="5" width="10.140625" style="301" bestFit="1" customWidth="1"/>
    <col min="6" max="6" width="6.42578125" style="301" customWidth="1"/>
    <col min="7" max="7" width="16.42578125" style="302" bestFit="1" customWidth="1"/>
    <col min="8" max="8" width="12" style="69" bestFit="1" customWidth="1"/>
    <col min="9" max="9" width="9.7109375" style="301" bestFit="1" customWidth="1"/>
    <col min="10" max="10" width="10.28515625" style="69" bestFit="1" customWidth="1"/>
    <col min="11" max="11" width="8" style="69" bestFit="1" customWidth="1"/>
    <col min="12" max="12" width="10" style="69" customWidth="1"/>
    <col min="13" max="13" width="11" style="69" customWidth="1"/>
    <col min="14" max="14" width="12.42578125" style="69" customWidth="1"/>
    <col min="15" max="15" width="9" style="301" bestFit="1" customWidth="1"/>
    <col min="16" max="250" width="9" style="69"/>
    <col min="251" max="251" width="14" style="69" customWidth="1"/>
    <col min="252" max="252" width="7.7109375" style="69" customWidth="1"/>
    <col min="253" max="253" width="6.140625" style="69" customWidth="1"/>
    <col min="254" max="254" width="24" style="69" customWidth="1"/>
    <col min="255" max="255" width="12.85546875" style="69" customWidth="1"/>
    <col min="256" max="256" width="15" style="69" bestFit="1" customWidth="1"/>
    <col min="257" max="257" width="13.140625" style="69" customWidth="1"/>
    <col min="258" max="258" width="10.85546875" style="69" customWidth="1"/>
    <col min="259" max="259" width="14.42578125" style="69" bestFit="1" customWidth="1"/>
    <col min="260" max="260" width="11" style="69" bestFit="1" customWidth="1"/>
    <col min="261" max="261" width="20" style="69" customWidth="1"/>
    <col min="262" max="263" width="13.140625" style="69" customWidth="1"/>
    <col min="264" max="264" width="13.85546875" style="69" bestFit="1" customWidth="1"/>
    <col min="265" max="265" width="10.7109375" style="69" customWidth="1"/>
    <col min="266" max="266" width="11.42578125" style="69" customWidth="1"/>
    <col min="267" max="267" width="15.140625" style="69" customWidth="1"/>
    <col min="268" max="268" width="11.42578125" style="69" customWidth="1"/>
    <col min="269" max="269" width="14.85546875" style="69" customWidth="1"/>
    <col min="270" max="270" width="20" style="69" bestFit="1" customWidth="1"/>
    <col min="271" max="271" width="12.28515625" style="69" bestFit="1" customWidth="1"/>
    <col min="272" max="506" width="9" style="69"/>
    <col min="507" max="507" width="14" style="69" customWidth="1"/>
    <col min="508" max="508" width="7.7109375" style="69" customWidth="1"/>
    <col min="509" max="509" width="6.140625" style="69" customWidth="1"/>
    <col min="510" max="510" width="24" style="69" customWidth="1"/>
    <col min="511" max="511" width="12.85546875" style="69" customWidth="1"/>
    <col min="512" max="512" width="15" style="69" bestFit="1" customWidth="1"/>
    <col min="513" max="513" width="13.140625" style="69" customWidth="1"/>
    <col min="514" max="514" width="10.85546875" style="69" customWidth="1"/>
    <col min="515" max="515" width="14.42578125" style="69" bestFit="1" customWidth="1"/>
    <col min="516" max="516" width="11" style="69" bestFit="1" customWidth="1"/>
    <col min="517" max="517" width="20" style="69" customWidth="1"/>
    <col min="518" max="519" width="13.140625" style="69" customWidth="1"/>
    <col min="520" max="520" width="13.85546875" style="69" bestFit="1" customWidth="1"/>
    <col min="521" max="521" width="10.7109375" style="69" customWidth="1"/>
    <col min="522" max="522" width="11.42578125" style="69" customWidth="1"/>
    <col min="523" max="523" width="15.140625" style="69" customWidth="1"/>
    <col min="524" max="524" width="11.42578125" style="69" customWidth="1"/>
    <col min="525" max="525" width="14.85546875" style="69" customWidth="1"/>
    <col min="526" max="526" width="20" style="69" bestFit="1" customWidth="1"/>
    <col min="527" max="527" width="12.28515625" style="69" bestFit="1" customWidth="1"/>
    <col min="528" max="762" width="9" style="69"/>
    <col min="763" max="763" width="14" style="69" customWidth="1"/>
    <col min="764" max="764" width="7.7109375" style="69" customWidth="1"/>
    <col min="765" max="765" width="6.140625" style="69" customWidth="1"/>
    <col min="766" max="766" width="24" style="69" customWidth="1"/>
    <col min="767" max="767" width="12.85546875" style="69" customWidth="1"/>
    <col min="768" max="768" width="15" style="69" bestFit="1" customWidth="1"/>
    <col min="769" max="769" width="13.140625" style="69" customWidth="1"/>
    <col min="770" max="770" width="10.85546875" style="69" customWidth="1"/>
    <col min="771" max="771" width="14.42578125" style="69" bestFit="1" customWidth="1"/>
    <col min="772" max="772" width="11" style="69" bestFit="1" customWidth="1"/>
    <col min="773" max="773" width="20" style="69" customWidth="1"/>
    <col min="774" max="775" width="13.140625" style="69" customWidth="1"/>
    <col min="776" max="776" width="13.85546875" style="69" bestFit="1" customWidth="1"/>
    <col min="777" max="777" width="10.7109375" style="69" customWidth="1"/>
    <col min="778" max="778" width="11.42578125" style="69" customWidth="1"/>
    <col min="779" max="779" width="15.140625" style="69" customWidth="1"/>
    <col min="780" max="780" width="11.42578125" style="69" customWidth="1"/>
    <col min="781" max="781" width="14.85546875" style="69" customWidth="1"/>
    <col min="782" max="782" width="20" style="69" bestFit="1" customWidth="1"/>
    <col min="783" max="783" width="12.28515625" style="69" bestFit="1" customWidth="1"/>
    <col min="784" max="1018" width="9" style="69"/>
    <col min="1019" max="1019" width="14" style="69" customWidth="1"/>
    <col min="1020" max="1020" width="7.7109375" style="69" customWidth="1"/>
    <col min="1021" max="1021" width="6.140625" style="69" customWidth="1"/>
    <col min="1022" max="1022" width="24" style="69" customWidth="1"/>
    <col min="1023" max="1023" width="12.85546875" style="69" customWidth="1"/>
    <col min="1024" max="1024" width="15" style="69" bestFit="1" customWidth="1"/>
    <col min="1025" max="1025" width="13.140625" style="69" customWidth="1"/>
    <col min="1026" max="1026" width="10.85546875" style="69" customWidth="1"/>
    <col min="1027" max="1027" width="14.42578125" style="69" bestFit="1" customWidth="1"/>
    <col min="1028" max="1028" width="11" style="69" bestFit="1" customWidth="1"/>
    <col min="1029" max="1029" width="20" style="69" customWidth="1"/>
    <col min="1030" max="1031" width="13.140625" style="69" customWidth="1"/>
    <col min="1032" max="1032" width="13.85546875" style="69" bestFit="1" customWidth="1"/>
    <col min="1033" max="1033" width="10.7109375" style="69" customWidth="1"/>
    <col min="1034" max="1034" width="11.42578125" style="69" customWidth="1"/>
    <col min="1035" max="1035" width="15.140625" style="69" customWidth="1"/>
    <col min="1036" max="1036" width="11.42578125" style="69" customWidth="1"/>
    <col min="1037" max="1037" width="14.85546875" style="69" customWidth="1"/>
    <col min="1038" max="1038" width="20" style="69" bestFit="1" customWidth="1"/>
    <col min="1039" max="1039" width="12.28515625" style="69" bestFit="1" customWidth="1"/>
    <col min="1040" max="1274" width="9" style="69"/>
    <col min="1275" max="1275" width="14" style="69" customWidth="1"/>
    <col min="1276" max="1276" width="7.7109375" style="69" customWidth="1"/>
    <col min="1277" max="1277" width="6.140625" style="69" customWidth="1"/>
    <col min="1278" max="1278" width="24" style="69" customWidth="1"/>
    <col min="1279" max="1279" width="12.85546875" style="69" customWidth="1"/>
    <col min="1280" max="1280" width="15" style="69" bestFit="1" customWidth="1"/>
    <col min="1281" max="1281" width="13.140625" style="69" customWidth="1"/>
    <col min="1282" max="1282" width="10.85546875" style="69" customWidth="1"/>
    <col min="1283" max="1283" width="14.42578125" style="69" bestFit="1" customWidth="1"/>
    <col min="1284" max="1284" width="11" style="69" bestFit="1" customWidth="1"/>
    <col min="1285" max="1285" width="20" style="69" customWidth="1"/>
    <col min="1286" max="1287" width="13.140625" style="69" customWidth="1"/>
    <col min="1288" max="1288" width="13.85546875" style="69" bestFit="1" customWidth="1"/>
    <col min="1289" max="1289" width="10.7109375" style="69" customWidth="1"/>
    <col min="1290" max="1290" width="11.42578125" style="69" customWidth="1"/>
    <col min="1291" max="1291" width="15.140625" style="69" customWidth="1"/>
    <col min="1292" max="1292" width="11.42578125" style="69" customWidth="1"/>
    <col min="1293" max="1293" width="14.85546875" style="69" customWidth="1"/>
    <col min="1294" max="1294" width="20" style="69" bestFit="1" customWidth="1"/>
    <col min="1295" max="1295" width="12.28515625" style="69" bestFit="1" customWidth="1"/>
    <col min="1296" max="1530" width="9" style="69"/>
    <col min="1531" max="1531" width="14" style="69" customWidth="1"/>
    <col min="1532" max="1532" width="7.7109375" style="69" customWidth="1"/>
    <col min="1533" max="1533" width="6.140625" style="69" customWidth="1"/>
    <col min="1534" max="1534" width="24" style="69" customWidth="1"/>
    <col min="1535" max="1535" width="12.85546875" style="69" customWidth="1"/>
    <col min="1536" max="1536" width="15" style="69" bestFit="1" customWidth="1"/>
    <col min="1537" max="1537" width="13.140625" style="69" customWidth="1"/>
    <col min="1538" max="1538" width="10.85546875" style="69" customWidth="1"/>
    <col min="1539" max="1539" width="14.42578125" style="69" bestFit="1" customWidth="1"/>
    <col min="1540" max="1540" width="11" style="69" bestFit="1" customWidth="1"/>
    <col min="1541" max="1541" width="20" style="69" customWidth="1"/>
    <col min="1542" max="1543" width="13.140625" style="69" customWidth="1"/>
    <col min="1544" max="1544" width="13.85546875" style="69" bestFit="1" customWidth="1"/>
    <col min="1545" max="1545" width="10.7109375" style="69" customWidth="1"/>
    <col min="1546" max="1546" width="11.42578125" style="69" customWidth="1"/>
    <col min="1547" max="1547" width="15.140625" style="69" customWidth="1"/>
    <col min="1548" max="1548" width="11.42578125" style="69" customWidth="1"/>
    <col min="1549" max="1549" width="14.85546875" style="69" customWidth="1"/>
    <col min="1550" max="1550" width="20" style="69" bestFit="1" customWidth="1"/>
    <col min="1551" max="1551" width="12.28515625" style="69" bestFit="1" customWidth="1"/>
    <col min="1552" max="1786" width="9" style="69"/>
    <col min="1787" max="1787" width="14" style="69" customWidth="1"/>
    <col min="1788" max="1788" width="7.7109375" style="69" customWidth="1"/>
    <col min="1789" max="1789" width="6.140625" style="69" customWidth="1"/>
    <col min="1790" max="1790" width="24" style="69" customWidth="1"/>
    <col min="1791" max="1791" width="12.85546875" style="69" customWidth="1"/>
    <col min="1792" max="1792" width="15" style="69" bestFit="1" customWidth="1"/>
    <col min="1793" max="1793" width="13.140625" style="69" customWidth="1"/>
    <col min="1794" max="1794" width="10.85546875" style="69" customWidth="1"/>
    <col min="1795" max="1795" width="14.42578125" style="69" bestFit="1" customWidth="1"/>
    <col min="1796" max="1796" width="11" style="69" bestFit="1" customWidth="1"/>
    <col min="1797" max="1797" width="20" style="69" customWidth="1"/>
    <col min="1798" max="1799" width="13.140625" style="69" customWidth="1"/>
    <col min="1800" max="1800" width="13.85546875" style="69" bestFit="1" customWidth="1"/>
    <col min="1801" max="1801" width="10.7109375" style="69" customWidth="1"/>
    <col min="1802" max="1802" width="11.42578125" style="69" customWidth="1"/>
    <col min="1803" max="1803" width="15.140625" style="69" customWidth="1"/>
    <col min="1804" max="1804" width="11.42578125" style="69" customWidth="1"/>
    <col min="1805" max="1805" width="14.85546875" style="69" customWidth="1"/>
    <col min="1806" max="1806" width="20" style="69" bestFit="1" customWidth="1"/>
    <col min="1807" max="1807" width="12.28515625" style="69" bestFit="1" customWidth="1"/>
    <col min="1808" max="2042" width="9" style="69"/>
    <col min="2043" max="2043" width="14" style="69" customWidth="1"/>
    <col min="2044" max="2044" width="7.7109375" style="69" customWidth="1"/>
    <col min="2045" max="2045" width="6.140625" style="69" customWidth="1"/>
    <col min="2046" max="2046" width="24" style="69" customWidth="1"/>
    <col min="2047" max="2047" width="12.85546875" style="69" customWidth="1"/>
    <col min="2048" max="2048" width="15" style="69" bestFit="1" customWidth="1"/>
    <col min="2049" max="2049" width="13.140625" style="69" customWidth="1"/>
    <col min="2050" max="2050" width="10.85546875" style="69" customWidth="1"/>
    <col min="2051" max="2051" width="14.42578125" style="69" bestFit="1" customWidth="1"/>
    <col min="2052" max="2052" width="11" style="69" bestFit="1" customWidth="1"/>
    <col min="2053" max="2053" width="20" style="69" customWidth="1"/>
    <col min="2054" max="2055" width="13.140625" style="69" customWidth="1"/>
    <col min="2056" max="2056" width="13.85546875" style="69" bestFit="1" customWidth="1"/>
    <col min="2057" max="2057" width="10.7109375" style="69" customWidth="1"/>
    <col min="2058" max="2058" width="11.42578125" style="69" customWidth="1"/>
    <col min="2059" max="2059" width="15.140625" style="69" customWidth="1"/>
    <col min="2060" max="2060" width="11.42578125" style="69" customWidth="1"/>
    <col min="2061" max="2061" width="14.85546875" style="69" customWidth="1"/>
    <col min="2062" max="2062" width="20" style="69" bestFit="1" customWidth="1"/>
    <col min="2063" max="2063" width="12.28515625" style="69" bestFit="1" customWidth="1"/>
    <col min="2064" max="2298" width="9" style="69"/>
    <col min="2299" max="2299" width="14" style="69" customWidth="1"/>
    <col min="2300" max="2300" width="7.7109375" style="69" customWidth="1"/>
    <col min="2301" max="2301" width="6.140625" style="69" customWidth="1"/>
    <col min="2302" max="2302" width="24" style="69" customWidth="1"/>
    <col min="2303" max="2303" width="12.85546875" style="69" customWidth="1"/>
    <col min="2304" max="2304" width="15" style="69" bestFit="1" customWidth="1"/>
    <col min="2305" max="2305" width="13.140625" style="69" customWidth="1"/>
    <col min="2306" max="2306" width="10.85546875" style="69" customWidth="1"/>
    <col min="2307" max="2307" width="14.42578125" style="69" bestFit="1" customWidth="1"/>
    <col min="2308" max="2308" width="11" style="69" bestFit="1" customWidth="1"/>
    <col min="2309" max="2309" width="20" style="69" customWidth="1"/>
    <col min="2310" max="2311" width="13.140625" style="69" customWidth="1"/>
    <col min="2312" max="2312" width="13.85546875" style="69" bestFit="1" customWidth="1"/>
    <col min="2313" max="2313" width="10.7109375" style="69" customWidth="1"/>
    <col min="2314" max="2314" width="11.42578125" style="69" customWidth="1"/>
    <col min="2315" max="2315" width="15.140625" style="69" customWidth="1"/>
    <col min="2316" max="2316" width="11.42578125" style="69" customWidth="1"/>
    <col min="2317" max="2317" width="14.85546875" style="69" customWidth="1"/>
    <col min="2318" max="2318" width="20" style="69" bestFit="1" customWidth="1"/>
    <col min="2319" max="2319" width="12.28515625" style="69" bestFit="1" customWidth="1"/>
    <col min="2320" max="2554" width="9" style="69"/>
    <col min="2555" max="2555" width="14" style="69" customWidth="1"/>
    <col min="2556" max="2556" width="7.7109375" style="69" customWidth="1"/>
    <col min="2557" max="2557" width="6.140625" style="69" customWidth="1"/>
    <col min="2558" max="2558" width="24" style="69" customWidth="1"/>
    <col min="2559" max="2559" width="12.85546875" style="69" customWidth="1"/>
    <col min="2560" max="2560" width="15" style="69" bestFit="1" customWidth="1"/>
    <col min="2561" max="2561" width="13.140625" style="69" customWidth="1"/>
    <col min="2562" max="2562" width="10.85546875" style="69" customWidth="1"/>
    <col min="2563" max="2563" width="14.42578125" style="69" bestFit="1" customWidth="1"/>
    <col min="2564" max="2564" width="11" style="69" bestFit="1" customWidth="1"/>
    <col min="2565" max="2565" width="20" style="69" customWidth="1"/>
    <col min="2566" max="2567" width="13.140625" style="69" customWidth="1"/>
    <col min="2568" max="2568" width="13.85546875" style="69" bestFit="1" customWidth="1"/>
    <col min="2569" max="2569" width="10.7109375" style="69" customWidth="1"/>
    <col min="2570" max="2570" width="11.42578125" style="69" customWidth="1"/>
    <col min="2571" max="2571" width="15.140625" style="69" customWidth="1"/>
    <col min="2572" max="2572" width="11.42578125" style="69" customWidth="1"/>
    <col min="2573" max="2573" width="14.85546875" style="69" customWidth="1"/>
    <col min="2574" max="2574" width="20" style="69" bestFit="1" customWidth="1"/>
    <col min="2575" max="2575" width="12.28515625" style="69" bestFit="1" customWidth="1"/>
    <col min="2576" max="2810" width="9" style="69"/>
    <col min="2811" max="2811" width="14" style="69" customWidth="1"/>
    <col min="2812" max="2812" width="7.7109375" style="69" customWidth="1"/>
    <col min="2813" max="2813" width="6.140625" style="69" customWidth="1"/>
    <col min="2814" max="2814" width="24" style="69" customWidth="1"/>
    <col min="2815" max="2815" width="12.85546875" style="69" customWidth="1"/>
    <col min="2816" max="2816" width="15" style="69" bestFit="1" customWidth="1"/>
    <col min="2817" max="2817" width="13.140625" style="69" customWidth="1"/>
    <col min="2818" max="2818" width="10.85546875" style="69" customWidth="1"/>
    <col min="2819" max="2819" width="14.42578125" style="69" bestFit="1" customWidth="1"/>
    <col min="2820" max="2820" width="11" style="69" bestFit="1" customWidth="1"/>
    <col min="2821" max="2821" width="20" style="69" customWidth="1"/>
    <col min="2822" max="2823" width="13.140625" style="69" customWidth="1"/>
    <col min="2824" max="2824" width="13.85546875" style="69" bestFit="1" customWidth="1"/>
    <col min="2825" max="2825" width="10.7109375" style="69" customWidth="1"/>
    <col min="2826" max="2826" width="11.42578125" style="69" customWidth="1"/>
    <col min="2827" max="2827" width="15.140625" style="69" customWidth="1"/>
    <col min="2828" max="2828" width="11.42578125" style="69" customWidth="1"/>
    <col min="2829" max="2829" width="14.85546875" style="69" customWidth="1"/>
    <col min="2830" max="2830" width="20" style="69" bestFit="1" customWidth="1"/>
    <col min="2831" max="2831" width="12.28515625" style="69" bestFit="1" customWidth="1"/>
    <col min="2832" max="3066" width="9" style="69"/>
    <col min="3067" max="3067" width="14" style="69" customWidth="1"/>
    <col min="3068" max="3068" width="7.7109375" style="69" customWidth="1"/>
    <col min="3069" max="3069" width="6.140625" style="69" customWidth="1"/>
    <col min="3070" max="3070" width="24" style="69" customWidth="1"/>
    <col min="3071" max="3071" width="12.85546875" style="69" customWidth="1"/>
    <col min="3072" max="3072" width="15" style="69" bestFit="1" customWidth="1"/>
    <col min="3073" max="3073" width="13.140625" style="69" customWidth="1"/>
    <col min="3074" max="3074" width="10.85546875" style="69" customWidth="1"/>
    <col min="3075" max="3075" width="14.42578125" style="69" bestFit="1" customWidth="1"/>
    <col min="3076" max="3076" width="11" style="69" bestFit="1" customWidth="1"/>
    <col min="3077" max="3077" width="20" style="69" customWidth="1"/>
    <col min="3078" max="3079" width="13.140625" style="69" customWidth="1"/>
    <col min="3080" max="3080" width="13.85546875" style="69" bestFit="1" customWidth="1"/>
    <col min="3081" max="3081" width="10.7109375" style="69" customWidth="1"/>
    <col min="3082" max="3082" width="11.42578125" style="69" customWidth="1"/>
    <col min="3083" max="3083" width="15.140625" style="69" customWidth="1"/>
    <col min="3084" max="3084" width="11.42578125" style="69" customWidth="1"/>
    <col min="3085" max="3085" width="14.85546875" style="69" customWidth="1"/>
    <col min="3086" max="3086" width="20" style="69" bestFit="1" customWidth="1"/>
    <col min="3087" max="3087" width="12.28515625" style="69" bestFit="1" customWidth="1"/>
    <col min="3088" max="3322" width="9" style="69"/>
    <col min="3323" max="3323" width="14" style="69" customWidth="1"/>
    <col min="3324" max="3324" width="7.7109375" style="69" customWidth="1"/>
    <col min="3325" max="3325" width="6.140625" style="69" customWidth="1"/>
    <col min="3326" max="3326" width="24" style="69" customWidth="1"/>
    <col min="3327" max="3327" width="12.85546875" style="69" customWidth="1"/>
    <col min="3328" max="3328" width="15" style="69" bestFit="1" customWidth="1"/>
    <col min="3329" max="3329" width="13.140625" style="69" customWidth="1"/>
    <col min="3330" max="3330" width="10.85546875" style="69" customWidth="1"/>
    <col min="3331" max="3331" width="14.42578125" style="69" bestFit="1" customWidth="1"/>
    <col min="3332" max="3332" width="11" style="69" bestFit="1" customWidth="1"/>
    <col min="3333" max="3333" width="20" style="69" customWidth="1"/>
    <col min="3334" max="3335" width="13.140625" style="69" customWidth="1"/>
    <col min="3336" max="3336" width="13.85546875" style="69" bestFit="1" customWidth="1"/>
    <col min="3337" max="3337" width="10.7109375" style="69" customWidth="1"/>
    <col min="3338" max="3338" width="11.42578125" style="69" customWidth="1"/>
    <col min="3339" max="3339" width="15.140625" style="69" customWidth="1"/>
    <col min="3340" max="3340" width="11.42578125" style="69" customWidth="1"/>
    <col min="3341" max="3341" width="14.85546875" style="69" customWidth="1"/>
    <col min="3342" max="3342" width="20" style="69" bestFit="1" customWidth="1"/>
    <col min="3343" max="3343" width="12.28515625" style="69" bestFit="1" customWidth="1"/>
    <col min="3344" max="3578" width="9" style="69"/>
    <col min="3579" max="3579" width="14" style="69" customWidth="1"/>
    <col min="3580" max="3580" width="7.7109375" style="69" customWidth="1"/>
    <col min="3581" max="3581" width="6.140625" style="69" customWidth="1"/>
    <col min="3582" max="3582" width="24" style="69" customWidth="1"/>
    <col min="3583" max="3583" width="12.85546875" style="69" customWidth="1"/>
    <col min="3584" max="3584" width="15" style="69" bestFit="1" customWidth="1"/>
    <col min="3585" max="3585" width="13.140625" style="69" customWidth="1"/>
    <col min="3586" max="3586" width="10.85546875" style="69" customWidth="1"/>
    <col min="3587" max="3587" width="14.42578125" style="69" bestFit="1" customWidth="1"/>
    <col min="3588" max="3588" width="11" style="69" bestFit="1" customWidth="1"/>
    <col min="3589" max="3589" width="20" style="69" customWidth="1"/>
    <col min="3590" max="3591" width="13.140625" style="69" customWidth="1"/>
    <col min="3592" max="3592" width="13.85546875" style="69" bestFit="1" customWidth="1"/>
    <col min="3593" max="3593" width="10.7109375" style="69" customWidth="1"/>
    <col min="3594" max="3594" width="11.42578125" style="69" customWidth="1"/>
    <col min="3595" max="3595" width="15.140625" style="69" customWidth="1"/>
    <col min="3596" max="3596" width="11.42578125" style="69" customWidth="1"/>
    <col min="3597" max="3597" width="14.85546875" style="69" customWidth="1"/>
    <col min="3598" max="3598" width="20" style="69" bestFit="1" customWidth="1"/>
    <col min="3599" max="3599" width="12.28515625" style="69" bestFit="1" customWidth="1"/>
    <col min="3600" max="3834" width="9" style="69"/>
    <col min="3835" max="3835" width="14" style="69" customWidth="1"/>
    <col min="3836" max="3836" width="7.7109375" style="69" customWidth="1"/>
    <col min="3837" max="3837" width="6.140625" style="69" customWidth="1"/>
    <col min="3838" max="3838" width="24" style="69" customWidth="1"/>
    <col min="3839" max="3839" width="12.85546875" style="69" customWidth="1"/>
    <col min="3840" max="3840" width="15" style="69" bestFit="1" customWidth="1"/>
    <col min="3841" max="3841" width="13.140625" style="69" customWidth="1"/>
    <col min="3842" max="3842" width="10.85546875" style="69" customWidth="1"/>
    <col min="3843" max="3843" width="14.42578125" style="69" bestFit="1" customWidth="1"/>
    <col min="3844" max="3844" width="11" style="69" bestFit="1" customWidth="1"/>
    <col min="3845" max="3845" width="20" style="69" customWidth="1"/>
    <col min="3846" max="3847" width="13.140625" style="69" customWidth="1"/>
    <col min="3848" max="3848" width="13.85546875" style="69" bestFit="1" customWidth="1"/>
    <col min="3849" max="3849" width="10.7109375" style="69" customWidth="1"/>
    <col min="3850" max="3850" width="11.42578125" style="69" customWidth="1"/>
    <col min="3851" max="3851" width="15.140625" style="69" customWidth="1"/>
    <col min="3852" max="3852" width="11.42578125" style="69" customWidth="1"/>
    <col min="3853" max="3853" width="14.85546875" style="69" customWidth="1"/>
    <col min="3854" max="3854" width="20" style="69" bestFit="1" customWidth="1"/>
    <col min="3855" max="3855" width="12.28515625" style="69" bestFit="1" customWidth="1"/>
    <col min="3856" max="4090" width="9" style="69"/>
    <col min="4091" max="4091" width="14" style="69" customWidth="1"/>
    <col min="4092" max="4092" width="7.7109375" style="69" customWidth="1"/>
    <col min="4093" max="4093" width="6.140625" style="69" customWidth="1"/>
    <col min="4094" max="4094" width="24" style="69" customWidth="1"/>
    <col min="4095" max="4095" width="12.85546875" style="69" customWidth="1"/>
    <col min="4096" max="4096" width="15" style="69" bestFit="1" customWidth="1"/>
    <col min="4097" max="4097" width="13.140625" style="69" customWidth="1"/>
    <col min="4098" max="4098" width="10.85546875" style="69" customWidth="1"/>
    <col min="4099" max="4099" width="14.42578125" style="69" bestFit="1" customWidth="1"/>
    <col min="4100" max="4100" width="11" style="69" bestFit="1" customWidth="1"/>
    <col min="4101" max="4101" width="20" style="69" customWidth="1"/>
    <col min="4102" max="4103" width="13.140625" style="69" customWidth="1"/>
    <col min="4104" max="4104" width="13.85546875" style="69" bestFit="1" customWidth="1"/>
    <col min="4105" max="4105" width="10.7109375" style="69" customWidth="1"/>
    <col min="4106" max="4106" width="11.42578125" style="69" customWidth="1"/>
    <col min="4107" max="4107" width="15.140625" style="69" customWidth="1"/>
    <col min="4108" max="4108" width="11.42578125" style="69" customWidth="1"/>
    <col min="4109" max="4109" width="14.85546875" style="69" customWidth="1"/>
    <col min="4110" max="4110" width="20" style="69" bestFit="1" customWidth="1"/>
    <col min="4111" max="4111" width="12.28515625" style="69" bestFit="1" customWidth="1"/>
    <col min="4112" max="4346" width="9" style="69"/>
    <col min="4347" max="4347" width="14" style="69" customWidth="1"/>
    <col min="4348" max="4348" width="7.7109375" style="69" customWidth="1"/>
    <col min="4349" max="4349" width="6.140625" style="69" customWidth="1"/>
    <col min="4350" max="4350" width="24" style="69" customWidth="1"/>
    <col min="4351" max="4351" width="12.85546875" style="69" customWidth="1"/>
    <col min="4352" max="4352" width="15" style="69" bestFit="1" customWidth="1"/>
    <col min="4353" max="4353" width="13.140625" style="69" customWidth="1"/>
    <col min="4354" max="4354" width="10.85546875" style="69" customWidth="1"/>
    <col min="4355" max="4355" width="14.42578125" style="69" bestFit="1" customWidth="1"/>
    <col min="4356" max="4356" width="11" style="69" bestFit="1" customWidth="1"/>
    <col min="4357" max="4357" width="20" style="69" customWidth="1"/>
    <col min="4358" max="4359" width="13.140625" style="69" customWidth="1"/>
    <col min="4360" max="4360" width="13.85546875" style="69" bestFit="1" customWidth="1"/>
    <col min="4361" max="4361" width="10.7109375" style="69" customWidth="1"/>
    <col min="4362" max="4362" width="11.42578125" style="69" customWidth="1"/>
    <col min="4363" max="4363" width="15.140625" style="69" customWidth="1"/>
    <col min="4364" max="4364" width="11.42578125" style="69" customWidth="1"/>
    <col min="4365" max="4365" width="14.85546875" style="69" customWidth="1"/>
    <col min="4366" max="4366" width="20" style="69" bestFit="1" customWidth="1"/>
    <col min="4367" max="4367" width="12.28515625" style="69" bestFit="1" customWidth="1"/>
    <col min="4368" max="4602" width="9" style="69"/>
    <col min="4603" max="4603" width="14" style="69" customWidth="1"/>
    <col min="4604" max="4604" width="7.7109375" style="69" customWidth="1"/>
    <col min="4605" max="4605" width="6.140625" style="69" customWidth="1"/>
    <col min="4606" max="4606" width="24" style="69" customWidth="1"/>
    <col min="4607" max="4607" width="12.85546875" style="69" customWidth="1"/>
    <col min="4608" max="4608" width="15" style="69" bestFit="1" customWidth="1"/>
    <col min="4609" max="4609" width="13.140625" style="69" customWidth="1"/>
    <col min="4610" max="4610" width="10.85546875" style="69" customWidth="1"/>
    <col min="4611" max="4611" width="14.42578125" style="69" bestFit="1" customWidth="1"/>
    <col min="4612" max="4612" width="11" style="69" bestFit="1" customWidth="1"/>
    <col min="4613" max="4613" width="20" style="69" customWidth="1"/>
    <col min="4614" max="4615" width="13.140625" style="69" customWidth="1"/>
    <col min="4616" max="4616" width="13.85546875" style="69" bestFit="1" customWidth="1"/>
    <col min="4617" max="4617" width="10.7109375" style="69" customWidth="1"/>
    <col min="4618" max="4618" width="11.42578125" style="69" customWidth="1"/>
    <col min="4619" max="4619" width="15.140625" style="69" customWidth="1"/>
    <col min="4620" max="4620" width="11.42578125" style="69" customWidth="1"/>
    <col min="4621" max="4621" width="14.85546875" style="69" customWidth="1"/>
    <col min="4622" max="4622" width="20" style="69" bestFit="1" customWidth="1"/>
    <col min="4623" max="4623" width="12.28515625" style="69" bestFit="1" customWidth="1"/>
    <col min="4624" max="4858" width="9" style="69"/>
    <col min="4859" max="4859" width="14" style="69" customWidth="1"/>
    <col min="4860" max="4860" width="7.7109375" style="69" customWidth="1"/>
    <col min="4861" max="4861" width="6.140625" style="69" customWidth="1"/>
    <col min="4862" max="4862" width="24" style="69" customWidth="1"/>
    <col min="4863" max="4863" width="12.85546875" style="69" customWidth="1"/>
    <col min="4864" max="4864" width="15" style="69" bestFit="1" customWidth="1"/>
    <col min="4865" max="4865" width="13.140625" style="69" customWidth="1"/>
    <col min="4866" max="4866" width="10.85546875" style="69" customWidth="1"/>
    <col min="4867" max="4867" width="14.42578125" style="69" bestFit="1" customWidth="1"/>
    <col min="4868" max="4868" width="11" style="69" bestFit="1" customWidth="1"/>
    <col min="4869" max="4869" width="20" style="69" customWidth="1"/>
    <col min="4870" max="4871" width="13.140625" style="69" customWidth="1"/>
    <col min="4872" max="4872" width="13.85546875" style="69" bestFit="1" customWidth="1"/>
    <col min="4873" max="4873" width="10.7109375" style="69" customWidth="1"/>
    <col min="4874" max="4874" width="11.42578125" style="69" customWidth="1"/>
    <col min="4875" max="4875" width="15.140625" style="69" customWidth="1"/>
    <col min="4876" max="4876" width="11.42578125" style="69" customWidth="1"/>
    <col min="4877" max="4877" width="14.85546875" style="69" customWidth="1"/>
    <col min="4878" max="4878" width="20" style="69" bestFit="1" customWidth="1"/>
    <col min="4879" max="4879" width="12.28515625" style="69" bestFit="1" customWidth="1"/>
    <col min="4880" max="5114" width="9" style="69"/>
    <col min="5115" max="5115" width="14" style="69" customWidth="1"/>
    <col min="5116" max="5116" width="7.7109375" style="69" customWidth="1"/>
    <col min="5117" max="5117" width="6.140625" style="69" customWidth="1"/>
    <col min="5118" max="5118" width="24" style="69" customWidth="1"/>
    <col min="5119" max="5119" width="12.85546875" style="69" customWidth="1"/>
    <col min="5120" max="5120" width="15" style="69" bestFit="1" customWidth="1"/>
    <col min="5121" max="5121" width="13.140625" style="69" customWidth="1"/>
    <col min="5122" max="5122" width="10.85546875" style="69" customWidth="1"/>
    <col min="5123" max="5123" width="14.42578125" style="69" bestFit="1" customWidth="1"/>
    <col min="5124" max="5124" width="11" style="69" bestFit="1" customWidth="1"/>
    <col min="5125" max="5125" width="20" style="69" customWidth="1"/>
    <col min="5126" max="5127" width="13.140625" style="69" customWidth="1"/>
    <col min="5128" max="5128" width="13.85546875" style="69" bestFit="1" customWidth="1"/>
    <col min="5129" max="5129" width="10.7109375" style="69" customWidth="1"/>
    <col min="5130" max="5130" width="11.42578125" style="69" customWidth="1"/>
    <col min="5131" max="5131" width="15.140625" style="69" customWidth="1"/>
    <col min="5132" max="5132" width="11.42578125" style="69" customWidth="1"/>
    <col min="5133" max="5133" width="14.85546875" style="69" customWidth="1"/>
    <col min="5134" max="5134" width="20" style="69" bestFit="1" customWidth="1"/>
    <col min="5135" max="5135" width="12.28515625" style="69" bestFit="1" customWidth="1"/>
    <col min="5136" max="5370" width="9" style="69"/>
    <col min="5371" max="5371" width="14" style="69" customWidth="1"/>
    <col min="5372" max="5372" width="7.7109375" style="69" customWidth="1"/>
    <col min="5373" max="5373" width="6.140625" style="69" customWidth="1"/>
    <col min="5374" max="5374" width="24" style="69" customWidth="1"/>
    <col min="5375" max="5375" width="12.85546875" style="69" customWidth="1"/>
    <col min="5376" max="5376" width="15" style="69" bestFit="1" customWidth="1"/>
    <col min="5377" max="5377" width="13.140625" style="69" customWidth="1"/>
    <col min="5378" max="5378" width="10.85546875" style="69" customWidth="1"/>
    <col min="5379" max="5379" width="14.42578125" style="69" bestFit="1" customWidth="1"/>
    <col min="5380" max="5380" width="11" style="69" bestFit="1" customWidth="1"/>
    <col min="5381" max="5381" width="20" style="69" customWidth="1"/>
    <col min="5382" max="5383" width="13.140625" style="69" customWidth="1"/>
    <col min="5384" max="5384" width="13.85546875" style="69" bestFit="1" customWidth="1"/>
    <col min="5385" max="5385" width="10.7109375" style="69" customWidth="1"/>
    <col min="5386" max="5386" width="11.42578125" style="69" customWidth="1"/>
    <col min="5387" max="5387" width="15.140625" style="69" customWidth="1"/>
    <col min="5388" max="5388" width="11.42578125" style="69" customWidth="1"/>
    <col min="5389" max="5389" width="14.85546875" style="69" customWidth="1"/>
    <col min="5390" max="5390" width="20" style="69" bestFit="1" customWidth="1"/>
    <col min="5391" max="5391" width="12.28515625" style="69" bestFit="1" customWidth="1"/>
    <col min="5392" max="5626" width="9" style="69"/>
    <col min="5627" max="5627" width="14" style="69" customWidth="1"/>
    <col min="5628" max="5628" width="7.7109375" style="69" customWidth="1"/>
    <col min="5629" max="5629" width="6.140625" style="69" customWidth="1"/>
    <col min="5630" max="5630" width="24" style="69" customWidth="1"/>
    <col min="5631" max="5631" width="12.85546875" style="69" customWidth="1"/>
    <col min="5632" max="5632" width="15" style="69" bestFit="1" customWidth="1"/>
    <col min="5633" max="5633" width="13.140625" style="69" customWidth="1"/>
    <col min="5634" max="5634" width="10.85546875" style="69" customWidth="1"/>
    <col min="5635" max="5635" width="14.42578125" style="69" bestFit="1" customWidth="1"/>
    <col min="5636" max="5636" width="11" style="69" bestFit="1" customWidth="1"/>
    <col min="5637" max="5637" width="20" style="69" customWidth="1"/>
    <col min="5638" max="5639" width="13.140625" style="69" customWidth="1"/>
    <col min="5640" max="5640" width="13.85546875" style="69" bestFit="1" customWidth="1"/>
    <col min="5641" max="5641" width="10.7109375" style="69" customWidth="1"/>
    <col min="5642" max="5642" width="11.42578125" style="69" customWidth="1"/>
    <col min="5643" max="5643" width="15.140625" style="69" customWidth="1"/>
    <col min="5644" max="5644" width="11.42578125" style="69" customWidth="1"/>
    <col min="5645" max="5645" width="14.85546875" style="69" customWidth="1"/>
    <col min="5646" max="5646" width="20" style="69" bestFit="1" customWidth="1"/>
    <col min="5647" max="5647" width="12.28515625" style="69" bestFit="1" customWidth="1"/>
    <col min="5648" max="5882" width="9" style="69"/>
    <col min="5883" max="5883" width="14" style="69" customWidth="1"/>
    <col min="5884" max="5884" width="7.7109375" style="69" customWidth="1"/>
    <col min="5885" max="5885" width="6.140625" style="69" customWidth="1"/>
    <col min="5886" max="5886" width="24" style="69" customWidth="1"/>
    <col min="5887" max="5887" width="12.85546875" style="69" customWidth="1"/>
    <col min="5888" max="5888" width="15" style="69" bestFit="1" customWidth="1"/>
    <col min="5889" max="5889" width="13.140625" style="69" customWidth="1"/>
    <col min="5890" max="5890" width="10.85546875" style="69" customWidth="1"/>
    <col min="5891" max="5891" width="14.42578125" style="69" bestFit="1" customWidth="1"/>
    <col min="5892" max="5892" width="11" style="69" bestFit="1" customWidth="1"/>
    <col min="5893" max="5893" width="20" style="69" customWidth="1"/>
    <col min="5894" max="5895" width="13.140625" style="69" customWidth="1"/>
    <col min="5896" max="5896" width="13.85546875" style="69" bestFit="1" customWidth="1"/>
    <col min="5897" max="5897" width="10.7109375" style="69" customWidth="1"/>
    <col min="5898" max="5898" width="11.42578125" style="69" customWidth="1"/>
    <col min="5899" max="5899" width="15.140625" style="69" customWidth="1"/>
    <col min="5900" max="5900" width="11.42578125" style="69" customWidth="1"/>
    <col min="5901" max="5901" width="14.85546875" style="69" customWidth="1"/>
    <col min="5902" max="5902" width="20" style="69" bestFit="1" customWidth="1"/>
    <col min="5903" max="5903" width="12.28515625" style="69" bestFit="1" customWidth="1"/>
    <col min="5904" max="6138" width="9" style="69"/>
    <col min="6139" max="6139" width="14" style="69" customWidth="1"/>
    <col min="6140" max="6140" width="7.7109375" style="69" customWidth="1"/>
    <col min="6141" max="6141" width="6.140625" style="69" customWidth="1"/>
    <col min="6142" max="6142" width="24" style="69" customWidth="1"/>
    <col min="6143" max="6143" width="12.85546875" style="69" customWidth="1"/>
    <col min="6144" max="6144" width="15" style="69" bestFit="1" customWidth="1"/>
    <col min="6145" max="6145" width="13.140625" style="69" customWidth="1"/>
    <col min="6146" max="6146" width="10.85546875" style="69" customWidth="1"/>
    <col min="6147" max="6147" width="14.42578125" style="69" bestFit="1" customWidth="1"/>
    <col min="6148" max="6148" width="11" style="69" bestFit="1" customWidth="1"/>
    <col min="6149" max="6149" width="20" style="69" customWidth="1"/>
    <col min="6150" max="6151" width="13.140625" style="69" customWidth="1"/>
    <col min="6152" max="6152" width="13.85546875" style="69" bestFit="1" customWidth="1"/>
    <col min="6153" max="6153" width="10.7109375" style="69" customWidth="1"/>
    <col min="6154" max="6154" width="11.42578125" style="69" customWidth="1"/>
    <col min="6155" max="6155" width="15.140625" style="69" customWidth="1"/>
    <col min="6156" max="6156" width="11.42578125" style="69" customWidth="1"/>
    <col min="6157" max="6157" width="14.85546875" style="69" customWidth="1"/>
    <col min="6158" max="6158" width="20" style="69" bestFit="1" customWidth="1"/>
    <col min="6159" max="6159" width="12.28515625" style="69" bestFit="1" customWidth="1"/>
    <col min="6160" max="6394" width="9" style="69"/>
    <col min="6395" max="6395" width="14" style="69" customWidth="1"/>
    <col min="6396" max="6396" width="7.7109375" style="69" customWidth="1"/>
    <col min="6397" max="6397" width="6.140625" style="69" customWidth="1"/>
    <col min="6398" max="6398" width="24" style="69" customWidth="1"/>
    <col min="6399" max="6399" width="12.85546875" style="69" customWidth="1"/>
    <col min="6400" max="6400" width="15" style="69" bestFit="1" customWidth="1"/>
    <col min="6401" max="6401" width="13.140625" style="69" customWidth="1"/>
    <col min="6402" max="6402" width="10.85546875" style="69" customWidth="1"/>
    <col min="6403" max="6403" width="14.42578125" style="69" bestFit="1" customWidth="1"/>
    <col min="6404" max="6404" width="11" style="69" bestFit="1" customWidth="1"/>
    <col min="6405" max="6405" width="20" style="69" customWidth="1"/>
    <col min="6406" max="6407" width="13.140625" style="69" customWidth="1"/>
    <col min="6408" max="6408" width="13.85546875" style="69" bestFit="1" customWidth="1"/>
    <col min="6409" max="6409" width="10.7109375" style="69" customWidth="1"/>
    <col min="6410" max="6410" width="11.42578125" style="69" customWidth="1"/>
    <col min="6411" max="6411" width="15.140625" style="69" customWidth="1"/>
    <col min="6412" max="6412" width="11.42578125" style="69" customWidth="1"/>
    <col min="6413" max="6413" width="14.85546875" style="69" customWidth="1"/>
    <col min="6414" max="6414" width="20" style="69" bestFit="1" customWidth="1"/>
    <col min="6415" max="6415" width="12.28515625" style="69" bestFit="1" customWidth="1"/>
    <col min="6416" max="6650" width="9" style="69"/>
    <col min="6651" max="6651" width="14" style="69" customWidth="1"/>
    <col min="6652" max="6652" width="7.7109375" style="69" customWidth="1"/>
    <col min="6653" max="6653" width="6.140625" style="69" customWidth="1"/>
    <col min="6654" max="6654" width="24" style="69" customWidth="1"/>
    <col min="6655" max="6655" width="12.85546875" style="69" customWidth="1"/>
    <col min="6656" max="6656" width="15" style="69" bestFit="1" customWidth="1"/>
    <col min="6657" max="6657" width="13.140625" style="69" customWidth="1"/>
    <col min="6658" max="6658" width="10.85546875" style="69" customWidth="1"/>
    <col min="6659" max="6659" width="14.42578125" style="69" bestFit="1" customWidth="1"/>
    <col min="6660" max="6660" width="11" style="69" bestFit="1" customWidth="1"/>
    <col min="6661" max="6661" width="20" style="69" customWidth="1"/>
    <col min="6662" max="6663" width="13.140625" style="69" customWidth="1"/>
    <col min="6664" max="6664" width="13.85546875" style="69" bestFit="1" customWidth="1"/>
    <col min="6665" max="6665" width="10.7109375" style="69" customWidth="1"/>
    <col min="6666" max="6666" width="11.42578125" style="69" customWidth="1"/>
    <col min="6667" max="6667" width="15.140625" style="69" customWidth="1"/>
    <col min="6668" max="6668" width="11.42578125" style="69" customWidth="1"/>
    <col min="6669" max="6669" width="14.85546875" style="69" customWidth="1"/>
    <col min="6670" max="6670" width="20" style="69" bestFit="1" customWidth="1"/>
    <col min="6671" max="6671" width="12.28515625" style="69" bestFit="1" customWidth="1"/>
    <col min="6672" max="6906" width="9" style="69"/>
    <col min="6907" max="6907" width="14" style="69" customWidth="1"/>
    <col min="6908" max="6908" width="7.7109375" style="69" customWidth="1"/>
    <col min="6909" max="6909" width="6.140625" style="69" customWidth="1"/>
    <col min="6910" max="6910" width="24" style="69" customWidth="1"/>
    <col min="6911" max="6911" width="12.85546875" style="69" customWidth="1"/>
    <col min="6912" max="6912" width="15" style="69" bestFit="1" customWidth="1"/>
    <col min="6913" max="6913" width="13.140625" style="69" customWidth="1"/>
    <col min="6914" max="6914" width="10.85546875" style="69" customWidth="1"/>
    <col min="6915" max="6915" width="14.42578125" style="69" bestFit="1" customWidth="1"/>
    <col min="6916" max="6916" width="11" style="69" bestFit="1" customWidth="1"/>
    <col min="6917" max="6917" width="20" style="69" customWidth="1"/>
    <col min="6918" max="6919" width="13.140625" style="69" customWidth="1"/>
    <col min="6920" max="6920" width="13.85546875" style="69" bestFit="1" customWidth="1"/>
    <col min="6921" max="6921" width="10.7109375" style="69" customWidth="1"/>
    <col min="6922" max="6922" width="11.42578125" style="69" customWidth="1"/>
    <col min="6923" max="6923" width="15.140625" style="69" customWidth="1"/>
    <col min="6924" max="6924" width="11.42578125" style="69" customWidth="1"/>
    <col min="6925" max="6925" width="14.85546875" style="69" customWidth="1"/>
    <col min="6926" max="6926" width="20" style="69" bestFit="1" customWidth="1"/>
    <col min="6927" max="6927" width="12.28515625" style="69" bestFit="1" customWidth="1"/>
    <col min="6928" max="7162" width="9" style="69"/>
    <col min="7163" max="7163" width="14" style="69" customWidth="1"/>
    <col min="7164" max="7164" width="7.7109375" style="69" customWidth="1"/>
    <col min="7165" max="7165" width="6.140625" style="69" customWidth="1"/>
    <col min="7166" max="7166" width="24" style="69" customWidth="1"/>
    <col min="7167" max="7167" width="12.85546875" style="69" customWidth="1"/>
    <col min="7168" max="7168" width="15" style="69" bestFit="1" customWidth="1"/>
    <col min="7169" max="7169" width="13.140625" style="69" customWidth="1"/>
    <col min="7170" max="7170" width="10.85546875" style="69" customWidth="1"/>
    <col min="7171" max="7171" width="14.42578125" style="69" bestFit="1" customWidth="1"/>
    <col min="7172" max="7172" width="11" style="69" bestFit="1" customWidth="1"/>
    <col min="7173" max="7173" width="20" style="69" customWidth="1"/>
    <col min="7174" max="7175" width="13.140625" style="69" customWidth="1"/>
    <col min="7176" max="7176" width="13.85546875" style="69" bestFit="1" customWidth="1"/>
    <col min="7177" max="7177" width="10.7109375" style="69" customWidth="1"/>
    <col min="7178" max="7178" width="11.42578125" style="69" customWidth="1"/>
    <col min="7179" max="7179" width="15.140625" style="69" customWidth="1"/>
    <col min="7180" max="7180" width="11.42578125" style="69" customWidth="1"/>
    <col min="7181" max="7181" width="14.85546875" style="69" customWidth="1"/>
    <col min="7182" max="7182" width="20" style="69" bestFit="1" customWidth="1"/>
    <col min="7183" max="7183" width="12.28515625" style="69" bestFit="1" customWidth="1"/>
    <col min="7184" max="7418" width="9" style="69"/>
    <col min="7419" max="7419" width="14" style="69" customWidth="1"/>
    <col min="7420" max="7420" width="7.7109375" style="69" customWidth="1"/>
    <col min="7421" max="7421" width="6.140625" style="69" customWidth="1"/>
    <col min="7422" max="7422" width="24" style="69" customWidth="1"/>
    <col min="7423" max="7423" width="12.85546875" style="69" customWidth="1"/>
    <col min="7424" max="7424" width="15" style="69" bestFit="1" customWidth="1"/>
    <col min="7425" max="7425" width="13.140625" style="69" customWidth="1"/>
    <col min="7426" max="7426" width="10.85546875" style="69" customWidth="1"/>
    <col min="7427" max="7427" width="14.42578125" style="69" bestFit="1" customWidth="1"/>
    <col min="7428" max="7428" width="11" style="69" bestFit="1" customWidth="1"/>
    <col min="7429" max="7429" width="20" style="69" customWidth="1"/>
    <col min="7430" max="7431" width="13.140625" style="69" customWidth="1"/>
    <col min="7432" max="7432" width="13.85546875" style="69" bestFit="1" customWidth="1"/>
    <col min="7433" max="7433" width="10.7109375" style="69" customWidth="1"/>
    <col min="7434" max="7434" width="11.42578125" style="69" customWidth="1"/>
    <col min="7435" max="7435" width="15.140625" style="69" customWidth="1"/>
    <col min="7436" max="7436" width="11.42578125" style="69" customWidth="1"/>
    <col min="7437" max="7437" width="14.85546875" style="69" customWidth="1"/>
    <col min="7438" max="7438" width="20" style="69" bestFit="1" customWidth="1"/>
    <col min="7439" max="7439" width="12.28515625" style="69" bestFit="1" customWidth="1"/>
    <col min="7440" max="7674" width="9" style="69"/>
    <col min="7675" max="7675" width="14" style="69" customWidth="1"/>
    <col min="7676" max="7676" width="7.7109375" style="69" customWidth="1"/>
    <col min="7677" max="7677" width="6.140625" style="69" customWidth="1"/>
    <col min="7678" max="7678" width="24" style="69" customWidth="1"/>
    <col min="7679" max="7679" width="12.85546875" style="69" customWidth="1"/>
    <col min="7680" max="7680" width="15" style="69" bestFit="1" customWidth="1"/>
    <col min="7681" max="7681" width="13.140625" style="69" customWidth="1"/>
    <col min="7682" max="7682" width="10.85546875" style="69" customWidth="1"/>
    <col min="7683" max="7683" width="14.42578125" style="69" bestFit="1" customWidth="1"/>
    <col min="7684" max="7684" width="11" style="69" bestFit="1" customWidth="1"/>
    <col min="7685" max="7685" width="20" style="69" customWidth="1"/>
    <col min="7686" max="7687" width="13.140625" style="69" customWidth="1"/>
    <col min="7688" max="7688" width="13.85546875" style="69" bestFit="1" customWidth="1"/>
    <col min="7689" max="7689" width="10.7109375" style="69" customWidth="1"/>
    <col min="7690" max="7690" width="11.42578125" style="69" customWidth="1"/>
    <col min="7691" max="7691" width="15.140625" style="69" customWidth="1"/>
    <col min="7692" max="7692" width="11.42578125" style="69" customWidth="1"/>
    <col min="7693" max="7693" width="14.85546875" style="69" customWidth="1"/>
    <col min="7694" max="7694" width="20" style="69" bestFit="1" customWidth="1"/>
    <col min="7695" max="7695" width="12.28515625" style="69" bestFit="1" customWidth="1"/>
    <col min="7696" max="7930" width="9" style="69"/>
    <col min="7931" max="7931" width="14" style="69" customWidth="1"/>
    <col min="7932" max="7932" width="7.7109375" style="69" customWidth="1"/>
    <col min="7933" max="7933" width="6.140625" style="69" customWidth="1"/>
    <col min="7934" max="7934" width="24" style="69" customWidth="1"/>
    <col min="7935" max="7935" width="12.85546875" style="69" customWidth="1"/>
    <col min="7936" max="7936" width="15" style="69" bestFit="1" customWidth="1"/>
    <col min="7937" max="7937" width="13.140625" style="69" customWidth="1"/>
    <col min="7938" max="7938" width="10.85546875" style="69" customWidth="1"/>
    <col min="7939" max="7939" width="14.42578125" style="69" bestFit="1" customWidth="1"/>
    <col min="7940" max="7940" width="11" style="69" bestFit="1" customWidth="1"/>
    <col min="7941" max="7941" width="20" style="69" customWidth="1"/>
    <col min="7942" max="7943" width="13.140625" style="69" customWidth="1"/>
    <col min="7944" max="7944" width="13.85546875" style="69" bestFit="1" customWidth="1"/>
    <col min="7945" max="7945" width="10.7109375" style="69" customWidth="1"/>
    <col min="7946" max="7946" width="11.42578125" style="69" customWidth="1"/>
    <col min="7947" max="7947" width="15.140625" style="69" customWidth="1"/>
    <col min="7948" max="7948" width="11.42578125" style="69" customWidth="1"/>
    <col min="7949" max="7949" width="14.85546875" style="69" customWidth="1"/>
    <col min="7950" max="7950" width="20" style="69" bestFit="1" customWidth="1"/>
    <col min="7951" max="7951" width="12.28515625" style="69" bestFit="1" customWidth="1"/>
    <col min="7952" max="8186" width="9" style="69"/>
    <col min="8187" max="8187" width="14" style="69" customWidth="1"/>
    <col min="8188" max="8188" width="7.7109375" style="69" customWidth="1"/>
    <col min="8189" max="8189" width="6.140625" style="69" customWidth="1"/>
    <col min="8190" max="8190" width="24" style="69" customWidth="1"/>
    <col min="8191" max="8191" width="12.85546875" style="69" customWidth="1"/>
    <col min="8192" max="8192" width="15" style="69" bestFit="1" customWidth="1"/>
    <col min="8193" max="8193" width="13.140625" style="69" customWidth="1"/>
    <col min="8194" max="8194" width="10.85546875" style="69" customWidth="1"/>
    <col min="8195" max="8195" width="14.42578125" style="69" bestFit="1" customWidth="1"/>
    <col min="8196" max="8196" width="11" style="69" bestFit="1" customWidth="1"/>
    <col min="8197" max="8197" width="20" style="69" customWidth="1"/>
    <col min="8198" max="8199" width="13.140625" style="69" customWidth="1"/>
    <col min="8200" max="8200" width="13.85546875" style="69" bestFit="1" customWidth="1"/>
    <col min="8201" max="8201" width="10.7109375" style="69" customWidth="1"/>
    <col min="8202" max="8202" width="11.42578125" style="69" customWidth="1"/>
    <col min="8203" max="8203" width="15.140625" style="69" customWidth="1"/>
    <col min="8204" max="8204" width="11.42578125" style="69" customWidth="1"/>
    <col min="8205" max="8205" width="14.85546875" style="69" customWidth="1"/>
    <col min="8206" max="8206" width="20" style="69" bestFit="1" customWidth="1"/>
    <col min="8207" max="8207" width="12.28515625" style="69" bestFit="1" customWidth="1"/>
    <col min="8208" max="8442" width="9" style="69"/>
    <col min="8443" max="8443" width="14" style="69" customWidth="1"/>
    <col min="8444" max="8444" width="7.7109375" style="69" customWidth="1"/>
    <col min="8445" max="8445" width="6.140625" style="69" customWidth="1"/>
    <col min="8446" max="8446" width="24" style="69" customWidth="1"/>
    <col min="8447" max="8447" width="12.85546875" style="69" customWidth="1"/>
    <col min="8448" max="8448" width="15" style="69" bestFit="1" customWidth="1"/>
    <col min="8449" max="8449" width="13.140625" style="69" customWidth="1"/>
    <col min="8450" max="8450" width="10.85546875" style="69" customWidth="1"/>
    <col min="8451" max="8451" width="14.42578125" style="69" bestFit="1" customWidth="1"/>
    <col min="8452" max="8452" width="11" style="69" bestFit="1" customWidth="1"/>
    <col min="8453" max="8453" width="20" style="69" customWidth="1"/>
    <col min="8454" max="8455" width="13.140625" style="69" customWidth="1"/>
    <col min="8456" max="8456" width="13.85546875" style="69" bestFit="1" customWidth="1"/>
    <col min="8457" max="8457" width="10.7109375" style="69" customWidth="1"/>
    <col min="8458" max="8458" width="11.42578125" style="69" customWidth="1"/>
    <col min="8459" max="8459" width="15.140625" style="69" customWidth="1"/>
    <col min="8460" max="8460" width="11.42578125" style="69" customWidth="1"/>
    <col min="8461" max="8461" width="14.85546875" style="69" customWidth="1"/>
    <col min="8462" max="8462" width="20" style="69" bestFit="1" customWidth="1"/>
    <col min="8463" max="8463" width="12.28515625" style="69" bestFit="1" customWidth="1"/>
    <col min="8464" max="8698" width="9" style="69"/>
    <col min="8699" max="8699" width="14" style="69" customWidth="1"/>
    <col min="8700" max="8700" width="7.7109375" style="69" customWidth="1"/>
    <col min="8701" max="8701" width="6.140625" style="69" customWidth="1"/>
    <col min="8702" max="8702" width="24" style="69" customWidth="1"/>
    <col min="8703" max="8703" width="12.85546875" style="69" customWidth="1"/>
    <col min="8704" max="8704" width="15" style="69" bestFit="1" customWidth="1"/>
    <col min="8705" max="8705" width="13.140625" style="69" customWidth="1"/>
    <col min="8706" max="8706" width="10.85546875" style="69" customWidth="1"/>
    <col min="8707" max="8707" width="14.42578125" style="69" bestFit="1" customWidth="1"/>
    <col min="8708" max="8708" width="11" style="69" bestFit="1" customWidth="1"/>
    <col min="8709" max="8709" width="20" style="69" customWidth="1"/>
    <col min="8710" max="8711" width="13.140625" style="69" customWidth="1"/>
    <col min="8712" max="8712" width="13.85546875" style="69" bestFit="1" customWidth="1"/>
    <col min="8713" max="8713" width="10.7109375" style="69" customWidth="1"/>
    <col min="8714" max="8714" width="11.42578125" style="69" customWidth="1"/>
    <col min="8715" max="8715" width="15.140625" style="69" customWidth="1"/>
    <col min="8716" max="8716" width="11.42578125" style="69" customWidth="1"/>
    <col min="8717" max="8717" width="14.85546875" style="69" customWidth="1"/>
    <col min="8718" max="8718" width="20" style="69" bestFit="1" customWidth="1"/>
    <col min="8719" max="8719" width="12.28515625" style="69" bestFit="1" customWidth="1"/>
    <col min="8720" max="8954" width="9" style="69"/>
    <col min="8955" max="8955" width="14" style="69" customWidth="1"/>
    <col min="8956" max="8956" width="7.7109375" style="69" customWidth="1"/>
    <col min="8957" max="8957" width="6.140625" style="69" customWidth="1"/>
    <col min="8958" max="8958" width="24" style="69" customWidth="1"/>
    <col min="8959" max="8959" width="12.85546875" style="69" customWidth="1"/>
    <col min="8960" max="8960" width="15" style="69" bestFit="1" customWidth="1"/>
    <col min="8961" max="8961" width="13.140625" style="69" customWidth="1"/>
    <col min="8962" max="8962" width="10.85546875" style="69" customWidth="1"/>
    <col min="8963" max="8963" width="14.42578125" style="69" bestFit="1" customWidth="1"/>
    <col min="8964" max="8964" width="11" style="69" bestFit="1" customWidth="1"/>
    <col min="8965" max="8965" width="20" style="69" customWidth="1"/>
    <col min="8966" max="8967" width="13.140625" style="69" customWidth="1"/>
    <col min="8968" max="8968" width="13.85546875" style="69" bestFit="1" customWidth="1"/>
    <col min="8969" max="8969" width="10.7109375" style="69" customWidth="1"/>
    <col min="8970" max="8970" width="11.42578125" style="69" customWidth="1"/>
    <col min="8971" max="8971" width="15.140625" style="69" customWidth="1"/>
    <col min="8972" max="8972" width="11.42578125" style="69" customWidth="1"/>
    <col min="8973" max="8973" width="14.85546875" style="69" customWidth="1"/>
    <col min="8974" max="8974" width="20" style="69" bestFit="1" customWidth="1"/>
    <col min="8975" max="8975" width="12.28515625" style="69" bestFit="1" customWidth="1"/>
    <col min="8976" max="9210" width="9" style="69"/>
    <col min="9211" max="9211" width="14" style="69" customWidth="1"/>
    <col min="9212" max="9212" width="7.7109375" style="69" customWidth="1"/>
    <col min="9213" max="9213" width="6.140625" style="69" customWidth="1"/>
    <col min="9214" max="9214" width="24" style="69" customWidth="1"/>
    <col min="9215" max="9215" width="12.85546875" style="69" customWidth="1"/>
    <col min="9216" max="9216" width="15" style="69" bestFit="1" customWidth="1"/>
    <col min="9217" max="9217" width="13.140625" style="69" customWidth="1"/>
    <col min="9218" max="9218" width="10.85546875" style="69" customWidth="1"/>
    <col min="9219" max="9219" width="14.42578125" style="69" bestFit="1" customWidth="1"/>
    <col min="9220" max="9220" width="11" style="69" bestFit="1" customWidth="1"/>
    <col min="9221" max="9221" width="20" style="69" customWidth="1"/>
    <col min="9222" max="9223" width="13.140625" style="69" customWidth="1"/>
    <col min="9224" max="9224" width="13.85546875" style="69" bestFit="1" customWidth="1"/>
    <col min="9225" max="9225" width="10.7109375" style="69" customWidth="1"/>
    <col min="9226" max="9226" width="11.42578125" style="69" customWidth="1"/>
    <col min="9227" max="9227" width="15.140625" style="69" customWidth="1"/>
    <col min="9228" max="9228" width="11.42578125" style="69" customWidth="1"/>
    <col min="9229" max="9229" width="14.85546875" style="69" customWidth="1"/>
    <col min="9230" max="9230" width="20" style="69" bestFit="1" customWidth="1"/>
    <col min="9231" max="9231" width="12.28515625" style="69" bestFit="1" customWidth="1"/>
    <col min="9232" max="9466" width="9" style="69"/>
    <col min="9467" max="9467" width="14" style="69" customWidth="1"/>
    <col min="9468" max="9468" width="7.7109375" style="69" customWidth="1"/>
    <col min="9469" max="9469" width="6.140625" style="69" customWidth="1"/>
    <col min="9470" max="9470" width="24" style="69" customWidth="1"/>
    <col min="9471" max="9471" width="12.85546875" style="69" customWidth="1"/>
    <col min="9472" max="9472" width="15" style="69" bestFit="1" customWidth="1"/>
    <col min="9473" max="9473" width="13.140625" style="69" customWidth="1"/>
    <col min="9474" max="9474" width="10.85546875" style="69" customWidth="1"/>
    <col min="9475" max="9475" width="14.42578125" style="69" bestFit="1" customWidth="1"/>
    <col min="9476" max="9476" width="11" style="69" bestFit="1" customWidth="1"/>
    <col min="9477" max="9477" width="20" style="69" customWidth="1"/>
    <col min="9478" max="9479" width="13.140625" style="69" customWidth="1"/>
    <col min="9480" max="9480" width="13.85546875" style="69" bestFit="1" customWidth="1"/>
    <col min="9481" max="9481" width="10.7109375" style="69" customWidth="1"/>
    <col min="9482" max="9482" width="11.42578125" style="69" customWidth="1"/>
    <col min="9483" max="9483" width="15.140625" style="69" customWidth="1"/>
    <col min="9484" max="9484" width="11.42578125" style="69" customWidth="1"/>
    <col min="9485" max="9485" width="14.85546875" style="69" customWidth="1"/>
    <col min="9486" max="9486" width="20" style="69" bestFit="1" customWidth="1"/>
    <col min="9487" max="9487" width="12.28515625" style="69" bestFit="1" customWidth="1"/>
    <col min="9488" max="9722" width="9" style="69"/>
    <col min="9723" max="9723" width="14" style="69" customWidth="1"/>
    <col min="9724" max="9724" width="7.7109375" style="69" customWidth="1"/>
    <col min="9725" max="9725" width="6.140625" style="69" customWidth="1"/>
    <col min="9726" max="9726" width="24" style="69" customWidth="1"/>
    <col min="9727" max="9727" width="12.85546875" style="69" customWidth="1"/>
    <col min="9728" max="9728" width="15" style="69" bestFit="1" customWidth="1"/>
    <col min="9729" max="9729" width="13.140625" style="69" customWidth="1"/>
    <col min="9730" max="9730" width="10.85546875" style="69" customWidth="1"/>
    <col min="9731" max="9731" width="14.42578125" style="69" bestFit="1" customWidth="1"/>
    <col min="9732" max="9732" width="11" style="69" bestFit="1" customWidth="1"/>
    <col min="9733" max="9733" width="20" style="69" customWidth="1"/>
    <col min="9734" max="9735" width="13.140625" style="69" customWidth="1"/>
    <col min="9736" max="9736" width="13.85546875" style="69" bestFit="1" customWidth="1"/>
    <col min="9737" max="9737" width="10.7109375" style="69" customWidth="1"/>
    <col min="9738" max="9738" width="11.42578125" style="69" customWidth="1"/>
    <col min="9739" max="9739" width="15.140625" style="69" customWidth="1"/>
    <col min="9740" max="9740" width="11.42578125" style="69" customWidth="1"/>
    <col min="9741" max="9741" width="14.85546875" style="69" customWidth="1"/>
    <col min="9742" max="9742" width="20" style="69" bestFit="1" customWidth="1"/>
    <col min="9743" max="9743" width="12.28515625" style="69" bestFit="1" customWidth="1"/>
    <col min="9744" max="9978" width="9" style="69"/>
    <col min="9979" max="9979" width="14" style="69" customWidth="1"/>
    <col min="9980" max="9980" width="7.7109375" style="69" customWidth="1"/>
    <col min="9981" max="9981" width="6.140625" style="69" customWidth="1"/>
    <col min="9982" max="9982" width="24" style="69" customWidth="1"/>
    <col min="9983" max="9983" width="12.85546875" style="69" customWidth="1"/>
    <col min="9984" max="9984" width="15" style="69" bestFit="1" customWidth="1"/>
    <col min="9985" max="9985" width="13.140625" style="69" customWidth="1"/>
    <col min="9986" max="9986" width="10.85546875" style="69" customWidth="1"/>
    <col min="9987" max="9987" width="14.42578125" style="69" bestFit="1" customWidth="1"/>
    <col min="9988" max="9988" width="11" style="69" bestFit="1" customWidth="1"/>
    <col min="9989" max="9989" width="20" style="69" customWidth="1"/>
    <col min="9990" max="9991" width="13.140625" style="69" customWidth="1"/>
    <col min="9992" max="9992" width="13.85546875" style="69" bestFit="1" customWidth="1"/>
    <col min="9993" max="9993" width="10.7109375" style="69" customWidth="1"/>
    <col min="9994" max="9994" width="11.42578125" style="69" customWidth="1"/>
    <col min="9995" max="9995" width="15.140625" style="69" customWidth="1"/>
    <col min="9996" max="9996" width="11.42578125" style="69" customWidth="1"/>
    <col min="9997" max="9997" width="14.85546875" style="69" customWidth="1"/>
    <col min="9998" max="9998" width="20" style="69" bestFit="1" customWidth="1"/>
    <col min="9999" max="9999" width="12.28515625" style="69" bestFit="1" customWidth="1"/>
    <col min="10000" max="10234" width="9" style="69"/>
    <col min="10235" max="10235" width="14" style="69" customWidth="1"/>
    <col min="10236" max="10236" width="7.7109375" style="69" customWidth="1"/>
    <col min="10237" max="10237" width="6.140625" style="69" customWidth="1"/>
    <col min="10238" max="10238" width="24" style="69" customWidth="1"/>
    <col min="10239" max="10239" width="12.85546875" style="69" customWidth="1"/>
    <col min="10240" max="10240" width="15" style="69" bestFit="1" customWidth="1"/>
    <col min="10241" max="10241" width="13.140625" style="69" customWidth="1"/>
    <col min="10242" max="10242" width="10.85546875" style="69" customWidth="1"/>
    <col min="10243" max="10243" width="14.42578125" style="69" bestFit="1" customWidth="1"/>
    <col min="10244" max="10244" width="11" style="69" bestFit="1" customWidth="1"/>
    <col min="10245" max="10245" width="20" style="69" customWidth="1"/>
    <col min="10246" max="10247" width="13.140625" style="69" customWidth="1"/>
    <col min="10248" max="10248" width="13.85546875" style="69" bestFit="1" customWidth="1"/>
    <col min="10249" max="10249" width="10.7109375" style="69" customWidth="1"/>
    <col min="10250" max="10250" width="11.42578125" style="69" customWidth="1"/>
    <col min="10251" max="10251" width="15.140625" style="69" customWidth="1"/>
    <col min="10252" max="10252" width="11.42578125" style="69" customWidth="1"/>
    <col min="10253" max="10253" width="14.85546875" style="69" customWidth="1"/>
    <col min="10254" max="10254" width="20" style="69" bestFit="1" customWidth="1"/>
    <col min="10255" max="10255" width="12.28515625" style="69" bestFit="1" customWidth="1"/>
    <col min="10256" max="10490" width="9" style="69"/>
    <col min="10491" max="10491" width="14" style="69" customWidth="1"/>
    <col min="10492" max="10492" width="7.7109375" style="69" customWidth="1"/>
    <col min="10493" max="10493" width="6.140625" style="69" customWidth="1"/>
    <col min="10494" max="10494" width="24" style="69" customWidth="1"/>
    <col min="10495" max="10495" width="12.85546875" style="69" customWidth="1"/>
    <col min="10496" max="10496" width="15" style="69" bestFit="1" customWidth="1"/>
    <col min="10497" max="10497" width="13.140625" style="69" customWidth="1"/>
    <col min="10498" max="10498" width="10.85546875" style="69" customWidth="1"/>
    <col min="10499" max="10499" width="14.42578125" style="69" bestFit="1" customWidth="1"/>
    <col min="10500" max="10500" width="11" style="69" bestFit="1" customWidth="1"/>
    <col min="10501" max="10501" width="20" style="69" customWidth="1"/>
    <col min="10502" max="10503" width="13.140625" style="69" customWidth="1"/>
    <col min="10504" max="10504" width="13.85546875" style="69" bestFit="1" customWidth="1"/>
    <col min="10505" max="10505" width="10.7109375" style="69" customWidth="1"/>
    <col min="10506" max="10506" width="11.42578125" style="69" customWidth="1"/>
    <col min="10507" max="10507" width="15.140625" style="69" customWidth="1"/>
    <col min="10508" max="10508" width="11.42578125" style="69" customWidth="1"/>
    <col min="10509" max="10509" width="14.85546875" style="69" customWidth="1"/>
    <col min="10510" max="10510" width="20" style="69" bestFit="1" customWidth="1"/>
    <col min="10511" max="10511" width="12.28515625" style="69" bestFit="1" customWidth="1"/>
    <col min="10512" max="10746" width="9" style="69"/>
    <col min="10747" max="10747" width="14" style="69" customWidth="1"/>
    <col min="10748" max="10748" width="7.7109375" style="69" customWidth="1"/>
    <col min="10749" max="10749" width="6.140625" style="69" customWidth="1"/>
    <col min="10750" max="10750" width="24" style="69" customWidth="1"/>
    <col min="10751" max="10751" width="12.85546875" style="69" customWidth="1"/>
    <col min="10752" max="10752" width="15" style="69" bestFit="1" customWidth="1"/>
    <col min="10753" max="10753" width="13.140625" style="69" customWidth="1"/>
    <col min="10754" max="10754" width="10.85546875" style="69" customWidth="1"/>
    <col min="10755" max="10755" width="14.42578125" style="69" bestFit="1" customWidth="1"/>
    <col min="10756" max="10756" width="11" style="69" bestFit="1" customWidth="1"/>
    <col min="10757" max="10757" width="20" style="69" customWidth="1"/>
    <col min="10758" max="10759" width="13.140625" style="69" customWidth="1"/>
    <col min="10760" max="10760" width="13.85546875" style="69" bestFit="1" customWidth="1"/>
    <col min="10761" max="10761" width="10.7109375" style="69" customWidth="1"/>
    <col min="10762" max="10762" width="11.42578125" style="69" customWidth="1"/>
    <col min="10763" max="10763" width="15.140625" style="69" customWidth="1"/>
    <col min="10764" max="10764" width="11.42578125" style="69" customWidth="1"/>
    <col min="10765" max="10765" width="14.85546875" style="69" customWidth="1"/>
    <col min="10766" max="10766" width="20" style="69" bestFit="1" customWidth="1"/>
    <col min="10767" max="10767" width="12.28515625" style="69" bestFit="1" customWidth="1"/>
    <col min="10768" max="11002" width="9" style="69"/>
    <col min="11003" max="11003" width="14" style="69" customWidth="1"/>
    <col min="11004" max="11004" width="7.7109375" style="69" customWidth="1"/>
    <col min="11005" max="11005" width="6.140625" style="69" customWidth="1"/>
    <col min="11006" max="11006" width="24" style="69" customWidth="1"/>
    <col min="11007" max="11007" width="12.85546875" style="69" customWidth="1"/>
    <col min="11008" max="11008" width="15" style="69" bestFit="1" customWidth="1"/>
    <col min="11009" max="11009" width="13.140625" style="69" customWidth="1"/>
    <col min="11010" max="11010" width="10.85546875" style="69" customWidth="1"/>
    <col min="11011" max="11011" width="14.42578125" style="69" bestFit="1" customWidth="1"/>
    <col min="11012" max="11012" width="11" style="69" bestFit="1" customWidth="1"/>
    <col min="11013" max="11013" width="20" style="69" customWidth="1"/>
    <col min="11014" max="11015" width="13.140625" style="69" customWidth="1"/>
    <col min="11016" max="11016" width="13.85546875" style="69" bestFit="1" customWidth="1"/>
    <col min="11017" max="11017" width="10.7109375" style="69" customWidth="1"/>
    <col min="11018" max="11018" width="11.42578125" style="69" customWidth="1"/>
    <col min="11019" max="11019" width="15.140625" style="69" customWidth="1"/>
    <col min="11020" max="11020" width="11.42578125" style="69" customWidth="1"/>
    <col min="11021" max="11021" width="14.85546875" style="69" customWidth="1"/>
    <col min="11022" max="11022" width="20" style="69" bestFit="1" customWidth="1"/>
    <col min="11023" max="11023" width="12.28515625" style="69" bestFit="1" customWidth="1"/>
    <col min="11024" max="11258" width="9" style="69"/>
    <col min="11259" max="11259" width="14" style="69" customWidth="1"/>
    <col min="11260" max="11260" width="7.7109375" style="69" customWidth="1"/>
    <col min="11261" max="11261" width="6.140625" style="69" customWidth="1"/>
    <col min="11262" max="11262" width="24" style="69" customWidth="1"/>
    <col min="11263" max="11263" width="12.85546875" style="69" customWidth="1"/>
    <col min="11264" max="11264" width="15" style="69" bestFit="1" customWidth="1"/>
    <col min="11265" max="11265" width="13.140625" style="69" customWidth="1"/>
    <col min="11266" max="11266" width="10.85546875" style="69" customWidth="1"/>
    <col min="11267" max="11267" width="14.42578125" style="69" bestFit="1" customWidth="1"/>
    <col min="11268" max="11268" width="11" style="69" bestFit="1" customWidth="1"/>
    <col min="11269" max="11269" width="20" style="69" customWidth="1"/>
    <col min="11270" max="11271" width="13.140625" style="69" customWidth="1"/>
    <col min="11272" max="11272" width="13.85546875" style="69" bestFit="1" customWidth="1"/>
    <col min="11273" max="11273" width="10.7109375" style="69" customWidth="1"/>
    <col min="11274" max="11274" width="11.42578125" style="69" customWidth="1"/>
    <col min="11275" max="11275" width="15.140625" style="69" customWidth="1"/>
    <col min="11276" max="11276" width="11.42578125" style="69" customWidth="1"/>
    <col min="11277" max="11277" width="14.85546875" style="69" customWidth="1"/>
    <col min="11278" max="11278" width="20" style="69" bestFit="1" customWidth="1"/>
    <col min="11279" max="11279" width="12.28515625" style="69" bestFit="1" customWidth="1"/>
    <col min="11280" max="11514" width="9" style="69"/>
    <col min="11515" max="11515" width="14" style="69" customWidth="1"/>
    <col min="11516" max="11516" width="7.7109375" style="69" customWidth="1"/>
    <col min="11517" max="11517" width="6.140625" style="69" customWidth="1"/>
    <col min="11518" max="11518" width="24" style="69" customWidth="1"/>
    <col min="11519" max="11519" width="12.85546875" style="69" customWidth="1"/>
    <col min="11520" max="11520" width="15" style="69" bestFit="1" customWidth="1"/>
    <col min="11521" max="11521" width="13.140625" style="69" customWidth="1"/>
    <col min="11522" max="11522" width="10.85546875" style="69" customWidth="1"/>
    <col min="11523" max="11523" width="14.42578125" style="69" bestFit="1" customWidth="1"/>
    <col min="11524" max="11524" width="11" style="69" bestFit="1" customWidth="1"/>
    <col min="11525" max="11525" width="20" style="69" customWidth="1"/>
    <col min="11526" max="11527" width="13.140625" style="69" customWidth="1"/>
    <col min="11528" max="11528" width="13.85546875" style="69" bestFit="1" customWidth="1"/>
    <col min="11529" max="11529" width="10.7109375" style="69" customWidth="1"/>
    <col min="11530" max="11530" width="11.42578125" style="69" customWidth="1"/>
    <col min="11531" max="11531" width="15.140625" style="69" customWidth="1"/>
    <col min="11532" max="11532" width="11.42578125" style="69" customWidth="1"/>
    <col min="11533" max="11533" width="14.85546875" style="69" customWidth="1"/>
    <col min="11534" max="11534" width="20" style="69" bestFit="1" customWidth="1"/>
    <col min="11535" max="11535" width="12.28515625" style="69" bestFit="1" customWidth="1"/>
    <col min="11536" max="11770" width="9" style="69"/>
    <col min="11771" max="11771" width="14" style="69" customWidth="1"/>
    <col min="11772" max="11772" width="7.7109375" style="69" customWidth="1"/>
    <col min="11773" max="11773" width="6.140625" style="69" customWidth="1"/>
    <col min="11774" max="11774" width="24" style="69" customWidth="1"/>
    <col min="11775" max="11775" width="12.85546875" style="69" customWidth="1"/>
    <col min="11776" max="11776" width="15" style="69" bestFit="1" customWidth="1"/>
    <col min="11777" max="11777" width="13.140625" style="69" customWidth="1"/>
    <col min="11778" max="11778" width="10.85546875" style="69" customWidth="1"/>
    <col min="11779" max="11779" width="14.42578125" style="69" bestFit="1" customWidth="1"/>
    <col min="11780" max="11780" width="11" style="69" bestFit="1" customWidth="1"/>
    <col min="11781" max="11781" width="20" style="69" customWidth="1"/>
    <col min="11782" max="11783" width="13.140625" style="69" customWidth="1"/>
    <col min="11784" max="11784" width="13.85546875" style="69" bestFit="1" customWidth="1"/>
    <col min="11785" max="11785" width="10.7109375" style="69" customWidth="1"/>
    <col min="11786" max="11786" width="11.42578125" style="69" customWidth="1"/>
    <col min="11787" max="11787" width="15.140625" style="69" customWidth="1"/>
    <col min="11788" max="11788" width="11.42578125" style="69" customWidth="1"/>
    <col min="11789" max="11789" width="14.85546875" style="69" customWidth="1"/>
    <col min="11790" max="11790" width="20" style="69" bestFit="1" customWidth="1"/>
    <col min="11791" max="11791" width="12.28515625" style="69" bestFit="1" customWidth="1"/>
    <col min="11792" max="12026" width="9" style="69"/>
    <col min="12027" max="12027" width="14" style="69" customWidth="1"/>
    <col min="12028" max="12028" width="7.7109375" style="69" customWidth="1"/>
    <col min="12029" max="12029" width="6.140625" style="69" customWidth="1"/>
    <col min="12030" max="12030" width="24" style="69" customWidth="1"/>
    <col min="12031" max="12031" width="12.85546875" style="69" customWidth="1"/>
    <col min="12032" max="12032" width="15" style="69" bestFit="1" customWidth="1"/>
    <col min="12033" max="12033" width="13.140625" style="69" customWidth="1"/>
    <col min="12034" max="12034" width="10.85546875" style="69" customWidth="1"/>
    <col min="12035" max="12035" width="14.42578125" style="69" bestFit="1" customWidth="1"/>
    <col min="12036" max="12036" width="11" style="69" bestFit="1" customWidth="1"/>
    <col min="12037" max="12037" width="20" style="69" customWidth="1"/>
    <col min="12038" max="12039" width="13.140625" style="69" customWidth="1"/>
    <col min="12040" max="12040" width="13.85546875" style="69" bestFit="1" customWidth="1"/>
    <col min="12041" max="12041" width="10.7109375" style="69" customWidth="1"/>
    <col min="12042" max="12042" width="11.42578125" style="69" customWidth="1"/>
    <col min="12043" max="12043" width="15.140625" style="69" customWidth="1"/>
    <col min="12044" max="12044" width="11.42578125" style="69" customWidth="1"/>
    <col min="12045" max="12045" width="14.85546875" style="69" customWidth="1"/>
    <col min="12046" max="12046" width="20" style="69" bestFit="1" customWidth="1"/>
    <col min="12047" max="12047" width="12.28515625" style="69" bestFit="1" customWidth="1"/>
    <col min="12048" max="12282" width="9" style="69"/>
    <col min="12283" max="12283" width="14" style="69" customWidth="1"/>
    <col min="12284" max="12284" width="7.7109375" style="69" customWidth="1"/>
    <col min="12285" max="12285" width="6.140625" style="69" customWidth="1"/>
    <col min="12286" max="12286" width="24" style="69" customWidth="1"/>
    <col min="12287" max="12287" width="12.85546875" style="69" customWidth="1"/>
    <col min="12288" max="12288" width="15" style="69" bestFit="1" customWidth="1"/>
    <col min="12289" max="12289" width="13.140625" style="69" customWidth="1"/>
    <col min="12290" max="12290" width="10.85546875" style="69" customWidth="1"/>
    <col min="12291" max="12291" width="14.42578125" style="69" bestFit="1" customWidth="1"/>
    <col min="12292" max="12292" width="11" style="69" bestFit="1" customWidth="1"/>
    <col min="12293" max="12293" width="20" style="69" customWidth="1"/>
    <col min="12294" max="12295" width="13.140625" style="69" customWidth="1"/>
    <col min="12296" max="12296" width="13.85546875" style="69" bestFit="1" customWidth="1"/>
    <col min="12297" max="12297" width="10.7109375" style="69" customWidth="1"/>
    <col min="12298" max="12298" width="11.42578125" style="69" customWidth="1"/>
    <col min="12299" max="12299" width="15.140625" style="69" customWidth="1"/>
    <col min="12300" max="12300" width="11.42578125" style="69" customWidth="1"/>
    <col min="12301" max="12301" width="14.85546875" style="69" customWidth="1"/>
    <col min="12302" max="12302" width="20" style="69" bestFit="1" customWidth="1"/>
    <col min="12303" max="12303" width="12.28515625" style="69" bestFit="1" customWidth="1"/>
    <col min="12304" max="12538" width="9" style="69"/>
    <col min="12539" max="12539" width="14" style="69" customWidth="1"/>
    <col min="12540" max="12540" width="7.7109375" style="69" customWidth="1"/>
    <col min="12541" max="12541" width="6.140625" style="69" customWidth="1"/>
    <col min="12542" max="12542" width="24" style="69" customWidth="1"/>
    <col min="12543" max="12543" width="12.85546875" style="69" customWidth="1"/>
    <col min="12544" max="12544" width="15" style="69" bestFit="1" customWidth="1"/>
    <col min="12545" max="12545" width="13.140625" style="69" customWidth="1"/>
    <col min="12546" max="12546" width="10.85546875" style="69" customWidth="1"/>
    <col min="12547" max="12547" width="14.42578125" style="69" bestFit="1" customWidth="1"/>
    <col min="12548" max="12548" width="11" style="69" bestFit="1" customWidth="1"/>
    <col min="12549" max="12549" width="20" style="69" customWidth="1"/>
    <col min="12550" max="12551" width="13.140625" style="69" customWidth="1"/>
    <col min="12552" max="12552" width="13.85546875" style="69" bestFit="1" customWidth="1"/>
    <col min="12553" max="12553" width="10.7109375" style="69" customWidth="1"/>
    <col min="12554" max="12554" width="11.42578125" style="69" customWidth="1"/>
    <col min="12555" max="12555" width="15.140625" style="69" customWidth="1"/>
    <col min="12556" max="12556" width="11.42578125" style="69" customWidth="1"/>
    <col min="12557" max="12557" width="14.85546875" style="69" customWidth="1"/>
    <col min="12558" max="12558" width="20" style="69" bestFit="1" customWidth="1"/>
    <col min="12559" max="12559" width="12.28515625" style="69" bestFit="1" customWidth="1"/>
    <col min="12560" max="12794" width="9" style="69"/>
    <col min="12795" max="12795" width="14" style="69" customWidth="1"/>
    <col min="12796" max="12796" width="7.7109375" style="69" customWidth="1"/>
    <col min="12797" max="12797" width="6.140625" style="69" customWidth="1"/>
    <col min="12798" max="12798" width="24" style="69" customWidth="1"/>
    <col min="12799" max="12799" width="12.85546875" style="69" customWidth="1"/>
    <col min="12800" max="12800" width="15" style="69" bestFit="1" customWidth="1"/>
    <col min="12801" max="12801" width="13.140625" style="69" customWidth="1"/>
    <col min="12802" max="12802" width="10.85546875" style="69" customWidth="1"/>
    <col min="12803" max="12803" width="14.42578125" style="69" bestFit="1" customWidth="1"/>
    <col min="12804" max="12804" width="11" style="69" bestFit="1" customWidth="1"/>
    <col min="12805" max="12805" width="20" style="69" customWidth="1"/>
    <col min="12806" max="12807" width="13.140625" style="69" customWidth="1"/>
    <col min="12808" max="12808" width="13.85546875" style="69" bestFit="1" customWidth="1"/>
    <col min="12809" max="12809" width="10.7109375" style="69" customWidth="1"/>
    <col min="12810" max="12810" width="11.42578125" style="69" customWidth="1"/>
    <col min="12811" max="12811" width="15.140625" style="69" customWidth="1"/>
    <col min="12812" max="12812" width="11.42578125" style="69" customWidth="1"/>
    <col min="12813" max="12813" width="14.85546875" style="69" customWidth="1"/>
    <col min="12814" max="12814" width="20" style="69" bestFit="1" customWidth="1"/>
    <col min="12815" max="12815" width="12.28515625" style="69" bestFit="1" customWidth="1"/>
    <col min="12816" max="13050" width="9" style="69"/>
    <col min="13051" max="13051" width="14" style="69" customWidth="1"/>
    <col min="13052" max="13052" width="7.7109375" style="69" customWidth="1"/>
    <col min="13053" max="13053" width="6.140625" style="69" customWidth="1"/>
    <col min="13054" max="13054" width="24" style="69" customWidth="1"/>
    <col min="13055" max="13055" width="12.85546875" style="69" customWidth="1"/>
    <col min="13056" max="13056" width="15" style="69" bestFit="1" customWidth="1"/>
    <col min="13057" max="13057" width="13.140625" style="69" customWidth="1"/>
    <col min="13058" max="13058" width="10.85546875" style="69" customWidth="1"/>
    <col min="13059" max="13059" width="14.42578125" style="69" bestFit="1" customWidth="1"/>
    <col min="13060" max="13060" width="11" style="69" bestFit="1" customWidth="1"/>
    <col min="13061" max="13061" width="20" style="69" customWidth="1"/>
    <col min="13062" max="13063" width="13.140625" style="69" customWidth="1"/>
    <col min="13064" max="13064" width="13.85546875" style="69" bestFit="1" customWidth="1"/>
    <col min="13065" max="13065" width="10.7109375" style="69" customWidth="1"/>
    <col min="13066" max="13066" width="11.42578125" style="69" customWidth="1"/>
    <col min="13067" max="13067" width="15.140625" style="69" customWidth="1"/>
    <col min="13068" max="13068" width="11.42578125" style="69" customWidth="1"/>
    <col min="13069" max="13069" width="14.85546875" style="69" customWidth="1"/>
    <col min="13070" max="13070" width="20" style="69" bestFit="1" customWidth="1"/>
    <col min="13071" max="13071" width="12.28515625" style="69" bestFit="1" customWidth="1"/>
    <col min="13072" max="13306" width="9" style="69"/>
    <col min="13307" max="13307" width="14" style="69" customWidth="1"/>
    <col min="13308" max="13308" width="7.7109375" style="69" customWidth="1"/>
    <col min="13309" max="13309" width="6.140625" style="69" customWidth="1"/>
    <col min="13310" max="13310" width="24" style="69" customWidth="1"/>
    <col min="13311" max="13311" width="12.85546875" style="69" customWidth="1"/>
    <col min="13312" max="13312" width="15" style="69" bestFit="1" customWidth="1"/>
    <col min="13313" max="13313" width="13.140625" style="69" customWidth="1"/>
    <col min="13314" max="13314" width="10.85546875" style="69" customWidth="1"/>
    <col min="13315" max="13315" width="14.42578125" style="69" bestFit="1" customWidth="1"/>
    <col min="13316" max="13316" width="11" style="69" bestFit="1" customWidth="1"/>
    <col min="13317" max="13317" width="20" style="69" customWidth="1"/>
    <col min="13318" max="13319" width="13.140625" style="69" customWidth="1"/>
    <col min="13320" max="13320" width="13.85546875" style="69" bestFit="1" customWidth="1"/>
    <col min="13321" max="13321" width="10.7109375" style="69" customWidth="1"/>
    <col min="13322" max="13322" width="11.42578125" style="69" customWidth="1"/>
    <col min="13323" max="13323" width="15.140625" style="69" customWidth="1"/>
    <col min="13324" max="13324" width="11.42578125" style="69" customWidth="1"/>
    <col min="13325" max="13325" width="14.85546875" style="69" customWidth="1"/>
    <col min="13326" max="13326" width="20" style="69" bestFit="1" customWidth="1"/>
    <col min="13327" max="13327" width="12.28515625" style="69" bestFit="1" customWidth="1"/>
    <col min="13328" max="13562" width="9" style="69"/>
    <col min="13563" max="13563" width="14" style="69" customWidth="1"/>
    <col min="13564" max="13564" width="7.7109375" style="69" customWidth="1"/>
    <col min="13565" max="13565" width="6.140625" style="69" customWidth="1"/>
    <col min="13566" max="13566" width="24" style="69" customWidth="1"/>
    <col min="13567" max="13567" width="12.85546875" style="69" customWidth="1"/>
    <col min="13568" max="13568" width="15" style="69" bestFit="1" customWidth="1"/>
    <col min="13569" max="13569" width="13.140625" style="69" customWidth="1"/>
    <col min="13570" max="13570" width="10.85546875" style="69" customWidth="1"/>
    <col min="13571" max="13571" width="14.42578125" style="69" bestFit="1" customWidth="1"/>
    <col min="13572" max="13572" width="11" style="69" bestFit="1" customWidth="1"/>
    <col min="13573" max="13573" width="20" style="69" customWidth="1"/>
    <col min="13574" max="13575" width="13.140625" style="69" customWidth="1"/>
    <col min="13576" max="13576" width="13.85546875" style="69" bestFit="1" customWidth="1"/>
    <col min="13577" max="13577" width="10.7109375" style="69" customWidth="1"/>
    <col min="13578" max="13578" width="11.42578125" style="69" customWidth="1"/>
    <col min="13579" max="13579" width="15.140625" style="69" customWidth="1"/>
    <col min="13580" max="13580" width="11.42578125" style="69" customWidth="1"/>
    <col min="13581" max="13581" width="14.85546875" style="69" customWidth="1"/>
    <col min="13582" max="13582" width="20" style="69" bestFit="1" customWidth="1"/>
    <col min="13583" max="13583" width="12.28515625" style="69" bestFit="1" customWidth="1"/>
    <col min="13584" max="13818" width="9" style="69"/>
    <col min="13819" max="13819" width="14" style="69" customWidth="1"/>
    <col min="13820" max="13820" width="7.7109375" style="69" customWidth="1"/>
    <col min="13821" max="13821" width="6.140625" style="69" customWidth="1"/>
    <col min="13822" max="13822" width="24" style="69" customWidth="1"/>
    <col min="13823" max="13823" width="12.85546875" style="69" customWidth="1"/>
    <col min="13824" max="13824" width="15" style="69" bestFit="1" customWidth="1"/>
    <col min="13825" max="13825" width="13.140625" style="69" customWidth="1"/>
    <col min="13826" max="13826" width="10.85546875" style="69" customWidth="1"/>
    <col min="13827" max="13827" width="14.42578125" style="69" bestFit="1" customWidth="1"/>
    <col min="13828" max="13828" width="11" style="69" bestFit="1" customWidth="1"/>
    <col min="13829" max="13829" width="20" style="69" customWidth="1"/>
    <col min="13830" max="13831" width="13.140625" style="69" customWidth="1"/>
    <col min="13832" max="13832" width="13.85546875" style="69" bestFit="1" customWidth="1"/>
    <col min="13833" max="13833" width="10.7109375" style="69" customWidth="1"/>
    <col min="13834" max="13834" width="11.42578125" style="69" customWidth="1"/>
    <col min="13835" max="13835" width="15.140625" style="69" customWidth="1"/>
    <col min="13836" max="13836" width="11.42578125" style="69" customWidth="1"/>
    <col min="13837" max="13837" width="14.85546875" style="69" customWidth="1"/>
    <col min="13838" max="13838" width="20" style="69" bestFit="1" customWidth="1"/>
    <col min="13839" max="13839" width="12.28515625" style="69" bestFit="1" customWidth="1"/>
    <col min="13840" max="14074" width="9" style="69"/>
    <col min="14075" max="14075" width="14" style="69" customWidth="1"/>
    <col min="14076" max="14076" width="7.7109375" style="69" customWidth="1"/>
    <col min="14077" max="14077" width="6.140625" style="69" customWidth="1"/>
    <col min="14078" max="14078" width="24" style="69" customWidth="1"/>
    <col min="14079" max="14079" width="12.85546875" style="69" customWidth="1"/>
    <col min="14080" max="14080" width="15" style="69" bestFit="1" customWidth="1"/>
    <col min="14081" max="14081" width="13.140625" style="69" customWidth="1"/>
    <col min="14082" max="14082" width="10.85546875" style="69" customWidth="1"/>
    <col min="14083" max="14083" width="14.42578125" style="69" bestFit="1" customWidth="1"/>
    <col min="14084" max="14084" width="11" style="69" bestFit="1" customWidth="1"/>
    <col min="14085" max="14085" width="20" style="69" customWidth="1"/>
    <col min="14086" max="14087" width="13.140625" style="69" customWidth="1"/>
    <col min="14088" max="14088" width="13.85546875" style="69" bestFit="1" customWidth="1"/>
    <col min="14089" max="14089" width="10.7109375" style="69" customWidth="1"/>
    <col min="14090" max="14090" width="11.42578125" style="69" customWidth="1"/>
    <col min="14091" max="14091" width="15.140625" style="69" customWidth="1"/>
    <col min="14092" max="14092" width="11.42578125" style="69" customWidth="1"/>
    <col min="14093" max="14093" width="14.85546875" style="69" customWidth="1"/>
    <col min="14094" max="14094" width="20" style="69" bestFit="1" customWidth="1"/>
    <col min="14095" max="14095" width="12.28515625" style="69" bestFit="1" customWidth="1"/>
    <col min="14096" max="14330" width="9" style="69"/>
    <col min="14331" max="14331" width="14" style="69" customWidth="1"/>
    <col min="14332" max="14332" width="7.7109375" style="69" customWidth="1"/>
    <col min="14333" max="14333" width="6.140625" style="69" customWidth="1"/>
    <col min="14334" max="14334" width="24" style="69" customWidth="1"/>
    <col min="14335" max="14335" width="12.85546875" style="69" customWidth="1"/>
    <col min="14336" max="14336" width="15" style="69" bestFit="1" customWidth="1"/>
    <col min="14337" max="14337" width="13.140625" style="69" customWidth="1"/>
    <col min="14338" max="14338" width="10.85546875" style="69" customWidth="1"/>
    <col min="14339" max="14339" width="14.42578125" style="69" bestFit="1" customWidth="1"/>
    <col min="14340" max="14340" width="11" style="69" bestFit="1" customWidth="1"/>
    <col min="14341" max="14341" width="20" style="69" customWidth="1"/>
    <col min="14342" max="14343" width="13.140625" style="69" customWidth="1"/>
    <col min="14344" max="14344" width="13.85546875" style="69" bestFit="1" customWidth="1"/>
    <col min="14345" max="14345" width="10.7109375" style="69" customWidth="1"/>
    <col min="14346" max="14346" width="11.42578125" style="69" customWidth="1"/>
    <col min="14347" max="14347" width="15.140625" style="69" customWidth="1"/>
    <col min="14348" max="14348" width="11.42578125" style="69" customWidth="1"/>
    <col min="14349" max="14349" width="14.85546875" style="69" customWidth="1"/>
    <col min="14350" max="14350" width="20" style="69" bestFit="1" customWidth="1"/>
    <col min="14351" max="14351" width="12.28515625" style="69" bestFit="1" customWidth="1"/>
    <col min="14352" max="14586" width="9" style="69"/>
    <col min="14587" max="14587" width="14" style="69" customWidth="1"/>
    <col min="14588" max="14588" width="7.7109375" style="69" customWidth="1"/>
    <col min="14589" max="14589" width="6.140625" style="69" customWidth="1"/>
    <col min="14590" max="14590" width="24" style="69" customWidth="1"/>
    <col min="14591" max="14591" width="12.85546875" style="69" customWidth="1"/>
    <col min="14592" max="14592" width="15" style="69" bestFit="1" customWidth="1"/>
    <col min="14593" max="14593" width="13.140625" style="69" customWidth="1"/>
    <col min="14594" max="14594" width="10.85546875" style="69" customWidth="1"/>
    <col min="14595" max="14595" width="14.42578125" style="69" bestFit="1" customWidth="1"/>
    <col min="14596" max="14596" width="11" style="69" bestFit="1" customWidth="1"/>
    <col min="14597" max="14597" width="20" style="69" customWidth="1"/>
    <col min="14598" max="14599" width="13.140625" style="69" customWidth="1"/>
    <col min="14600" max="14600" width="13.85546875" style="69" bestFit="1" customWidth="1"/>
    <col min="14601" max="14601" width="10.7109375" style="69" customWidth="1"/>
    <col min="14602" max="14602" width="11.42578125" style="69" customWidth="1"/>
    <col min="14603" max="14603" width="15.140625" style="69" customWidth="1"/>
    <col min="14604" max="14604" width="11.42578125" style="69" customWidth="1"/>
    <col min="14605" max="14605" width="14.85546875" style="69" customWidth="1"/>
    <col min="14606" max="14606" width="20" style="69" bestFit="1" customWidth="1"/>
    <col min="14607" max="14607" width="12.28515625" style="69" bestFit="1" customWidth="1"/>
    <col min="14608" max="14842" width="9" style="69"/>
    <col min="14843" max="14843" width="14" style="69" customWidth="1"/>
    <col min="14844" max="14844" width="7.7109375" style="69" customWidth="1"/>
    <col min="14845" max="14845" width="6.140625" style="69" customWidth="1"/>
    <col min="14846" max="14846" width="24" style="69" customWidth="1"/>
    <col min="14847" max="14847" width="12.85546875" style="69" customWidth="1"/>
    <col min="14848" max="14848" width="15" style="69" bestFit="1" customWidth="1"/>
    <col min="14849" max="14849" width="13.140625" style="69" customWidth="1"/>
    <col min="14850" max="14850" width="10.85546875" style="69" customWidth="1"/>
    <col min="14851" max="14851" width="14.42578125" style="69" bestFit="1" customWidth="1"/>
    <col min="14852" max="14852" width="11" style="69" bestFit="1" customWidth="1"/>
    <col min="14853" max="14853" width="20" style="69" customWidth="1"/>
    <col min="14854" max="14855" width="13.140625" style="69" customWidth="1"/>
    <col min="14856" max="14856" width="13.85546875" style="69" bestFit="1" customWidth="1"/>
    <col min="14857" max="14857" width="10.7109375" style="69" customWidth="1"/>
    <col min="14858" max="14858" width="11.42578125" style="69" customWidth="1"/>
    <col min="14859" max="14859" width="15.140625" style="69" customWidth="1"/>
    <col min="14860" max="14860" width="11.42578125" style="69" customWidth="1"/>
    <col min="14861" max="14861" width="14.85546875" style="69" customWidth="1"/>
    <col min="14862" max="14862" width="20" style="69" bestFit="1" customWidth="1"/>
    <col min="14863" max="14863" width="12.28515625" style="69" bestFit="1" customWidth="1"/>
    <col min="14864" max="15098" width="9" style="69"/>
    <col min="15099" max="15099" width="14" style="69" customWidth="1"/>
    <col min="15100" max="15100" width="7.7109375" style="69" customWidth="1"/>
    <col min="15101" max="15101" width="6.140625" style="69" customWidth="1"/>
    <col min="15102" max="15102" width="24" style="69" customWidth="1"/>
    <col min="15103" max="15103" width="12.85546875" style="69" customWidth="1"/>
    <col min="15104" max="15104" width="15" style="69" bestFit="1" customWidth="1"/>
    <col min="15105" max="15105" width="13.140625" style="69" customWidth="1"/>
    <col min="15106" max="15106" width="10.85546875" style="69" customWidth="1"/>
    <col min="15107" max="15107" width="14.42578125" style="69" bestFit="1" customWidth="1"/>
    <col min="15108" max="15108" width="11" style="69" bestFit="1" customWidth="1"/>
    <col min="15109" max="15109" width="20" style="69" customWidth="1"/>
    <col min="15110" max="15111" width="13.140625" style="69" customWidth="1"/>
    <col min="15112" max="15112" width="13.85546875" style="69" bestFit="1" customWidth="1"/>
    <col min="15113" max="15113" width="10.7109375" style="69" customWidth="1"/>
    <col min="15114" max="15114" width="11.42578125" style="69" customWidth="1"/>
    <col min="15115" max="15115" width="15.140625" style="69" customWidth="1"/>
    <col min="15116" max="15116" width="11.42578125" style="69" customWidth="1"/>
    <col min="15117" max="15117" width="14.85546875" style="69" customWidth="1"/>
    <col min="15118" max="15118" width="20" style="69" bestFit="1" customWidth="1"/>
    <col min="15119" max="15119" width="12.28515625" style="69" bestFit="1" customWidth="1"/>
    <col min="15120" max="15354" width="9" style="69"/>
    <col min="15355" max="15355" width="14" style="69" customWidth="1"/>
    <col min="15356" max="15356" width="7.7109375" style="69" customWidth="1"/>
    <col min="15357" max="15357" width="6.140625" style="69" customWidth="1"/>
    <col min="15358" max="15358" width="24" style="69" customWidth="1"/>
    <col min="15359" max="15359" width="12.85546875" style="69" customWidth="1"/>
    <col min="15360" max="15360" width="15" style="69" bestFit="1" customWidth="1"/>
    <col min="15361" max="15361" width="13.140625" style="69" customWidth="1"/>
    <col min="15362" max="15362" width="10.85546875" style="69" customWidth="1"/>
    <col min="15363" max="15363" width="14.42578125" style="69" bestFit="1" customWidth="1"/>
    <col min="15364" max="15364" width="11" style="69" bestFit="1" customWidth="1"/>
    <col min="15365" max="15365" width="20" style="69" customWidth="1"/>
    <col min="15366" max="15367" width="13.140625" style="69" customWidth="1"/>
    <col min="15368" max="15368" width="13.85546875" style="69" bestFit="1" customWidth="1"/>
    <col min="15369" max="15369" width="10.7109375" style="69" customWidth="1"/>
    <col min="15370" max="15370" width="11.42578125" style="69" customWidth="1"/>
    <col min="15371" max="15371" width="15.140625" style="69" customWidth="1"/>
    <col min="15372" max="15372" width="11.42578125" style="69" customWidth="1"/>
    <col min="15373" max="15373" width="14.85546875" style="69" customWidth="1"/>
    <col min="15374" max="15374" width="20" style="69" bestFit="1" customWidth="1"/>
    <col min="15375" max="15375" width="12.28515625" style="69" bestFit="1" customWidth="1"/>
    <col min="15376" max="15610" width="9" style="69"/>
    <col min="15611" max="15611" width="14" style="69" customWidth="1"/>
    <col min="15612" max="15612" width="7.7109375" style="69" customWidth="1"/>
    <col min="15613" max="15613" width="6.140625" style="69" customWidth="1"/>
    <col min="15614" max="15614" width="24" style="69" customWidth="1"/>
    <col min="15615" max="15615" width="12.85546875" style="69" customWidth="1"/>
    <col min="15616" max="15616" width="15" style="69" bestFit="1" customWidth="1"/>
    <col min="15617" max="15617" width="13.140625" style="69" customWidth="1"/>
    <col min="15618" max="15618" width="10.85546875" style="69" customWidth="1"/>
    <col min="15619" max="15619" width="14.42578125" style="69" bestFit="1" customWidth="1"/>
    <col min="15620" max="15620" width="11" style="69" bestFit="1" customWidth="1"/>
    <col min="15621" max="15621" width="20" style="69" customWidth="1"/>
    <col min="15622" max="15623" width="13.140625" style="69" customWidth="1"/>
    <col min="15624" max="15624" width="13.85546875" style="69" bestFit="1" customWidth="1"/>
    <col min="15625" max="15625" width="10.7109375" style="69" customWidth="1"/>
    <col min="15626" max="15626" width="11.42578125" style="69" customWidth="1"/>
    <col min="15627" max="15627" width="15.140625" style="69" customWidth="1"/>
    <col min="15628" max="15628" width="11.42578125" style="69" customWidth="1"/>
    <col min="15629" max="15629" width="14.85546875" style="69" customWidth="1"/>
    <col min="15630" max="15630" width="20" style="69" bestFit="1" customWidth="1"/>
    <col min="15631" max="15631" width="12.28515625" style="69" bestFit="1" customWidth="1"/>
    <col min="15632" max="15866" width="9" style="69"/>
    <col min="15867" max="15867" width="14" style="69" customWidth="1"/>
    <col min="15868" max="15868" width="7.7109375" style="69" customWidth="1"/>
    <col min="15869" max="15869" width="6.140625" style="69" customWidth="1"/>
    <col min="15870" max="15870" width="24" style="69" customWidth="1"/>
    <col min="15871" max="15871" width="12.85546875" style="69" customWidth="1"/>
    <col min="15872" max="15872" width="15" style="69" bestFit="1" customWidth="1"/>
    <col min="15873" max="15873" width="13.140625" style="69" customWidth="1"/>
    <col min="15874" max="15874" width="10.85546875" style="69" customWidth="1"/>
    <col min="15875" max="15875" width="14.42578125" style="69" bestFit="1" customWidth="1"/>
    <col min="15876" max="15876" width="11" style="69" bestFit="1" customWidth="1"/>
    <col min="15877" max="15877" width="20" style="69" customWidth="1"/>
    <col min="15878" max="15879" width="13.140625" style="69" customWidth="1"/>
    <col min="15880" max="15880" width="13.85546875" style="69" bestFit="1" customWidth="1"/>
    <col min="15881" max="15881" width="10.7109375" style="69" customWidth="1"/>
    <col min="15882" max="15882" width="11.42578125" style="69" customWidth="1"/>
    <col min="15883" max="15883" width="15.140625" style="69" customWidth="1"/>
    <col min="15884" max="15884" width="11.42578125" style="69" customWidth="1"/>
    <col min="15885" max="15885" width="14.85546875" style="69" customWidth="1"/>
    <col min="15886" max="15886" width="20" style="69" bestFit="1" customWidth="1"/>
    <col min="15887" max="15887" width="12.28515625" style="69" bestFit="1" customWidth="1"/>
    <col min="15888" max="16122" width="9" style="69"/>
    <col min="16123" max="16123" width="14" style="69" customWidth="1"/>
    <col min="16124" max="16124" width="7.7109375" style="69" customWidth="1"/>
    <col min="16125" max="16125" width="6.140625" style="69" customWidth="1"/>
    <col min="16126" max="16126" width="24" style="69" customWidth="1"/>
    <col min="16127" max="16127" width="12.85546875" style="69" customWidth="1"/>
    <col min="16128" max="16128" width="15" style="69" bestFit="1" customWidth="1"/>
    <col min="16129" max="16129" width="13.140625" style="69" customWidth="1"/>
    <col min="16130" max="16130" width="10.85546875" style="69" customWidth="1"/>
    <col min="16131" max="16131" width="14.42578125" style="69" bestFit="1" customWidth="1"/>
    <col min="16132" max="16132" width="11" style="69" bestFit="1" customWidth="1"/>
    <col min="16133" max="16133" width="20" style="69" customWidth="1"/>
    <col min="16134" max="16135" width="13.140625" style="69" customWidth="1"/>
    <col min="16136" max="16136" width="13.85546875" style="69" bestFit="1" customWidth="1"/>
    <col min="16137" max="16137" width="10.7109375" style="69" customWidth="1"/>
    <col min="16138" max="16138" width="11.42578125" style="69" customWidth="1"/>
    <col min="16139" max="16139" width="15.140625" style="69" customWidth="1"/>
    <col min="16140" max="16140" width="11.42578125" style="69" customWidth="1"/>
    <col min="16141" max="16141" width="14.85546875" style="69" customWidth="1"/>
    <col min="16142" max="16142" width="20" style="69" bestFit="1" customWidth="1"/>
    <col min="16143" max="16143" width="12.28515625" style="69" bestFit="1" customWidth="1"/>
    <col min="16144" max="16384" width="9" style="69"/>
  </cols>
  <sheetData>
    <row r="1" spans="1:23" x14ac:dyDescent="0.2">
      <c r="A1" s="75" t="s">
        <v>102</v>
      </c>
    </row>
    <row r="2" spans="1:23" x14ac:dyDescent="0.2">
      <c r="A2" s="75" t="s">
        <v>0</v>
      </c>
      <c r="L2" s="97" t="s">
        <v>103</v>
      </c>
      <c r="N2" s="154"/>
      <c r="O2" s="155" t="s">
        <v>23</v>
      </c>
    </row>
    <row r="3" spans="1:23" x14ac:dyDescent="0.2">
      <c r="A3" s="75" t="s">
        <v>249</v>
      </c>
      <c r="L3" s="97"/>
      <c r="N3" s="154"/>
      <c r="O3" s="155"/>
    </row>
    <row r="4" spans="1:23" x14ac:dyDescent="0.2">
      <c r="A4" s="194" t="s">
        <v>113</v>
      </c>
      <c r="B4" s="158" t="s">
        <v>253</v>
      </c>
      <c r="L4" s="97" t="s">
        <v>92</v>
      </c>
      <c r="N4" s="97"/>
      <c r="O4" s="155" t="s">
        <v>23</v>
      </c>
    </row>
    <row r="5" spans="1:23" x14ac:dyDescent="0.2">
      <c r="A5" s="75"/>
      <c r="B5" s="75"/>
    </row>
    <row r="6" spans="1:23" x14ac:dyDescent="0.2">
      <c r="A6" s="75" t="s">
        <v>1</v>
      </c>
      <c r="B6" s="389">
        <v>2011</v>
      </c>
    </row>
    <row r="8" spans="1:23" s="68" customFormat="1" ht="51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86" t="s">
        <v>12</v>
      </c>
      <c r="H8" s="186" t="s">
        <v>13</v>
      </c>
      <c r="I8" s="186" t="s">
        <v>108</v>
      </c>
      <c r="J8" s="186" t="s">
        <v>15</v>
      </c>
      <c r="K8" s="170" t="s">
        <v>111</v>
      </c>
      <c r="L8" s="187" t="s">
        <v>110</v>
      </c>
      <c r="M8" s="187" t="s">
        <v>109</v>
      </c>
      <c r="N8" s="187" t="s">
        <v>112</v>
      </c>
      <c r="O8" s="168" t="s">
        <v>101</v>
      </c>
      <c r="P8" s="196"/>
      <c r="Q8" s="196"/>
      <c r="R8" s="196"/>
      <c r="S8" s="196"/>
      <c r="T8" s="196"/>
      <c r="U8" s="196"/>
      <c r="V8" s="196"/>
      <c r="W8" s="196"/>
    </row>
    <row r="9" spans="1:23" ht="13.7" customHeight="1" x14ac:dyDescent="0.2">
      <c r="A9" s="204" t="s">
        <v>250</v>
      </c>
      <c r="B9" s="205">
        <v>32508</v>
      </c>
      <c r="C9" s="206">
        <v>1988</v>
      </c>
      <c r="D9" s="172" t="s">
        <v>245</v>
      </c>
      <c r="E9" s="206" t="s">
        <v>246</v>
      </c>
      <c r="F9" s="206" t="s">
        <v>246</v>
      </c>
      <c r="G9" s="303" t="s">
        <v>247</v>
      </c>
      <c r="H9" s="222">
        <v>174187.53</v>
      </c>
      <c r="I9" s="206" t="s">
        <v>246</v>
      </c>
      <c r="J9" s="206" t="s">
        <v>246</v>
      </c>
      <c r="K9" s="206" t="s">
        <v>246</v>
      </c>
      <c r="L9" s="206" t="s">
        <v>246</v>
      </c>
      <c r="M9" s="206" t="s">
        <v>246</v>
      </c>
      <c r="N9" s="222">
        <f>+H9</f>
        <v>174187.53</v>
      </c>
      <c r="O9" s="205"/>
    </row>
    <row r="10" spans="1:23" ht="13.7" customHeight="1" x14ac:dyDescent="0.2">
      <c r="A10" s="204" t="s">
        <v>251</v>
      </c>
      <c r="B10" s="205">
        <v>35246</v>
      </c>
      <c r="C10" s="206">
        <v>1996</v>
      </c>
      <c r="D10" s="172" t="s">
        <v>245</v>
      </c>
      <c r="E10" s="206" t="s">
        <v>246</v>
      </c>
      <c r="F10" s="206" t="s">
        <v>246</v>
      </c>
      <c r="G10" s="303" t="s">
        <v>247</v>
      </c>
      <c r="H10" s="220">
        <v>105600</v>
      </c>
      <c r="I10" s="206" t="s">
        <v>246</v>
      </c>
      <c r="J10" s="206" t="s">
        <v>246</v>
      </c>
      <c r="K10" s="206" t="s">
        <v>246</v>
      </c>
      <c r="L10" s="206" t="s">
        <v>246</v>
      </c>
      <c r="M10" s="206" t="s">
        <v>246</v>
      </c>
      <c r="N10" s="220">
        <f>+H10</f>
        <v>105600</v>
      </c>
      <c r="O10" s="233">
        <v>38229</v>
      </c>
    </row>
    <row r="11" spans="1:23" ht="13.7" customHeight="1" x14ac:dyDescent="0.2">
      <c r="A11" s="204"/>
      <c r="B11" s="205"/>
      <c r="C11" s="206"/>
      <c r="D11" s="172"/>
      <c r="E11" s="206"/>
      <c r="F11" s="207"/>
      <c r="G11" s="303"/>
      <c r="H11" s="220">
        <v>-105600</v>
      </c>
      <c r="I11" s="206"/>
      <c r="J11" s="206"/>
      <c r="K11" s="206"/>
      <c r="L11" s="206"/>
      <c r="M11" s="206"/>
      <c r="N11" s="220">
        <v>-105600</v>
      </c>
      <c r="O11" s="233"/>
    </row>
    <row r="12" spans="1:23" x14ac:dyDescent="0.2">
      <c r="A12" s="204" t="s">
        <v>252</v>
      </c>
      <c r="B12" s="206">
        <v>1998</v>
      </c>
      <c r="C12" s="206">
        <v>1998</v>
      </c>
      <c r="D12" s="172" t="s">
        <v>245</v>
      </c>
      <c r="E12" s="206" t="s">
        <v>246</v>
      </c>
      <c r="F12" s="206" t="s">
        <v>246</v>
      </c>
      <c r="G12" s="303" t="s">
        <v>248</v>
      </c>
      <c r="H12" s="220">
        <v>42775.57</v>
      </c>
      <c r="I12" s="206" t="s">
        <v>246</v>
      </c>
      <c r="J12" s="206" t="s">
        <v>246</v>
      </c>
      <c r="K12" s="206" t="s">
        <v>246</v>
      </c>
      <c r="L12" s="206" t="s">
        <v>246</v>
      </c>
      <c r="M12" s="206" t="s">
        <v>246</v>
      </c>
      <c r="N12" s="220">
        <f>+H12</f>
        <v>42775.57</v>
      </c>
      <c r="O12" s="233">
        <v>38229</v>
      </c>
    </row>
    <row r="13" spans="1:23" x14ac:dyDescent="0.2">
      <c r="A13" s="149"/>
      <c r="B13" s="206"/>
      <c r="C13" s="206"/>
      <c r="D13" s="206"/>
      <c r="E13" s="206"/>
      <c r="F13" s="207"/>
      <c r="G13" s="303"/>
      <c r="H13" s="220">
        <v>-42775.57</v>
      </c>
      <c r="I13" s="209"/>
      <c r="J13" s="210"/>
      <c r="K13" s="208"/>
      <c r="L13" s="208"/>
      <c r="M13" s="208"/>
      <c r="N13" s="220">
        <v>-42775.57</v>
      </c>
      <c r="O13" s="205"/>
    </row>
    <row r="14" spans="1:23" x14ac:dyDescent="0.2">
      <c r="A14" s="149"/>
      <c r="B14" s="206"/>
      <c r="C14" s="206"/>
      <c r="D14" s="206"/>
      <c r="E14" s="206"/>
      <c r="F14" s="207"/>
      <c r="G14" s="303"/>
      <c r="H14" s="220"/>
      <c r="I14" s="209"/>
      <c r="J14" s="210"/>
      <c r="K14" s="208"/>
      <c r="L14" s="208"/>
      <c r="M14" s="208"/>
      <c r="N14" s="220"/>
      <c r="O14" s="205"/>
    </row>
    <row r="15" spans="1:23" s="68" customFormat="1" x14ac:dyDescent="0.2">
      <c r="A15" s="149" t="s">
        <v>100</v>
      </c>
      <c r="B15" s="212"/>
      <c r="C15" s="212"/>
      <c r="D15" s="212"/>
      <c r="E15" s="212"/>
      <c r="F15" s="212"/>
      <c r="G15" s="82"/>
      <c r="H15" s="242">
        <f>SUM(H9:H14)</f>
        <v>174187.53000000003</v>
      </c>
      <c r="I15" s="304"/>
      <c r="J15" s="242"/>
      <c r="K15" s="242"/>
      <c r="L15" s="242">
        <f>SUM(L9:L14)</f>
        <v>0</v>
      </c>
      <c r="M15" s="242">
        <f>SUM(M9:M14)</f>
        <v>0</v>
      </c>
      <c r="N15" s="242">
        <f>+H15-M15</f>
        <v>174187.53000000003</v>
      </c>
      <c r="O15" s="212"/>
    </row>
    <row r="16" spans="1:23" s="68" customFormat="1" x14ac:dyDescent="0.2">
      <c r="A16" s="93"/>
      <c r="B16" s="92"/>
      <c r="C16" s="92"/>
      <c r="D16" s="92"/>
      <c r="E16" s="92"/>
      <c r="F16" s="92"/>
      <c r="G16" s="83"/>
      <c r="H16" s="250"/>
      <c r="I16" s="258"/>
      <c r="J16" s="250"/>
      <c r="K16" s="250"/>
      <c r="L16" s="250"/>
      <c r="M16" s="250"/>
      <c r="N16" s="250"/>
      <c r="O16" s="92"/>
    </row>
    <row r="17" spans="1:15" s="68" customFormat="1" x14ac:dyDescent="0.2">
      <c r="A17" s="93"/>
      <c r="B17" s="92"/>
      <c r="C17" s="92"/>
      <c r="D17" s="92"/>
      <c r="E17" s="92"/>
      <c r="F17" s="92"/>
      <c r="G17" s="100"/>
      <c r="H17" s="250"/>
      <c r="I17" s="258"/>
      <c r="J17" s="250"/>
      <c r="K17" s="250"/>
      <c r="L17" s="250"/>
      <c r="M17" s="250"/>
      <c r="N17" s="250"/>
      <c r="O17" s="92"/>
    </row>
    <row r="18" spans="1:15" s="68" customFormat="1" x14ac:dyDescent="0.2">
      <c r="A18" s="93"/>
      <c r="B18" s="92"/>
      <c r="C18" s="92"/>
      <c r="D18" s="92"/>
      <c r="E18" s="92"/>
      <c r="F18" s="92"/>
      <c r="G18" s="247"/>
      <c r="H18" s="250"/>
      <c r="I18" s="258"/>
      <c r="J18" s="250"/>
      <c r="K18" s="250"/>
      <c r="L18" s="250"/>
      <c r="M18" s="250"/>
      <c r="N18" s="250"/>
      <c r="O18" s="92"/>
    </row>
    <row r="19" spans="1:15" s="68" customFormat="1" x14ac:dyDescent="0.2">
      <c r="A19" s="93"/>
      <c r="B19" s="92"/>
      <c r="C19" s="92"/>
      <c r="D19" s="92"/>
      <c r="E19" s="92"/>
      <c r="F19" s="92"/>
      <c r="G19" s="247"/>
      <c r="H19" s="250"/>
      <c r="I19" s="258"/>
      <c r="J19" s="250"/>
      <c r="K19" s="250"/>
      <c r="L19" s="250"/>
      <c r="M19" s="250"/>
      <c r="N19" s="250"/>
      <c r="O19" s="92"/>
    </row>
    <row r="20" spans="1:15" x14ac:dyDescent="0.2">
      <c r="A20" s="78"/>
      <c r="B20" s="79"/>
      <c r="C20" s="79"/>
      <c r="D20" s="79"/>
      <c r="E20" s="79"/>
      <c r="F20" s="84"/>
      <c r="G20" s="79"/>
      <c r="H20" s="252"/>
      <c r="I20" s="251"/>
      <c r="J20" s="252"/>
      <c r="K20" s="252"/>
      <c r="L20" s="252"/>
      <c r="M20" s="252"/>
      <c r="N20" s="252"/>
      <c r="O20" s="79"/>
    </row>
    <row r="21" spans="1:15" x14ac:dyDescent="0.2">
      <c r="G21" s="79"/>
    </row>
    <row r="22" spans="1:15" x14ac:dyDescent="0.2">
      <c r="G22" s="79"/>
      <c r="L22" s="69" t="s">
        <v>24</v>
      </c>
    </row>
    <row r="23" spans="1:15" x14ac:dyDescent="0.2">
      <c r="G23" s="378"/>
      <c r="H23" s="214"/>
      <c r="I23" s="380"/>
    </row>
  </sheetData>
  <printOptions horizontalCentered="1"/>
  <pageMargins left="0.39370078740157483" right="0.39370078740157483" top="0.39370078740157483" bottom="0.78740157480314965" header="0" footer="0.59055118110236227"/>
  <pageSetup scale="78" orientation="landscape" r:id="rId1"/>
  <headerFooter>
    <oddFooter>&amp;L&amp;"Calibri,Regular"&amp;D&amp;C&amp;"Calibri,Regular"Page &amp;P of &amp;N&amp;R&amp;"Calibri,Regular"&amp;F
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workbookViewId="0">
      <selection activeCell="F21" sqref="F21:I24"/>
    </sheetView>
  </sheetViews>
  <sheetFormatPr defaultRowHeight="12.75" x14ac:dyDescent="0.2"/>
  <cols>
    <col min="1" max="1" width="16.28515625" style="307" customWidth="1"/>
    <col min="2" max="2" width="10.140625" style="301" customWidth="1"/>
    <col min="3" max="3" width="10.5703125" style="301" bestFit="1" customWidth="1"/>
    <col min="4" max="4" width="7.140625" style="301" bestFit="1" customWidth="1"/>
    <col min="5" max="5" width="10.28515625" style="301" customWidth="1"/>
    <col min="6" max="6" width="9.140625" style="301" customWidth="1"/>
    <col min="7" max="7" width="16.7109375" style="302" customWidth="1"/>
    <col min="8" max="8" width="13.5703125" style="69" bestFit="1" customWidth="1"/>
    <col min="9" max="9" width="9.7109375" style="301" bestFit="1" customWidth="1"/>
    <col min="10" max="10" width="10.5703125" style="69" customWidth="1"/>
    <col min="11" max="11" width="11" style="69" bestFit="1" customWidth="1"/>
    <col min="12" max="12" width="11" style="69" customWidth="1"/>
    <col min="13" max="13" width="11.42578125" style="69" customWidth="1"/>
    <col min="14" max="14" width="12.42578125" style="69" bestFit="1" customWidth="1"/>
    <col min="15" max="15" width="10.5703125" style="301" customWidth="1"/>
    <col min="16" max="249" width="9" style="69"/>
    <col min="250" max="250" width="10" style="69" customWidth="1"/>
    <col min="251" max="251" width="3.7109375" style="69" customWidth="1"/>
    <col min="252" max="252" width="7.85546875" style="69" customWidth="1"/>
    <col min="253" max="253" width="20" style="69" customWidth="1"/>
    <col min="254" max="254" width="4.28515625" style="69" customWidth="1"/>
    <col min="255" max="255" width="13.140625" style="69" customWidth="1"/>
    <col min="256" max="256" width="10.5703125" style="69" bestFit="1" customWidth="1"/>
    <col min="257" max="257" width="7.140625" style="69" bestFit="1" customWidth="1"/>
    <col min="258" max="258" width="12.7109375" style="69" customWidth="1"/>
    <col min="259" max="259" width="9.140625" style="69" customWidth="1"/>
    <col min="260" max="260" width="14.7109375" style="69" bestFit="1" customWidth="1"/>
    <col min="261" max="262" width="13.140625" style="69" customWidth="1"/>
    <col min="263" max="263" width="11.7109375" style="69" customWidth="1"/>
    <col min="264" max="264" width="14.85546875" style="69" customWidth="1"/>
    <col min="265" max="265" width="11.42578125" style="69" customWidth="1"/>
    <col min="266" max="266" width="14.85546875" style="69" customWidth="1"/>
    <col min="267" max="267" width="13.28515625" style="69" bestFit="1" customWidth="1"/>
    <col min="268" max="268" width="14.85546875" style="69" customWidth="1"/>
    <col min="269" max="269" width="16.5703125" style="69" customWidth="1"/>
    <col min="270" max="270" width="10.5703125" style="69" customWidth="1"/>
    <col min="271" max="271" width="12.28515625" style="69" bestFit="1" customWidth="1"/>
    <col min="272" max="505" width="9" style="69"/>
    <col min="506" max="506" width="10" style="69" customWidth="1"/>
    <col min="507" max="507" width="3.7109375" style="69" customWidth="1"/>
    <col min="508" max="508" width="7.85546875" style="69" customWidth="1"/>
    <col min="509" max="509" width="20" style="69" customWidth="1"/>
    <col min="510" max="510" width="4.28515625" style="69" customWidth="1"/>
    <col min="511" max="511" width="13.140625" style="69" customWidth="1"/>
    <col min="512" max="512" width="10.5703125" style="69" bestFit="1" customWidth="1"/>
    <col min="513" max="513" width="7.140625" style="69" bestFit="1" customWidth="1"/>
    <col min="514" max="514" width="12.7109375" style="69" customWidth="1"/>
    <col min="515" max="515" width="9.140625" style="69" customWidth="1"/>
    <col min="516" max="516" width="14.7109375" style="69" bestFit="1" customWidth="1"/>
    <col min="517" max="518" width="13.140625" style="69" customWidth="1"/>
    <col min="519" max="519" width="11.7109375" style="69" customWidth="1"/>
    <col min="520" max="520" width="14.85546875" style="69" customWidth="1"/>
    <col min="521" max="521" width="11.42578125" style="69" customWidth="1"/>
    <col min="522" max="522" width="14.85546875" style="69" customWidth="1"/>
    <col min="523" max="523" width="13.28515625" style="69" bestFit="1" customWidth="1"/>
    <col min="524" max="524" width="14.85546875" style="69" customWidth="1"/>
    <col min="525" max="525" width="16.5703125" style="69" customWidth="1"/>
    <col min="526" max="526" width="10.5703125" style="69" customWidth="1"/>
    <col min="527" max="527" width="12.28515625" style="69" bestFit="1" customWidth="1"/>
    <col min="528" max="761" width="9" style="69"/>
    <col min="762" max="762" width="10" style="69" customWidth="1"/>
    <col min="763" max="763" width="3.7109375" style="69" customWidth="1"/>
    <col min="764" max="764" width="7.85546875" style="69" customWidth="1"/>
    <col min="765" max="765" width="20" style="69" customWidth="1"/>
    <col min="766" max="766" width="4.28515625" style="69" customWidth="1"/>
    <col min="767" max="767" width="13.140625" style="69" customWidth="1"/>
    <col min="768" max="768" width="10.5703125" style="69" bestFit="1" customWidth="1"/>
    <col min="769" max="769" width="7.140625" style="69" bestFit="1" customWidth="1"/>
    <col min="770" max="770" width="12.7109375" style="69" customWidth="1"/>
    <col min="771" max="771" width="9.140625" style="69" customWidth="1"/>
    <col min="772" max="772" width="14.7109375" style="69" bestFit="1" customWidth="1"/>
    <col min="773" max="774" width="13.140625" style="69" customWidth="1"/>
    <col min="775" max="775" width="11.7109375" style="69" customWidth="1"/>
    <col min="776" max="776" width="14.85546875" style="69" customWidth="1"/>
    <col min="777" max="777" width="11.42578125" style="69" customWidth="1"/>
    <col min="778" max="778" width="14.85546875" style="69" customWidth="1"/>
    <col min="779" max="779" width="13.28515625" style="69" bestFit="1" customWidth="1"/>
    <col min="780" max="780" width="14.85546875" style="69" customWidth="1"/>
    <col min="781" max="781" width="16.5703125" style="69" customWidth="1"/>
    <col min="782" max="782" width="10.5703125" style="69" customWidth="1"/>
    <col min="783" max="783" width="12.28515625" style="69" bestFit="1" customWidth="1"/>
    <col min="784" max="1017" width="9" style="69"/>
    <col min="1018" max="1018" width="10" style="69" customWidth="1"/>
    <col min="1019" max="1019" width="3.7109375" style="69" customWidth="1"/>
    <col min="1020" max="1020" width="7.85546875" style="69" customWidth="1"/>
    <col min="1021" max="1021" width="20" style="69" customWidth="1"/>
    <col min="1022" max="1022" width="4.28515625" style="69" customWidth="1"/>
    <col min="1023" max="1023" width="13.140625" style="69" customWidth="1"/>
    <col min="1024" max="1024" width="10.5703125" style="69" bestFit="1" customWidth="1"/>
    <col min="1025" max="1025" width="7.140625" style="69" bestFit="1" customWidth="1"/>
    <col min="1026" max="1026" width="12.7109375" style="69" customWidth="1"/>
    <col min="1027" max="1027" width="9.140625" style="69" customWidth="1"/>
    <col min="1028" max="1028" width="14.7109375" style="69" bestFit="1" customWidth="1"/>
    <col min="1029" max="1030" width="13.140625" style="69" customWidth="1"/>
    <col min="1031" max="1031" width="11.7109375" style="69" customWidth="1"/>
    <col min="1032" max="1032" width="14.85546875" style="69" customWidth="1"/>
    <col min="1033" max="1033" width="11.42578125" style="69" customWidth="1"/>
    <col min="1034" max="1034" width="14.85546875" style="69" customWidth="1"/>
    <col min="1035" max="1035" width="13.28515625" style="69" bestFit="1" customWidth="1"/>
    <col min="1036" max="1036" width="14.85546875" style="69" customWidth="1"/>
    <col min="1037" max="1037" width="16.5703125" style="69" customWidth="1"/>
    <col min="1038" max="1038" width="10.5703125" style="69" customWidth="1"/>
    <col min="1039" max="1039" width="12.28515625" style="69" bestFit="1" customWidth="1"/>
    <col min="1040" max="1273" width="9" style="69"/>
    <col min="1274" max="1274" width="10" style="69" customWidth="1"/>
    <col min="1275" max="1275" width="3.7109375" style="69" customWidth="1"/>
    <col min="1276" max="1276" width="7.85546875" style="69" customWidth="1"/>
    <col min="1277" max="1277" width="20" style="69" customWidth="1"/>
    <col min="1278" max="1278" width="4.28515625" style="69" customWidth="1"/>
    <col min="1279" max="1279" width="13.140625" style="69" customWidth="1"/>
    <col min="1280" max="1280" width="10.5703125" style="69" bestFit="1" customWidth="1"/>
    <col min="1281" max="1281" width="7.140625" style="69" bestFit="1" customWidth="1"/>
    <col min="1282" max="1282" width="12.7109375" style="69" customWidth="1"/>
    <col min="1283" max="1283" width="9.140625" style="69" customWidth="1"/>
    <col min="1284" max="1284" width="14.7109375" style="69" bestFit="1" customWidth="1"/>
    <col min="1285" max="1286" width="13.140625" style="69" customWidth="1"/>
    <col min="1287" max="1287" width="11.7109375" style="69" customWidth="1"/>
    <col min="1288" max="1288" width="14.85546875" style="69" customWidth="1"/>
    <col min="1289" max="1289" width="11.42578125" style="69" customWidth="1"/>
    <col min="1290" max="1290" width="14.85546875" style="69" customWidth="1"/>
    <col min="1291" max="1291" width="13.28515625" style="69" bestFit="1" customWidth="1"/>
    <col min="1292" max="1292" width="14.85546875" style="69" customWidth="1"/>
    <col min="1293" max="1293" width="16.5703125" style="69" customWidth="1"/>
    <col min="1294" max="1294" width="10.5703125" style="69" customWidth="1"/>
    <col min="1295" max="1295" width="12.28515625" style="69" bestFit="1" customWidth="1"/>
    <col min="1296" max="1529" width="9" style="69"/>
    <col min="1530" max="1530" width="10" style="69" customWidth="1"/>
    <col min="1531" max="1531" width="3.7109375" style="69" customWidth="1"/>
    <col min="1532" max="1532" width="7.85546875" style="69" customWidth="1"/>
    <col min="1533" max="1533" width="20" style="69" customWidth="1"/>
    <col min="1534" max="1534" width="4.28515625" style="69" customWidth="1"/>
    <col min="1535" max="1535" width="13.140625" style="69" customWidth="1"/>
    <col min="1536" max="1536" width="10.5703125" style="69" bestFit="1" customWidth="1"/>
    <col min="1537" max="1537" width="7.140625" style="69" bestFit="1" customWidth="1"/>
    <col min="1538" max="1538" width="12.7109375" style="69" customWidth="1"/>
    <col min="1539" max="1539" width="9.140625" style="69" customWidth="1"/>
    <col min="1540" max="1540" width="14.7109375" style="69" bestFit="1" customWidth="1"/>
    <col min="1541" max="1542" width="13.140625" style="69" customWidth="1"/>
    <col min="1543" max="1543" width="11.7109375" style="69" customWidth="1"/>
    <col min="1544" max="1544" width="14.85546875" style="69" customWidth="1"/>
    <col min="1545" max="1545" width="11.42578125" style="69" customWidth="1"/>
    <col min="1546" max="1546" width="14.85546875" style="69" customWidth="1"/>
    <col min="1547" max="1547" width="13.28515625" style="69" bestFit="1" customWidth="1"/>
    <col min="1548" max="1548" width="14.85546875" style="69" customWidth="1"/>
    <col min="1549" max="1549" width="16.5703125" style="69" customWidth="1"/>
    <col min="1550" max="1550" width="10.5703125" style="69" customWidth="1"/>
    <col min="1551" max="1551" width="12.28515625" style="69" bestFit="1" customWidth="1"/>
    <col min="1552" max="1785" width="9" style="69"/>
    <col min="1786" max="1786" width="10" style="69" customWidth="1"/>
    <col min="1787" max="1787" width="3.7109375" style="69" customWidth="1"/>
    <col min="1788" max="1788" width="7.85546875" style="69" customWidth="1"/>
    <col min="1789" max="1789" width="20" style="69" customWidth="1"/>
    <col min="1790" max="1790" width="4.28515625" style="69" customWidth="1"/>
    <col min="1791" max="1791" width="13.140625" style="69" customWidth="1"/>
    <col min="1792" max="1792" width="10.5703125" style="69" bestFit="1" customWidth="1"/>
    <col min="1793" max="1793" width="7.140625" style="69" bestFit="1" customWidth="1"/>
    <col min="1794" max="1794" width="12.7109375" style="69" customWidth="1"/>
    <col min="1795" max="1795" width="9.140625" style="69" customWidth="1"/>
    <col min="1796" max="1796" width="14.7109375" style="69" bestFit="1" customWidth="1"/>
    <col min="1797" max="1798" width="13.140625" style="69" customWidth="1"/>
    <col min="1799" max="1799" width="11.7109375" style="69" customWidth="1"/>
    <col min="1800" max="1800" width="14.85546875" style="69" customWidth="1"/>
    <col min="1801" max="1801" width="11.42578125" style="69" customWidth="1"/>
    <col min="1802" max="1802" width="14.85546875" style="69" customWidth="1"/>
    <col min="1803" max="1803" width="13.28515625" style="69" bestFit="1" customWidth="1"/>
    <col min="1804" max="1804" width="14.85546875" style="69" customWidth="1"/>
    <col min="1805" max="1805" width="16.5703125" style="69" customWidth="1"/>
    <col min="1806" max="1806" width="10.5703125" style="69" customWidth="1"/>
    <col min="1807" max="1807" width="12.28515625" style="69" bestFit="1" customWidth="1"/>
    <col min="1808" max="2041" width="9" style="69"/>
    <col min="2042" max="2042" width="10" style="69" customWidth="1"/>
    <col min="2043" max="2043" width="3.7109375" style="69" customWidth="1"/>
    <col min="2044" max="2044" width="7.85546875" style="69" customWidth="1"/>
    <col min="2045" max="2045" width="20" style="69" customWidth="1"/>
    <col min="2046" max="2046" width="4.28515625" style="69" customWidth="1"/>
    <col min="2047" max="2047" width="13.140625" style="69" customWidth="1"/>
    <col min="2048" max="2048" width="10.5703125" style="69" bestFit="1" customWidth="1"/>
    <col min="2049" max="2049" width="7.140625" style="69" bestFit="1" customWidth="1"/>
    <col min="2050" max="2050" width="12.7109375" style="69" customWidth="1"/>
    <col min="2051" max="2051" width="9.140625" style="69" customWidth="1"/>
    <col min="2052" max="2052" width="14.7109375" style="69" bestFit="1" customWidth="1"/>
    <col min="2053" max="2054" width="13.140625" style="69" customWidth="1"/>
    <col min="2055" max="2055" width="11.7109375" style="69" customWidth="1"/>
    <col min="2056" max="2056" width="14.85546875" style="69" customWidth="1"/>
    <col min="2057" max="2057" width="11.42578125" style="69" customWidth="1"/>
    <col min="2058" max="2058" width="14.85546875" style="69" customWidth="1"/>
    <col min="2059" max="2059" width="13.28515625" style="69" bestFit="1" customWidth="1"/>
    <col min="2060" max="2060" width="14.85546875" style="69" customWidth="1"/>
    <col min="2061" max="2061" width="16.5703125" style="69" customWidth="1"/>
    <col min="2062" max="2062" width="10.5703125" style="69" customWidth="1"/>
    <col min="2063" max="2063" width="12.28515625" style="69" bestFit="1" customWidth="1"/>
    <col min="2064" max="2297" width="9" style="69"/>
    <col min="2298" max="2298" width="10" style="69" customWidth="1"/>
    <col min="2299" max="2299" width="3.7109375" style="69" customWidth="1"/>
    <col min="2300" max="2300" width="7.85546875" style="69" customWidth="1"/>
    <col min="2301" max="2301" width="20" style="69" customWidth="1"/>
    <col min="2302" max="2302" width="4.28515625" style="69" customWidth="1"/>
    <col min="2303" max="2303" width="13.140625" style="69" customWidth="1"/>
    <col min="2304" max="2304" width="10.5703125" style="69" bestFit="1" customWidth="1"/>
    <col min="2305" max="2305" width="7.140625" style="69" bestFit="1" customWidth="1"/>
    <col min="2306" max="2306" width="12.7109375" style="69" customWidth="1"/>
    <col min="2307" max="2307" width="9.140625" style="69" customWidth="1"/>
    <col min="2308" max="2308" width="14.7109375" style="69" bestFit="1" customWidth="1"/>
    <col min="2309" max="2310" width="13.140625" style="69" customWidth="1"/>
    <col min="2311" max="2311" width="11.7109375" style="69" customWidth="1"/>
    <col min="2312" max="2312" width="14.85546875" style="69" customWidth="1"/>
    <col min="2313" max="2313" width="11.42578125" style="69" customWidth="1"/>
    <col min="2314" max="2314" width="14.85546875" style="69" customWidth="1"/>
    <col min="2315" max="2315" width="13.28515625" style="69" bestFit="1" customWidth="1"/>
    <col min="2316" max="2316" width="14.85546875" style="69" customWidth="1"/>
    <col min="2317" max="2317" width="16.5703125" style="69" customWidth="1"/>
    <col min="2318" max="2318" width="10.5703125" style="69" customWidth="1"/>
    <col min="2319" max="2319" width="12.28515625" style="69" bestFit="1" customWidth="1"/>
    <col min="2320" max="2553" width="9" style="69"/>
    <col min="2554" max="2554" width="10" style="69" customWidth="1"/>
    <col min="2555" max="2555" width="3.7109375" style="69" customWidth="1"/>
    <col min="2556" max="2556" width="7.85546875" style="69" customWidth="1"/>
    <col min="2557" max="2557" width="20" style="69" customWidth="1"/>
    <col min="2558" max="2558" width="4.28515625" style="69" customWidth="1"/>
    <col min="2559" max="2559" width="13.140625" style="69" customWidth="1"/>
    <col min="2560" max="2560" width="10.5703125" style="69" bestFit="1" customWidth="1"/>
    <col min="2561" max="2561" width="7.140625" style="69" bestFit="1" customWidth="1"/>
    <col min="2562" max="2562" width="12.7109375" style="69" customWidth="1"/>
    <col min="2563" max="2563" width="9.140625" style="69" customWidth="1"/>
    <col min="2564" max="2564" width="14.7109375" style="69" bestFit="1" customWidth="1"/>
    <col min="2565" max="2566" width="13.140625" style="69" customWidth="1"/>
    <col min="2567" max="2567" width="11.7109375" style="69" customWidth="1"/>
    <col min="2568" max="2568" width="14.85546875" style="69" customWidth="1"/>
    <col min="2569" max="2569" width="11.42578125" style="69" customWidth="1"/>
    <col min="2570" max="2570" width="14.85546875" style="69" customWidth="1"/>
    <col min="2571" max="2571" width="13.28515625" style="69" bestFit="1" customWidth="1"/>
    <col min="2572" max="2572" width="14.85546875" style="69" customWidth="1"/>
    <col min="2573" max="2573" width="16.5703125" style="69" customWidth="1"/>
    <col min="2574" max="2574" width="10.5703125" style="69" customWidth="1"/>
    <col min="2575" max="2575" width="12.28515625" style="69" bestFit="1" customWidth="1"/>
    <col min="2576" max="2809" width="9" style="69"/>
    <col min="2810" max="2810" width="10" style="69" customWidth="1"/>
    <col min="2811" max="2811" width="3.7109375" style="69" customWidth="1"/>
    <col min="2812" max="2812" width="7.85546875" style="69" customWidth="1"/>
    <col min="2813" max="2813" width="20" style="69" customWidth="1"/>
    <col min="2814" max="2814" width="4.28515625" style="69" customWidth="1"/>
    <col min="2815" max="2815" width="13.140625" style="69" customWidth="1"/>
    <col min="2816" max="2816" width="10.5703125" style="69" bestFit="1" customWidth="1"/>
    <col min="2817" max="2817" width="7.140625" style="69" bestFit="1" customWidth="1"/>
    <col min="2818" max="2818" width="12.7109375" style="69" customWidth="1"/>
    <col min="2819" max="2819" width="9.140625" style="69" customWidth="1"/>
    <col min="2820" max="2820" width="14.7109375" style="69" bestFit="1" customWidth="1"/>
    <col min="2821" max="2822" width="13.140625" style="69" customWidth="1"/>
    <col min="2823" max="2823" width="11.7109375" style="69" customWidth="1"/>
    <col min="2824" max="2824" width="14.85546875" style="69" customWidth="1"/>
    <col min="2825" max="2825" width="11.42578125" style="69" customWidth="1"/>
    <col min="2826" max="2826" width="14.85546875" style="69" customWidth="1"/>
    <col min="2827" max="2827" width="13.28515625" style="69" bestFit="1" customWidth="1"/>
    <col min="2828" max="2828" width="14.85546875" style="69" customWidth="1"/>
    <col min="2829" max="2829" width="16.5703125" style="69" customWidth="1"/>
    <col min="2830" max="2830" width="10.5703125" style="69" customWidth="1"/>
    <col min="2831" max="2831" width="12.28515625" style="69" bestFit="1" customWidth="1"/>
    <col min="2832" max="3065" width="9" style="69"/>
    <col min="3066" max="3066" width="10" style="69" customWidth="1"/>
    <col min="3067" max="3067" width="3.7109375" style="69" customWidth="1"/>
    <col min="3068" max="3068" width="7.85546875" style="69" customWidth="1"/>
    <col min="3069" max="3069" width="20" style="69" customWidth="1"/>
    <col min="3070" max="3070" width="4.28515625" style="69" customWidth="1"/>
    <col min="3071" max="3071" width="13.140625" style="69" customWidth="1"/>
    <col min="3072" max="3072" width="10.5703125" style="69" bestFit="1" customWidth="1"/>
    <col min="3073" max="3073" width="7.140625" style="69" bestFit="1" customWidth="1"/>
    <col min="3074" max="3074" width="12.7109375" style="69" customWidth="1"/>
    <col min="3075" max="3075" width="9.140625" style="69" customWidth="1"/>
    <col min="3076" max="3076" width="14.7109375" style="69" bestFit="1" customWidth="1"/>
    <col min="3077" max="3078" width="13.140625" style="69" customWidth="1"/>
    <col min="3079" max="3079" width="11.7109375" style="69" customWidth="1"/>
    <col min="3080" max="3080" width="14.85546875" style="69" customWidth="1"/>
    <col min="3081" max="3081" width="11.42578125" style="69" customWidth="1"/>
    <col min="3082" max="3082" width="14.85546875" style="69" customWidth="1"/>
    <col min="3083" max="3083" width="13.28515625" style="69" bestFit="1" customWidth="1"/>
    <col min="3084" max="3084" width="14.85546875" style="69" customWidth="1"/>
    <col min="3085" max="3085" width="16.5703125" style="69" customWidth="1"/>
    <col min="3086" max="3086" width="10.5703125" style="69" customWidth="1"/>
    <col min="3087" max="3087" width="12.28515625" style="69" bestFit="1" customWidth="1"/>
    <col min="3088" max="3321" width="9" style="69"/>
    <col min="3322" max="3322" width="10" style="69" customWidth="1"/>
    <col min="3323" max="3323" width="3.7109375" style="69" customWidth="1"/>
    <col min="3324" max="3324" width="7.85546875" style="69" customWidth="1"/>
    <col min="3325" max="3325" width="20" style="69" customWidth="1"/>
    <col min="3326" max="3326" width="4.28515625" style="69" customWidth="1"/>
    <col min="3327" max="3327" width="13.140625" style="69" customWidth="1"/>
    <col min="3328" max="3328" width="10.5703125" style="69" bestFit="1" customWidth="1"/>
    <col min="3329" max="3329" width="7.140625" style="69" bestFit="1" customWidth="1"/>
    <col min="3330" max="3330" width="12.7109375" style="69" customWidth="1"/>
    <col min="3331" max="3331" width="9.140625" style="69" customWidth="1"/>
    <col min="3332" max="3332" width="14.7109375" style="69" bestFit="1" customWidth="1"/>
    <col min="3333" max="3334" width="13.140625" style="69" customWidth="1"/>
    <col min="3335" max="3335" width="11.7109375" style="69" customWidth="1"/>
    <col min="3336" max="3336" width="14.85546875" style="69" customWidth="1"/>
    <col min="3337" max="3337" width="11.42578125" style="69" customWidth="1"/>
    <col min="3338" max="3338" width="14.85546875" style="69" customWidth="1"/>
    <col min="3339" max="3339" width="13.28515625" style="69" bestFit="1" customWidth="1"/>
    <col min="3340" max="3340" width="14.85546875" style="69" customWidth="1"/>
    <col min="3341" max="3341" width="16.5703125" style="69" customWidth="1"/>
    <col min="3342" max="3342" width="10.5703125" style="69" customWidth="1"/>
    <col min="3343" max="3343" width="12.28515625" style="69" bestFit="1" customWidth="1"/>
    <col min="3344" max="3577" width="9" style="69"/>
    <col min="3578" max="3578" width="10" style="69" customWidth="1"/>
    <col min="3579" max="3579" width="3.7109375" style="69" customWidth="1"/>
    <col min="3580" max="3580" width="7.85546875" style="69" customWidth="1"/>
    <col min="3581" max="3581" width="20" style="69" customWidth="1"/>
    <col min="3582" max="3582" width="4.28515625" style="69" customWidth="1"/>
    <col min="3583" max="3583" width="13.140625" style="69" customWidth="1"/>
    <col min="3584" max="3584" width="10.5703125" style="69" bestFit="1" customWidth="1"/>
    <col min="3585" max="3585" width="7.140625" style="69" bestFit="1" customWidth="1"/>
    <col min="3586" max="3586" width="12.7109375" style="69" customWidth="1"/>
    <col min="3587" max="3587" width="9.140625" style="69" customWidth="1"/>
    <col min="3588" max="3588" width="14.7109375" style="69" bestFit="1" customWidth="1"/>
    <col min="3589" max="3590" width="13.140625" style="69" customWidth="1"/>
    <col min="3591" max="3591" width="11.7109375" style="69" customWidth="1"/>
    <col min="3592" max="3592" width="14.85546875" style="69" customWidth="1"/>
    <col min="3593" max="3593" width="11.42578125" style="69" customWidth="1"/>
    <col min="3594" max="3594" width="14.85546875" style="69" customWidth="1"/>
    <col min="3595" max="3595" width="13.28515625" style="69" bestFit="1" customWidth="1"/>
    <col min="3596" max="3596" width="14.85546875" style="69" customWidth="1"/>
    <col min="3597" max="3597" width="16.5703125" style="69" customWidth="1"/>
    <col min="3598" max="3598" width="10.5703125" style="69" customWidth="1"/>
    <col min="3599" max="3599" width="12.28515625" style="69" bestFit="1" customWidth="1"/>
    <col min="3600" max="3833" width="9" style="69"/>
    <col min="3834" max="3834" width="10" style="69" customWidth="1"/>
    <col min="3835" max="3835" width="3.7109375" style="69" customWidth="1"/>
    <col min="3836" max="3836" width="7.85546875" style="69" customWidth="1"/>
    <col min="3837" max="3837" width="20" style="69" customWidth="1"/>
    <col min="3838" max="3838" width="4.28515625" style="69" customWidth="1"/>
    <col min="3839" max="3839" width="13.140625" style="69" customWidth="1"/>
    <col min="3840" max="3840" width="10.5703125" style="69" bestFit="1" customWidth="1"/>
    <col min="3841" max="3841" width="7.140625" style="69" bestFit="1" customWidth="1"/>
    <col min="3842" max="3842" width="12.7109375" style="69" customWidth="1"/>
    <col min="3843" max="3843" width="9.140625" style="69" customWidth="1"/>
    <col min="3844" max="3844" width="14.7109375" style="69" bestFit="1" customWidth="1"/>
    <col min="3845" max="3846" width="13.140625" style="69" customWidth="1"/>
    <col min="3847" max="3847" width="11.7109375" style="69" customWidth="1"/>
    <col min="3848" max="3848" width="14.85546875" style="69" customWidth="1"/>
    <col min="3849" max="3849" width="11.42578125" style="69" customWidth="1"/>
    <col min="3850" max="3850" width="14.85546875" style="69" customWidth="1"/>
    <col min="3851" max="3851" width="13.28515625" style="69" bestFit="1" customWidth="1"/>
    <col min="3852" max="3852" width="14.85546875" style="69" customWidth="1"/>
    <col min="3853" max="3853" width="16.5703125" style="69" customWidth="1"/>
    <col min="3854" max="3854" width="10.5703125" style="69" customWidth="1"/>
    <col min="3855" max="3855" width="12.28515625" style="69" bestFit="1" customWidth="1"/>
    <col min="3856" max="4089" width="9" style="69"/>
    <col min="4090" max="4090" width="10" style="69" customWidth="1"/>
    <col min="4091" max="4091" width="3.7109375" style="69" customWidth="1"/>
    <col min="4092" max="4092" width="7.85546875" style="69" customWidth="1"/>
    <col min="4093" max="4093" width="20" style="69" customWidth="1"/>
    <col min="4094" max="4094" width="4.28515625" style="69" customWidth="1"/>
    <col min="4095" max="4095" width="13.140625" style="69" customWidth="1"/>
    <col min="4096" max="4096" width="10.5703125" style="69" bestFit="1" customWidth="1"/>
    <col min="4097" max="4097" width="7.140625" style="69" bestFit="1" customWidth="1"/>
    <col min="4098" max="4098" width="12.7109375" style="69" customWidth="1"/>
    <col min="4099" max="4099" width="9.140625" style="69" customWidth="1"/>
    <col min="4100" max="4100" width="14.7109375" style="69" bestFit="1" customWidth="1"/>
    <col min="4101" max="4102" width="13.140625" style="69" customWidth="1"/>
    <col min="4103" max="4103" width="11.7109375" style="69" customWidth="1"/>
    <col min="4104" max="4104" width="14.85546875" style="69" customWidth="1"/>
    <col min="4105" max="4105" width="11.42578125" style="69" customWidth="1"/>
    <col min="4106" max="4106" width="14.85546875" style="69" customWidth="1"/>
    <col min="4107" max="4107" width="13.28515625" style="69" bestFit="1" customWidth="1"/>
    <col min="4108" max="4108" width="14.85546875" style="69" customWidth="1"/>
    <col min="4109" max="4109" width="16.5703125" style="69" customWidth="1"/>
    <col min="4110" max="4110" width="10.5703125" style="69" customWidth="1"/>
    <col min="4111" max="4111" width="12.28515625" style="69" bestFit="1" customWidth="1"/>
    <col min="4112" max="4345" width="9" style="69"/>
    <col min="4346" max="4346" width="10" style="69" customWidth="1"/>
    <col min="4347" max="4347" width="3.7109375" style="69" customWidth="1"/>
    <col min="4348" max="4348" width="7.85546875" style="69" customWidth="1"/>
    <col min="4349" max="4349" width="20" style="69" customWidth="1"/>
    <col min="4350" max="4350" width="4.28515625" style="69" customWidth="1"/>
    <col min="4351" max="4351" width="13.140625" style="69" customWidth="1"/>
    <col min="4352" max="4352" width="10.5703125" style="69" bestFit="1" customWidth="1"/>
    <col min="4353" max="4353" width="7.140625" style="69" bestFit="1" customWidth="1"/>
    <col min="4354" max="4354" width="12.7109375" style="69" customWidth="1"/>
    <col min="4355" max="4355" width="9.140625" style="69" customWidth="1"/>
    <col min="4356" max="4356" width="14.7109375" style="69" bestFit="1" customWidth="1"/>
    <col min="4357" max="4358" width="13.140625" style="69" customWidth="1"/>
    <col min="4359" max="4359" width="11.7109375" style="69" customWidth="1"/>
    <col min="4360" max="4360" width="14.85546875" style="69" customWidth="1"/>
    <col min="4361" max="4361" width="11.42578125" style="69" customWidth="1"/>
    <col min="4362" max="4362" width="14.85546875" style="69" customWidth="1"/>
    <col min="4363" max="4363" width="13.28515625" style="69" bestFit="1" customWidth="1"/>
    <col min="4364" max="4364" width="14.85546875" style="69" customWidth="1"/>
    <col min="4365" max="4365" width="16.5703125" style="69" customWidth="1"/>
    <col min="4366" max="4366" width="10.5703125" style="69" customWidth="1"/>
    <col min="4367" max="4367" width="12.28515625" style="69" bestFit="1" customWidth="1"/>
    <col min="4368" max="4601" width="9" style="69"/>
    <col min="4602" max="4602" width="10" style="69" customWidth="1"/>
    <col min="4603" max="4603" width="3.7109375" style="69" customWidth="1"/>
    <col min="4604" max="4604" width="7.85546875" style="69" customWidth="1"/>
    <col min="4605" max="4605" width="20" style="69" customWidth="1"/>
    <col min="4606" max="4606" width="4.28515625" style="69" customWidth="1"/>
    <col min="4607" max="4607" width="13.140625" style="69" customWidth="1"/>
    <col min="4608" max="4608" width="10.5703125" style="69" bestFit="1" customWidth="1"/>
    <col min="4609" max="4609" width="7.140625" style="69" bestFit="1" customWidth="1"/>
    <col min="4610" max="4610" width="12.7109375" style="69" customWidth="1"/>
    <col min="4611" max="4611" width="9.140625" style="69" customWidth="1"/>
    <col min="4612" max="4612" width="14.7109375" style="69" bestFit="1" customWidth="1"/>
    <col min="4613" max="4614" width="13.140625" style="69" customWidth="1"/>
    <col min="4615" max="4615" width="11.7109375" style="69" customWidth="1"/>
    <col min="4616" max="4616" width="14.85546875" style="69" customWidth="1"/>
    <col min="4617" max="4617" width="11.42578125" style="69" customWidth="1"/>
    <col min="4618" max="4618" width="14.85546875" style="69" customWidth="1"/>
    <col min="4619" max="4619" width="13.28515625" style="69" bestFit="1" customWidth="1"/>
    <col min="4620" max="4620" width="14.85546875" style="69" customWidth="1"/>
    <col min="4621" max="4621" width="16.5703125" style="69" customWidth="1"/>
    <col min="4622" max="4622" width="10.5703125" style="69" customWidth="1"/>
    <col min="4623" max="4623" width="12.28515625" style="69" bestFit="1" customWidth="1"/>
    <col min="4624" max="4857" width="9" style="69"/>
    <col min="4858" max="4858" width="10" style="69" customWidth="1"/>
    <col min="4859" max="4859" width="3.7109375" style="69" customWidth="1"/>
    <col min="4860" max="4860" width="7.85546875" style="69" customWidth="1"/>
    <col min="4861" max="4861" width="20" style="69" customWidth="1"/>
    <col min="4862" max="4862" width="4.28515625" style="69" customWidth="1"/>
    <col min="4863" max="4863" width="13.140625" style="69" customWidth="1"/>
    <col min="4864" max="4864" width="10.5703125" style="69" bestFit="1" customWidth="1"/>
    <col min="4865" max="4865" width="7.140625" style="69" bestFit="1" customWidth="1"/>
    <col min="4866" max="4866" width="12.7109375" style="69" customWidth="1"/>
    <col min="4867" max="4867" width="9.140625" style="69" customWidth="1"/>
    <col min="4868" max="4868" width="14.7109375" style="69" bestFit="1" customWidth="1"/>
    <col min="4869" max="4870" width="13.140625" style="69" customWidth="1"/>
    <col min="4871" max="4871" width="11.7109375" style="69" customWidth="1"/>
    <col min="4872" max="4872" width="14.85546875" style="69" customWidth="1"/>
    <col min="4873" max="4873" width="11.42578125" style="69" customWidth="1"/>
    <col min="4874" max="4874" width="14.85546875" style="69" customWidth="1"/>
    <col min="4875" max="4875" width="13.28515625" style="69" bestFit="1" customWidth="1"/>
    <col min="4876" max="4876" width="14.85546875" style="69" customWidth="1"/>
    <col min="4877" max="4877" width="16.5703125" style="69" customWidth="1"/>
    <col min="4878" max="4878" width="10.5703125" style="69" customWidth="1"/>
    <col min="4879" max="4879" width="12.28515625" style="69" bestFit="1" customWidth="1"/>
    <col min="4880" max="5113" width="9" style="69"/>
    <col min="5114" max="5114" width="10" style="69" customWidth="1"/>
    <col min="5115" max="5115" width="3.7109375" style="69" customWidth="1"/>
    <col min="5116" max="5116" width="7.85546875" style="69" customWidth="1"/>
    <col min="5117" max="5117" width="20" style="69" customWidth="1"/>
    <col min="5118" max="5118" width="4.28515625" style="69" customWidth="1"/>
    <col min="5119" max="5119" width="13.140625" style="69" customWidth="1"/>
    <col min="5120" max="5120" width="10.5703125" style="69" bestFit="1" customWidth="1"/>
    <col min="5121" max="5121" width="7.140625" style="69" bestFit="1" customWidth="1"/>
    <col min="5122" max="5122" width="12.7109375" style="69" customWidth="1"/>
    <col min="5123" max="5123" width="9.140625" style="69" customWidth="1"/>
    <col min="5124" max="5124" width="14.7109375" style="69" bestFit="1" customWidth="1"/>
    <col min="5125" max="5126" width="13.140625" style="69" customWidth="1"/>
    <col min="5127" max="5127" width="11.7109375" style="69" customWidth="1"/>
    <col min="5128" max="5128" width="14.85546875" style="69" customWidth="1"/>
    <col min="5129" max="5129" width="11.42578125" style="69" customWidth="1"/>
    <col min="5130" max="5130" width="14.85546875" style="69" customWidth="1"/>
    <col min="5131" max="5131" width="13.28515625" style="69" bestFit="1" customWidth="1"/>
    <col min="5132" max="5132" width="14.85546875" style="69" customWidth="1"/>
    <col min="5133" max="5133" width="16.5703125" style="69" customWidth="1"/>
    <col min="5134" max="5134" width="10.5703125" style="69" customWidth="1"/>
    <col min="5135" max="5135" width="12.28515625" style="69" bestFit="1" customWidth="1"/>
    <col min="5136" max="5369" width="9" style="69"/>
    <col min="5370" max="5370" width="10" style="69" customWidth="1"/>
    <col min="5371" max="5371" width="3.7109375" style="69" customWidth="1"/>
    <col min="5372" max="5372" width="7.85546875" style="69" customWidth="1"/>
    <col min="5373" max="5373" width="20" style="69" customWidth="1"/>
    <col min="5374" max="5374" width="4.28515625" style="69" customWidth="1"/>
    <col min="5375" max="5375" width="13.140625" style="69" customWidth="1"/>
    <col min="5376" max="5376" width="10.5703125" style="69" bestFit="1" customWidth="1"/>
    <col min="5377" max="5377" width="7.140625" style="69" bestFit="1" customWidth="1"/>
    <col min="5378" max="5378" width="12.7109375" style="69" customWidth="1"/>
    <col min="5379" max="5379" width="9.140625" style="69" customWidth="1"/>
    <col min="5380" max="5380" width="14.7109375" style="69" bestFit="1" customWidth="1"/>
    <col min="5381" max="5382" width="13.140625" style="69" customWidth="1"/>
    <col min="5383" max="5383" width="11.7109375" style="69" customWidth="1"/>
    <col min="5384" max="5384" width="14.85546875" style="69" customWidth="1"/>
    <col min="5385" max="5385" width="11.42578125" style="69" customWidth="1"/>
    <col min="5386" max="5386" width="14.85546875" style="69" customWidth="1"/>
    <col min="5387" max="5387" width="13.28515625" style="69" bestFit="1" customWidth="1"/>
    <col min="5388" max="5388" width="14.85546875" style="69" customWidth="1"/>
    <col min="5389" max="5389" width="16.5703125" style="69" customWidth="1"/>
    <col min="5390" max="5390" width="10.5703125" style="69" customWidth="1"/>
    <col min="5391" max="5391" width="12.28515625" style="69" bestFit="1" customWidth="1"/>
    <col min="5392" max="5625" width="9" style="69"/>
    <col min="5626" max="5626" width="10" style="69" customWidth="1"/>
    <col min="5627" max="5627" width="3.7109375" style="69" customWidth="1"/>
    <col min="5628" max="5628" width="7.85546875" style="69" customWidth="1"/>
    <col min="5629" max="5629" width="20" style="69" customWidth="1"/>
    <col min="5630" max="5630" width="4.28515625" style="69" customWidth="1"/>
    <col min="5631" max="5631" width="13.140625" style="69" customWidth="1"/>
    <col min="5632" max="5632" width="10.5703125" style="69" bestFit="1" customWidth="1"/>
    <col min="5633" max="5633" width="7.140625" style="69" bestFit="1" customWidth="1"/>
    <col min="5634" max="5634" width="12.7109375" style="69" customWidth="1"/>
    <col min="5635" max="5635" width="9.140625" style="69" customWidth="1"/>
    <col min="5636" max="5636" width="14.7109375" style="69" bestFit="1" customWidth="1"/>
    <col min="5637" max="5638" width="13.140625" style="69" customWidth="1"/>
    <col min="5639" max="5639" width="11.7109375" style="69" customWidth="1"/>
    <col min="5640" max="5640" width="14.85546875" style="69" customWidth="1"/>
    <col min="5641" max="5641" width="11.42578125" style="69" customWidth="1"/>
    <col min="5642" max="5642" width="14.85546875" style="69" customWidth="1"/>
    <col min="5643" max="5643" width="13.28515625" style="69" bestFit="1" customWidth="1"/>
    <col min="5644" max="5644" width="14.85546875" style="69" customWidth="1"/>
    <col min="5645" max="5645" width="16.5703125" style="69" customWidth="1"/>
    <col min="5646" max="5646" width="10.5703125" style="69" customWidth="1"/>
    <col min="5647" max="5647" width="12.28515625" style="69" bestFit="1" customWidth="1"/>
    <col min="5648" max="5881" width="9" style="69"/>
    <col min="5882" max="5882" width="10" style="69" customWidth="1"/>
    <col min="5883" max="5883" width="3.7109375" style="69" customWidth="1"/>
    <col min="5884" max="5884" width="7.85546875" style="69" customWidth="1"/>
    <col min="5885" max="5885" width="20" style="69" customWidth="1"/>
    <col min="5886" max="5886" width="4.28515625" style="69" customWidth="1"/>
    <col min="5887" max="5887" width="13.140625" style="69" customWidth="1"/>
    <col min="5888" max="5888" width="10.5703125" style="69" bestFit="1" customWidth="1"/>
    <col min="5889" max="5889" width="7.140625" style="69" bestFit="1" customWidth="1"/>
    <col min="5890" max="5890" width="12.7109375" style="69" customWidth="1"/>
    <col min="5891" max="5891" width="9.140625" style="69" customWidth="1"/>
    <col min="5892" max="5892" width="14.7109375" style="69" bestFit="1" customWidth="1"/>
    <col min="5893" max="5894" width="13.140625" style="69" customWidth="1"/>
    <col min="5895" max="5895" width="11.7109375" style="69" customWidth="1"/>
    <col min="5896" max="5896" width="14.85546875" style="69" customWidth="1"/>
    <col min="5897" max="5897" width="11.42578125" style="69" customWidth="1"/>
    <col min="5898" max="5898" width="14.85546875" style="69" customWidth="1"/>
    <col min="5899" max="5899" width="13.28515625" style="69" bestFit="1" customWidth="1"/>
    <col min="5900" max="5900" width="14.85546875" style="69" customWidth="1"/>
    <col min="5901" max="5901" width="16.5703125" style="69" customWidth="1"/>
    <col min="5902" max="5902" width="10.5703125" style="69" customWidth="1"/>
    <col min="5903" max="5903" width="12.28515625" style="69" bestFit="1" customWidth="1"/>
    <col min="5904" max="6137" width="9" style="69"/>
    <col min="6138" max="6138" width="10" style="69" customWidth="1"/>
    <col min="6139" max="6139" width="3.7109375" style="69" customWidth="1"/>
    <col min="6140" max="6140" width="7.85546875" style="69" customWidth="1"/>
    <col min="6141" max="6141" width="20" style="69" customWidth="1"/>
    <col min="6142" max="6142" width="4.28515625" style="69" customWidth="1"/>
    <col min="6143" max="6143" width="13.140625" style="69" customWidth="1"/>
    <col min="6144" max="6144" width="10.5703125" style="69" bestFit="1" customWidth="1"/>
    <col min="6145" max="6145" width="7.140625" style="69" bestFit="1" customWidth="1"/>
    <col min="6146" max="6146" width="12.7109375" style="69" customWidth="1"/>
    <col min="6147" max="6147" width="9.140625" style="69" customWidth="1"/>
    <col min="6148" max="6148" width="14.7109375" style="69" bestFit="1" customWidth="1"/>
    <col min="6149" max="6150" width="13.140625" style="69" customWidth="1"/>
    <col min="6151" max="6151" width="11.7109375" style="69" customWidth="1"/>
    <col min="6152" max="6152" width="14.85546875" style="69" customWidth="1"/>
    <col min="6153" max="6153" width="11.42578125" style="69" customWidth="1"/>
    <col min="6154" max="6154" width="14.85546875" style="69" customWidth="1"/>
    <col min="6155" max="6155" width="13.28515625" style="69" bestFit="1" customWidth="1"/>
    <col min="6156" max="6156" width="14.85546875" style="69" customWidth="1"/>
    <col min="6157" max="6157" width="16.5703125" style="69" customWidth="1"/>
    <col min="6158" max="6158" width="10.5703125" style="69" customWidth="1"/>
    <col min="6159" max="6159" width="12.28515625" style="69" bestFit="1" customWidth="1"/>
    <col min="6160" max="6393" width="9" style="69"/>
    <col min="6394" max="6394" width="10" style="69" customWidth="1"/>
    <col min="6395" max="6395" width="3.7109375" style="69" customWidth="1"/>
    <col min="6396" max="6396" width="7.85546875" style="69" customWidth="1"/>
    <col min="6397" max="6397" width="20" style="69" customWidth="1"/>
    <col min="6398" max="6398" width="4.28515625" style="69" customWidth="1"/>
    <col min="6399" max="6399" width="13.140625" style="69" customWidth="1"/>
    <col min="6400" max="6400" width="10.5703125" style="69" bestFit="1" customWidth="1"/>
    <col min="6401" max="6401" width="7.140625" style="69" bestFit="1" customWidth="1"/>
    <col min="6402" max="6402" width="12.7109375" style="69" customWidth="1"/>
    <col min="6403" max="6403" width="9.140625" style="69" customWidth="1"/>
    <col min="6404" max="6404" width="14.7109375" style="69" bestFit="1" customWidth="1"/>
    <col min="6405" max="6406" width="13.140625" style="69" customWidth="1"/>
    <col min="6407" max="6407" width="11.7109375" style="69" customWidth="1"/>
    <col min="6408" max="6408" width="14.85546875" style="69" customWidth="1"/>
    <col min="6409" max="6409" width="11.42578125" style="69" customWidth="1"/>
    <col min="6410" max="6410" width="14.85546875" style="69" customWidth="1"/>
    <col min="6411" max="6411" width="13.28515625" style="69" bestFit="1" customWidth="1"/>
    <col min="6412" max="6412" width="14.85546875" style="69" customWidth="1"/>
    <col min="6413" max="6413" width="16.5703125" style="69" customWidth="1"/>
    <col min="6414" max="6414" width="10.5703125" style="69" customWidth="1"/>
    <col min="6415" max="6415" width="12.28515625" style="69" bestFit="1" customWidth="1"/>
    <col min="6416" max="6649" width="9" style="69"/>
    <col min="6650" max="6650" width="10" style="69" customWidth="1"/>
    <col min="6651" max="6651" width="3.7109375" style="69" customWidth="1"/>
    <col min="6652" max="6652" width="7.85546875" style="69" customWidth="1"/>
    <col min="6653" max="6653" width="20" style="69" customWidth="1"/>
    <col min="6654" max="6654" width="4.28515625" style="69" customWidth="1"/>
    <col min="6655" max="6655" width="13.140625" style="69" customWidth="1"/>
    <col min="6656" max="6656" width="10.5703125" style="69" bestFit="1" customWidth="1"/>
    <col min="6657" max="6657" width="7.140625" style="69" bestFit="1" customWidth="1"/>
    <col min="6658" max="6658" width="12.7109375" style="69" customWidth="1"/>
    <col min="6659" max="6659" width="9.140625" style="69" customWidth="1"/>
    <col min="6660" max="6660" width="14.7109375" style="69" bestFit="1" customWidth="1"/>
    <col min="6661" max="6662" width="13.140625" style="69" customWidth="1"/>
    <col min="6663" max="6663" width="11.7109375" style="69" customWidth="1"/>
    <col min="6664" max="6664" width="14.85546875" style="69" customWidth="1"/>
    <col min="6665" max="6665" width="11.42578125" style="69" customWidth="1"/>
    <col min="6666" max="6666" width="14.85546875" style="69" customWidth="1"/>
    <col min="6667" max="6667" width="13.28515625" style="69" bestFit="1" customWidth="1"/>
    <col min="6668" max="6668" width="14.85546875" style="69" customWidth="1"/>
    <col min="6669" max="6669" width="16.5703125" style="69" customWidth="1"/>
    <col min="6670" max="6670" width="10.5703125" style="69" customWidth="1"/>
    <col min="6671" max="6671" width="12.28515625" style="69" bestFit="1" customWidth="1"/>
    <col min="6672" max="6905" width="9" style="69"/>
    <col min="6906" max="6906" width="10" style="69" customWidth="1"/>
    <col min="6907" max="6907" width="3.7109375" style="69" customWidth="1"/>
    <col min="6908" max="6908" width="7.85546875" style="69" customWidth="1"/>
    <col min="6909" max="6909" width="20" style="69" customWidth="1"/>
    <col min="6910" max="6910" width="4.28515625" style="69" customWidth="1"/>
    <col min="6911" max="6911" width="13.140625" style="69" customWidth="1"/>
    <col min="6912" max="6912" width="10.5703125" style="69" bestFit="1" customWidth="1"/>
    <col min="6913" max="6913" width="7.140625" style="69" bestFit="1" customWidth="1"/>
    <col min="6914" max="6914" width="12.7109375" style="69" customWidth="1"/>
    <col min="6915" max="6915" width="9.140625" style="69" customWidth="1"/>
    <col min="6916" max="6916" width="14.7109375" style="69" bestFit="1" customWidth="1"/>
    <col min="6917" max="6918" width="13.140625" style="69" customWidth="1"/>
    <col min="6919" max="6919" width="11.7109375" style="69" customWidth="1"/>
    <col min="6920" max="6920" width="14.85546875" style="69" customWidth="1"/>
    <col min="6921" max="6921" width="11.42578125" style="69" customWidth="1"/>
    <col min="6922" max="6922" width="14.85546875" style="69" customWidth="1"/>
    <col min="6923" max="6923" width="13.28515625" style="69" bestFit="1" customWidth="1"/>
    <col min="6924" max="6924" width="14.85546875" style="69" customWidth="1"/>
    <col min="6925" max="6925" width="16.5703125" style="69" customWidth="1"/>
    <col min="6926" max="6926" width="10.5703125" style="69" customWidth="1"/>
    <col min="6927" max="6927" width="12.28515625" style="69" bestFit="1" customWidth="1"/>
    <col min="6928" max="7161" width="9" style="69"/>
    <col min="7162" max="7162" width="10" style="69" customWidth="1"/>
    <col min="7163" max="7163" width="3.7109375" style="69" customWidth="1"/>
    <col min="7164" max="7164" width="7.85546875" style="69" customWidth="1"/>
    <col min="7165" max="7165" width="20" style="69" customWidth="1"/>
    <col min="7166" max="7166" width="4.28515625" style="69" customWidth="1"/>
    <col min="7167" max="7167" width="13.140625" style="69" customWidth="1"/>
    <col min="7168" max="7168" width="10.5703125" style="69" bestFit="1" customWidth="1"/>
    <col min="7169" max="7169" width="7.140625" style="69" bestFit="1" customWidth="1"/>
    <col min="7170" max="7170" width="12.7109375" style="69" customWidth="1"/>
    <col min="7171" max="7171" width="9.140625" style="69" customWidth="1"/>
    <col min="7172" max="7172" width="14.7109375" style="69" bestFit="1" customWidth="1"/>
    <col min="7173" max="7174" width="13.140625" style="69" customWidth="1"/>
    <col min="7175" max="7175" width="11.7109375" style="69" customWidth="1"/>
    <col min="7176" max="7176" width="14.85546875" style="69" customWidth="1"/>
    <col min="7177" max="7177" width="11.42578125" style="69" customWidth="1"/>
    <col min="7178" max="7178" width="14.85546875" style="69" customWidth="1"/>
    <col min="7179" max="7179" width="13.28515625" style="69" bestFit="1" customWidth="1"/>
    <col min="7180" max="7180" width="14.85546875" style="69" customWidth="1"/>
    <col min="7181" max="7181" width="16.5703125" style="69" customWidth="1"/>
    <col min="7182" max="7182" width="10.5703125" style="69" customWidth="1"/>
    <col min="7183" max="7183" width="12.28515625" style="69" bestFit="1" customWidth="1"/>
    <col min="7184" max="7417" width="9" style="69"/>
    <col min="7418" max="7418" width="10" style="69" customWidth="1"/>
    <col min="7419" max="7419" width="3.7109375" style="69" customWidth="1"/>
    <col min="7420" max="7420" width="7.85546875" style="69" customWidth="1"/>
    <col min="7421" max="7421" width="20" style="69" customWidth="1"/>
    <col min="7422" max="7422" width="4.28515625" style="69" customWidth="1"/>
    <col min="7423" max="7423" width="13.140625" style="69" customWidth="1"/>
    <col min="7424" max="7424" width="10.5703125" style="69" bestFit="1" customWidth="1"/>
    <col min="7425" max="7425" width="7.140625" style="69" bestFit="1" customWidth="1"/>
    <col min="7426" max="7426" width="12.7109375" style="69" customWidth="1"/>
    <col min="7427" max="7427" width="9.140625" style="69" customWidth="1"/>
    <col min="7428" max="7428" width="14.7109375" style="69" bestFit="1" customWidth="1"/>
    <col min="7429" max="7430" width="13.140625" style="69" customWidth="1"/>
    <col min="7431" max="7431" width="11.7109375" style="69" customWidth="1"/>
    <col min="7432" max="7432" width="14.85546875" style="69" customWidth="1"/>
    <col min="7433" max="7433" width="11.42578125" style="69" customWidth="1"/>
    <col min="7434" max="7434" width="14.85546875" style="69" customWidth="1"/>
    <col min="7435" max="7435" width="13.28515625" style="69" bestFit="1" customWidth="1"/>
    <col min="7436" max="7436" width="14.85546875" style="69" customWidth="1"/>
    <col min="7437" max="7437" width="16.5703125" style="69" customWidth="1"/>
    <col min="7438" max="7438" width="10.5703125" style="69" customWidth="1"/>
    <col min="7439" max="7439" width="12.28515625" style="69" bestFit="1" customWidth="1"/>
    <col min="7440" max="7673" width="9" style="69"/>
    <col min="7674" max="7674" width="10" style="69" customWidth="1"/>
    <col min="7675" max="7675" width="3.7109375" style="69" customWidth="1"/>
    <col min="7676" max="7676" width="7.85546875" style="69" customWidth="1"/>
    <col min="7677" max="7677" width="20" style="69" customWidth="1"/>
    <col min="7678" max="7678" width="4.28515625" style="69" customWidth="1"/>
    <col min="7679" max="7679" width="13.140625" style="69" customWidth="1"/>
    <col min="7680" max="7680" width="10.5703125" style="69" bestFit="1" customWidth="1"/>
    <col min="7681" max="7681" width="7.140625" style="69" bestFit="1" customWidth="1"/>
    <col min="7682" max="7682" width="12.7109375" style="69" customWidth="1"/>
    <col min="7683" max="7683" width="9.140625" style="69" customWidth="1"/>
    <col min="7684" max="7684" width="14.7109375" style="69" bestFit="1" customWidth="1"/>
    <col min="7685" max="7686" width="13.140625" style="69" customWidth="1"/>
    <col min="7687" max="7687" width="11.7109375" style="69" customWidth="1"/>
    <col min="7688" max="7688" width="14.85546875" style="69" customWidth="1"/>
    <col min="7689" max="7689" width="11.42578125" style="69" customWidth="1"/>
    <col min="7690" max="7690" width="14.85546875" style="69" customWidth="1"/>
    <col min="7691" max="7691" width="13.28515625" style="69" bestFit="1" customWidth="1"/>
    <col min="7692" max="7692" width="14.85546875" style="69" customWidth="1"/>
    <col min="7693" max="7693" width="16.5703125" style="69" customWidth="1"/>
    <col min="7694" max="7694" width="10.5703125" style="69" customWidth="1"/>
    <col min="7695" max="7695" width="12.28515625" style="69" bestFit="1" customWidth="1"/>
    <col min="7696" max="7929" width="9" style="69"/>
    <col min="7930" max="7930" width="10" style="69" customWidth="1"/>
    <col min="7931" max="7931" width="3.7109375" style="69" customWidth="1"/>
    <col min="7932" max="7932" width="7.85546875" style="69" customWidth="1"/>
    <col min="7933" max="7933" width="20" style="69" customWidth="1"/>
    <col min="7934" max="7934" width="4.28515625" style="69" customWidth="1"/>
    <col min="7935" max="7935" width="13.140625" style="69" customWidth="1"/>
    <col min="7936" max="7936" width="10.5703125" style="69" bestFit="1" customWidth="1"/>
    <col min="7937" max="7937" width="7.140625" style="69" bestFit="1" customWidth="1"/>
    <col min="7938" max="7938" width="12.7109375" style="69" customWidth="1"/>
    <col min="7939" max="7939" width="9.140625" style="69" customWidth="1"/>
    <col min="7940" max="7940" width="14.7109375" style="69" bestFit="1" customWidth="1"/>
    <col min="7941" max="7942" width="13.140625" style="69" customWidth="1"/>
    <col min="7943" max="7943" width="11.7109375" style="69" customWidth="1"/>
    <col min="7944" max="7944" width="14.85546875" style="69" customWidth="1"/>
    <col min="7945" max="7945" width="11.42578125" style="69" customWidth="1"/>
    <col min="7946" max="7946" width="14.85546875" style="69" customWidth="1"/>
    <col min="7947" max="7947" width="13.28515625" style="69" bestFit="1" customWidth="1"/>
    <col min="7948" max="7948" width="14.85546875" style="69" customWidth="1"/>
    <col min="7949" max="7949" width="16.5703125" style="69" customWidth="1"/>
    <col min="7950" max="7950" width="10.5703125" style="69" customWidth="1"/>
    <col min="7951" max="7951" width="12.28515625" style="69" bestFit="1" customWidth="1"/>
    <col min="7952" max="8185" width="9" style="69"/>
    <col min="8186" max="8186" width="10" style="69" customWidth="1"/>
    <col min="8187" max="8187" width="3.7109375" style="69" customWidth="1"/>
    <col min="8188" max="8188" width="7.85546875" style="69" customWidth="1"/>
    <col min="8189" max="8189" width="20" style="69" customWidth="1"/>
    <col min="8190" max="8190" width="4.28515625" style="69" customWidth="1"/>
    <col min="8191" max="8191" width="13.140625" style="69" customWidth="1"/>
    <col min="8192" max="8192" width="10.5703125" style="69" bestFit="1" customWidth="1"/>
    <col min="8193" max="8193" width="7.140625" style="69" bestFit="1" customWidth="1"/>
    <col min="8194" max="8194" width="12.7109375" style="69" customWidth="1"/>
    <col min="8195" max="8195" width="9.140625" style="69" customWidth="1"/>
    <col min="8196" max="8196" width="14.7109375" style="69" bestFit="1" customWidth="1"/>
    <col min="8197" max="8198" width="13.140625" style="69" customWidth="1"/>
    <col min="8199" max="8199" width="11.7109375" style="69" customWidth="1"/>
    <col min="8200" max="8200" width="14.85546875" style="69" customWidth="1"/>
    <col min="8201" max="8201" width="11.42578125" style="69" customWidth="1"/>
    <col min="8202" max="8202" width="14.85546875" style="69" customWidth="1"/>
    <col min="8203" max="8203" width="13.28515625" style="69" bestFit="1" customWidth="1"/>
    <col min="8204" max="8204" width="14.85546875" style="69" customWidth="1"/>
    <col min="8205" max="8205" width="16.5703125" style="69" customWidth="1"/>
    <col min="8206" max="8206" width="10.5703125" style="69" customWidth="1"/>
    <col min="8207" max="8207" width="12.28515625" style="69" bestFit="1" customWidth="1"/>
    <col min="8208" max="8441" width="9" style="69"/>
    <col min="8442" max="8442" width="10" style="69" customWidth="1"/>
    <col min="8443" max="8443" width="3.7109375" style="69" customWidth="1"/>
    <col min="8444" max="8444" width="7.85546875" style="69" customWidth="1"/>
    <col min="8445" max="8445" width="20" style="69" customWidth="1"/>
    <col min="8446" max="8446" width="4.28515625" style="69" customWidth="1"/>
    <col min="8447" max="8447" width="13.140625" style="69" customWidth="1"/>
    <col min="8448" max="8448" width="10.5703125" style="69" bestFit="1" customWidth="1"/>
    <col min="8449" max="8449" width="7.140625" style="69" bestFit="1" customWidth="1"/>
    <col min="8450" max="8450" width="12.7109375" style="69" customWidth="1"/>
    <col min="8451" max="8451" width="9.140625" style="69" customWidth="1"/>
    <col min="8452" max="8452" width="14.7109375" style="69" bestFit="1" customWidth="1"/>
    <col min="8453" max="8454" width="13.140625" style="69" customWidth="1"/>
    <col min="8455" max="8455" width="11.7109375" style="69" customWidth="1"/>
    <col min="8456" max="8456" width="14.85546875" style="69" customWidth="1"/>
    <col min="8457" max="8457" width="11.42578125" style="69" customWidth="1"/>
    <col min="8458" max="8458" width="14.85546875" style="69" customWidth="1"/>
    <col min="8459" max="8459" width="13.28515625" style="69" bestFit="1" customWidth="1"/>
    <col min="8460" max="8460" width="14.85546875" style="69" customWidth="1"/>
    <col min="8461" max="8461" width="16.5703125" style="69" customWidth="1"/>
    <col min="8462" max="8462" width="10.5703125" style="69" customWidth="1"/>
    <col min="8463" max="8463" width="12.28515625" style="69" bestFit="1" customWidth="1"/>
    <col min="8464" max="8697" width="9" style="69"/>
    <col min="8698" max="8698" width="10" style="69" customWidth="1"/>
    <col min="8699" max="8699" width="3.7109375" style="69" customWidth="1"/>
    <col min="8700" max="8700" width="7.85546875" style="69" customWidth="1"/>
    <col min="8701" max="8701" width="20" style="69" customWidth="1"/>
    <col min="8702" max="8702" width="4.28515625" style="69" customWidth="1"/>
    <col min="8703" max="8703" width="13.140625" style="69" customWidth="1"/>
    <col min="8704" max="8704" width="10.5703125" style="69" bestFit="1" customWidth="1"/>
    <col min="8705" max="8705" width="7.140625" style="69" bestFit="1" customWidth="1"/>
    <col min="8706" max="8706" width="12.7109375" style="69" customWidth="1"/>
    <col min="8707" max="8707" width="9.140625" style="69" customWidth="1"/>
    <col min="8708" max="8708" width="14.7109375" style="69" bestFit="1" customWidth="1"/>
    <col min="8709" max="8710" width="13.140625" style="69" customWidth="1"/>
    <col min="8711" max="8711" width="11.7109375" style="69" customWidth="1"/>
    <col min="8712" max="8712" width="14.85546875" style="69" customWidth="1"/>
    <col min="8713" max="8713" width="11.42578125" style="69" customWidth="1"/>
    <col min="8714" max="8714" width="14.85546875" style="69" customWidth="1"/>
    <col min="8715" max="8715" width="13.28515625" style="69" bestFit="1" customWidth="1"/>
    <col min="8716" max="8716" width="14.85546875" style="69" customWidth="1"/>
    <col min="8717" max="8717" width="16.5703125" style="69" customWidth="1"/>
    <col min="8718" max="8718" width="10.5703125" style="69" customWidth="1"/>
    <col min="8719" max="8719" width="12.28515625" style="69" bestFit="1" customWidth="1"/>
    <col min="8720" max="8953" width="9" style="69"/>
    <col min="8954" max="8954" width="10" style="69" customWidth="1"/>
    <col min="8955" max="8955" width="3.7109375" style="69" customWidth="1"/>
    <col min="8956" max="8956" width="7.85546875" style="69" customWidth="1"/>
    <col min="8957" max="8957" width="20" style="69" customWidth="1"/>
    <col min="8958" max="8958" width="4.28515625" style="69" customWidth="1"/>
    <col min="8959" max="8959" width="13.140625" style="69" customWidth="1"/>
    <col min="8960" max="8960" width="10.5703125" style="69" bestFit="1" customWidth="1"/>
    <col min="8961" max="8961" width="7.140625" style="69" bestFit="1" customWidth="1"/>
    <col min="8962" max="8962" width="12.7109375" style="69" customWidth="1"/>
    <col min="8963" max="8963" width="9.140625" style="69" customWidth="1"/>
    <col min="8964" max="8964" width="14.7109375" style="69" bestFit="1" customWidth="1"/>
    <col min="8965" max="8966" width="13.140625" style="69" customWidth="1"/>
    <col min="8967" max="8967" width="11.7109375" style="69" customWidth="1"/>
    <col min="8968" max="8968" width="14.85546875" style="69" customWidth="1"/>
    <col min="8969" max="8969" width="11.42578125" style="69" customWidth="1"/>
    <col min="8970" max="8970" width="14.85546875" style="69" customWidth="1"/>
    <col min="8971" max="8971" width="13.28515625" style="69" bestFit="1" customWidth="1"/>
    <col min="8972" max="8972" width="14.85546875" style="69" customWidth="1"/>
    <col min="8973" max="8973" width="16.5703125" style="69" customWidth="1"/>
    <col min="8974" max="8974" width="10.5703125" style="69" customWidth="1"/>
    <col min="8975" max="8975" width="12.28515625" style="69" bestFit="1" customWidth="1"/>
    <col min="8976" max="9209" width="9" style="69"/>
    <col min="9210" max="9210" width="10" style="69" customWidth="1"/>
    <col min="9211" max="9211" width="3.7109375" style="69" customWidth="1"/>
    <col min="9212" max="9212" width="7.85546875" style="69" customWidth="1"/>
    <col min="9213" max="9213" width="20" style="69" customWidth="1"/>
    <col min="9214" max="9214" width="4.28515625" style="69" customWidth="1"/>
    <col min="9215" max="9215" width="13.140625" style="69" customWidth="1"/>
    <col min="9216" max="9216" width="10.5703125" style="69" bestFit="1" customWidth="1"/>
    <col min="9217" max="9217" width="7.140625" style="69" bestFit="1" customWidth="1"/>
    <col min="9218" max="9218" width="12.7109375" style="69" customWidth="1"/>
    <col min="9219" max="9219" width="9.140625" style="69" customWidth="1"/>
    <col min="9220" max="9220" width="14.7109375" style="69" bestFit="1" customWidth="1"/>
    <col min="9221" max="9222" width="13.140625" style="69" customWidth="1"/>
    <col min="9223" max="9223" width="11.7109375" style="69" customWidth="1"/>
    <col min="9224" max="9224" width="14.85546875" style="69" customWidth="1"/>
    <col min="9225" max="9225" width="11.42578125" style="69" customWidth="1"/>
    <col min="9226" max="9226" width="14.85546875" style="69" customWidth="1"/>
    <col min="9227" max="9227" width="13.28515625" style="69" bestFit="1" customWidth="1"/>
    <col min="9228" max="9228" width="14.85546875" style="69" customWidth="1"/>
    <col min="9229" max="9229" width="16.5703125" style="69" customWidth="1"/>
    <col min="9230" max="9230" width="10.5703125" style="69" customWidth="1"/>
    <col min="9231" max="9231" width="12.28515625" style="69" bestFit="1" customWidth="1"/>
    <col min="9232" max="9465" width="9" style="69"/>
    <col min="9466" max="9466" width="10" style="69" customWidth="1"/>
    <col min="9467" max="9467" width="3.7109375" style="69" customWidth="1"/>
    <col min="9468" max="9468" width="7.85546875" style="69" customWidth="1"/>
    <col min="9469" max="9469" width="20" style="69" customWidth="1"/>
    <col min="9470" max="9470" width="4.28515625" style="69" customWidth="1"/>
    <col min="9471" max="9471" width="13.140625" style="69" customWidth="1"/>
    <col min="9472" max="9472" width="10.5703125" style="69" bestFit="1" customWidth="1"/>
    <col min="9473" max="9473" width="7.140625" style="69" bestFit="1" customWidth="1"/>
    <col min="9474" max="9474" width="12.7109375" style="69" customWidth="1"/>
    <col min="9475" max="9475" width="9.140625" style="69" customWidth="1"/>
    <col min="9476" max="9476" width="14.7109375" style="69" bestFit="1" customWidth="1"/>
    <col min="9477" max="9478" width="13.140625" style="69" customWidth="1"/>
    <col min="9479" max="9479" width="11.7109375" style="69" customWidth="1"/>
    <col min="9480" max="9480" width="14.85546875" style="69" customWidth="1"/>
    <col min="9481" max="9481" width="11.42578125" style="69" customWidth="1"/>
    <col min="9482" max="9482" width="14.85546875" style="69" customWidth="1"/>
    <col min="9483" max="9483" width="13.28515625" style="69" bestFit="1" customWidth="1"/>
    <col min="9484" max="9484" width="14.85546875" style="69" customWidth="1"/>
    <col min="9485" max="9485" width="16.5703125" style="69" customWidth="1"/>
    <col min="9486" max="9486" width="10.5703125" style="69" customWidth="1"/>
    <col min="9487" max="9487" width="12.28515625" style="69" bestFit="1" customWidth="1"/>
    <col min="9488" max="9721" width="9" style="69"/>
    <col min="9722" max="9722" width="10" style="69" customWidth="1"/>
    <col min="9723" max="9723" width="3.7109375" style="69" customWidth="1"/>
    <col min="9724" max="9724" width="7.85546875" style="69" customWidth="1"/>
    <col min="9725" max="9725" width="20" style="69" customWidth="1"/>
    <col min="9726" max="9726" width="4.28515625" style="69" customWidth="1"/>
    <col min="9727" max="9727" width="13.140625" style="69" customWidth="1"/>
    <col min="9728" max="9728" width="10.5703125" style="69" bestFit="1" customWidth="1"/>
    <col min="9729" max="9729" width="7.140625" style="69" bestFit="1" customWidth="1"/>
    <col min="9730" max="9730" width="12.7109375" style="69" customWidth="1"/>
    <col min="9731" max="9731" width="9.140625" style="69" customWidth="1"/>
    <col min="9732" max="9732" width="14.7109375" style="69" bestFit="1" customWidth="1"/>
    <col min="9733" max="9734" width="13.140625" style="69" customWidth="1"/>
    <col min="9735" max="9735" width="11.7109375" style="69" customWidth="1"/>
    <col min="9736" max="9736" width="14.85546875" style="69" customWidth="1"/>
    <col min="9737" max="9737" width="11.42578125" style="69" customWidth="1"/>
    <col min="9738" max="9738" width="14.85546875" style="69" customWidth="1"/>
    <col min="9739" max="9739" width="13.28515625" style="69" bestFit="1" customWidth="1"/>
    <col min="9740" max="9740" width="14.85546875" style="69" customWidth="1"/>
    <col min="9741" max="9741" width="16.5703125" style="69" customWidth="1"/>
    <col min="9742" max="9742" width="10.5703125" style="69" customWidth="1"/>
    <col min="9743" max="9743" width="12.28515625" style="69" bestFit="1" customWidth="1"/>
    <col min="9744" max="9977" width="9" style="69"/>
    <col min="9978" max="9978" width="10" style="69" customWidth="1"/>
    <col min="9979" max="9979" width="3.7109375" style="69" customWidth="1"/>
    <col min="9980" max="9980" width="7.85546875" style="69" customWidth="1"/>
    <col min="9981" max="9981" width="20" style="69" customWidth="1"/>
    <col min="9982" max="9982" width="4.28515625" style="69" customWidth="1"/>
    <col min="9983" max="9983" width="13.140625" style="69" customWidth="1"/>
    <col min="9984" max="9984" width="10.5703125" style="69" bestFit="1" customWidth="1"/>
    <col min="9985" max="9985" width="7.140625" style="69" bestFit="1" customWidth="1"/>
    <col min="9986" max="9986" width="12.7109375" style="69" customWidth="1"/>
    <col min="9987" max="9987" width="9.140625" style="69" customWidth="1"/>
    <col min="9988" max="9988" width="14.7109375" style="69" bestFit="1" customWidth="1"/>
    <col min="9989" max="9990" width="13.140625" style="69" customWidth="1"/>
    <col min="9991" max="9991" width="11.7109375" style="69" customWidth="1"/>
    <col min="9992" max="9992" width="14.85546875" style="69" customWidth="1"/>
    <col min="9993" max="9993" width="11.42578125" style="69" customWidth="1"/>
    <col min="9994" max="9994" width="14.85546875" style="69" customWidth="1"/>
    <col min="9995" max="9995" width="13.28515625" style="69" bestFit="1" customWidth="1"/>
    <col min="9996" max="9996" width="14.85546875" style="69" customWidth="1"/>
    <col min="9997" max="9997" width="16.5703125" style="69" customWidth="1"/>
    <col min="9998" max="9998" width="10.5703125" style="69" customWidth="1"/>
    <col min="9999" max="9999" width="12.28515625" style="69" bestFit="1" customWidth="1"/>
    <col min="10000" max="10233" width="9" style="69"/>
    <col min="10234" max="10234" width="10" style="69" customWidth="1"/>
    <col min="10235" max="10235" width="3.7109375" style="69" customWidth="1"/>
    <col min="10236" max="10236" width="7.85546875" style="69" customWidth="1"/>
    <col min="10237" max="10237" width="20" style="69" customWidth="1"/>
    <col min="10238" max="10238" width="4.28515625" style="69" customWidth="1"/>
    <col min="10239" max="10239" width="13.140625" style="69" customWidth="1"/>
    <col min="10240" max="10240" width="10.5703125" style="69" bestFit="1" customWidth="1"/>
    <col min="10241" max="10241" width="7.140625" style="69" bestFit="1" customWidth="1"/>
    <col min="10242" max="10242" width="12.7109375" style="69" customWidth="1"/>
    <col min="10243" max="10243" width="9.140625" style="69" customWidth="1"/>
    <col min="10244" max="10244" width="14.7109375" style="69" bestFit="1" customWidth="1"/>
    <col min="10245" max="10246" width="13.140625" style="69" customWidth="1"/>
    <col min="10247" max="10247" width="11.7109375" style="69" customWidth="1"/>
    <col min="10248" max="10248" width="14.85546875" style="69" customWidth="1"/>
    <col min="10249" max="10249" width="11.42578125" style="69" customWidth="1"/>
    <col min="10250" max="10250" width="14.85546875" style="69" customWidth="1"/>
    <col min="10251" max="10251" width="13.28515625" style="69" bestFit="1" customWidth="1"/>
    <col min="10252" max="10252" width="14.85546875" style="69" customWidth="1"/>
    <col min="10253" max="10253" width="16.5703125" style="69" customWidth="1"/>
    <col min="10254" max="10254" width="10.5703125" style="69" customWidth="1"/>
    <col min="10255" max="10255" width="12.28515625" style="69" bestFit="1" customWidth="1"/>
    <col min="10256" max="10489" width="9" style="69"/>
    <col min="10490" max="10490" width="10" style="69" customWidth="1"/>
    <col min="10491" max="10491" width="3.7109375" style="69" customWidth="1"/>
    <col min="10492" max="10492" width="7.85546875" style="69" customWidth="1"/>
    <col min="10493" max="10493" width="20" style="69" customWidth="1"/>
    <col min="10494" max="10494" width="4.28515625" style="69" customWidth="1"/>
    <col min="10495" max="10495" width="13.140625" style="69" customWidth="1"/>
    <col min="10496" max="10496" width="10.5703125" style="69" bestFit="1" customWidth="1"/>
    <col min="10497" max="10497" width="7.140625" style="69" bestFit="1" customWidth="1"/>
    <col min="10498" max="10498" width="12.7109375" style="69" customWidth="1"/>
    <col min="10499" max="10499" width="9.140625" style="69" customWidth="1"/>
    <col min="10500" max="10500" width="14.7109375" style="69" bestFit="1" customWidth="1"/>
    <col min="10501" max="10502" width="13.140625" style="69" customWidth="1"/>
    <col min="10503" max="10503" width="11.7109375" style="69" customWidth="1"/>
    <col min="10504" max="10504" width="14.85546875" style="69" customWidth="1"/>
    <col min="10505" max="10505" width="11.42578125" style="69" customWidth="1"/>
    <col min="10506" max="10506" width="14.85546875" style="69" customWidth="1"/>
    <col min="10507" max="10507" width="13.28515625" style="69" bestFit="1" customWidth="1"/>
    <col min="10508" max="10508" width="14.85546875" style="69" customWidth="1"/>
    <col min="10509" max="10509" width="16.5703125" style="69" customWidth="1"/>
    <col min="10510" max="10510" width="10.5703125" style="69" customWidth="1"/>
    <col min="10511" max="10511" width="12.28515625" style="69" bestFit="1" customWidth="1"/>
    <col min="10512" max="10745" width="9" style="69"/>
    <col min="10746" max="10746" width="10" style="69" customWidth="1"/>
    <col min="10747" max="10747" width="3.7109375" style="69" customWidth="1"/>
    <col min="10748" max="10748" width="7.85546875" style="69" customWidth="1"/>
    <col min="10749" max="10749" width="20" style="69" customWidth="1"/>
    <col min="10750" max="10750" width="4.28515625" style="69" customWidth="1"/>
    <col min="10751" max="10751" width="13.140625" style="69" customWidth="1"/>
    <col min="10752" max="10752" width="10.5703125" style="69" bestFit="1" customWidth="1"/>
    <col min="10753" max="10753" width="7.140625" style="69" bestFit="1" customWidth="1"/>
    <col min="10754" max="10754" width="12.7109375" style="69" customWidth="1"/>
    <col min="10755" max="10755" width="9.140625" style="69" customWidth="1"/>
    <col min="10756" max="10756" width="14.7109375" style="69" bestFit="1" customWidth="1"/>
    <col min="10757" max="10758" width="13.140625" style="69" customWidth="1"/>
    <col min="10759" max="10759" width="11.7109375" style="69" customWidth="1"/>
    <col min="10760" max="10760" width="14.85546875" style="69" customWidth="1"/>
    <col min="10761" max="10761" width="11.42578125" style="69" customWidth="1"/>
    <col min="10762" max="10762" width="14.85546875" style="69" customWidth="1"/>
    <col min="10763" max="10763" width="13.28515625" style="69" bestFit="1" customWidth="1"/>
    <col min="10764" max="10764" width="14.85546875" style="69" customWidth="1"/>
    <col min="10765" max="10765" width="16.5703125" style="69" customWidth="1"/>
    <col min="10766" max="10766" width="10.5703125" style="69" customWidth="1"/>
    <col min="10767" max="10767" width="12.28515625" style="69" bestFit="1" customWidth="1"/>
    <col min="10768" max="11001" width="9" style="69"/>
    <col min="11002" max="11002" width="10" style="69" customWidth="1"/>
    <col min="11003" max="11003" width="3.7109375" style="69" customWidth="1"/>
    <col min="11004" max="11004" width="7.85546875" style="69" customWidth="1"/>
    <col min="11005" max="11005" width="20" style="69" customWidth="1"/>
    <col min="11006" max="11006" width="4.28515625" style="69" customWidth="1"/>
    <col min="11007" max="11007" width="13.140625" style="69" customWidth="1"/>
    <col min="11008" max="11008" width="10.5703125" style="69" bestFit="1" customWidth="1"/>
    <col min="11009" max="11009" width="7.140625" style="69" bestFit="1" customWidth="1"/>
    <col min="11010" max="11010" width="12.7109375" style="69" customWidth="1"/>
    <col min="11011" max="11011" width="9.140625" style="69" customWidth="1"/>
    <col min="11012" max="11012" width="14.7109375" style="69" bestFit="1" customWidth="1"/>
    <col min="11013" max="11014" width="13.140625" style="69" customWidth="1"/>
    <col min="11015" max="11015" width="11.7109375" style="69" customWidth="1"/>
    <col min="11016" max="11016" width="14.85546875" style="69" customWidth="1"/>
    <col min="11017" max="11017" width="11.42578125" style="69" customWidth="1"/>
    <col min="11018" max="11018" width="14.85546875" style="69" customWidth="1"/>
    <col min="11019" max="11019" width="13.28515625" style="69" bestFit="1" customWidth="1"/>
    <col min="11020" max="11020" width="14.85546875" style="69" customWidth="1"/>
    <col min="11021" max="11021" width="16.5703125" style="69" customWidth="1"/>
    <col min="11022" max="11022" width="10.5703125" style="69" customWidth="1"/>
    <col min="11023" max="11023" width="12.28515625" style="69" bestFit="1" customWidth="1"/>
    <col min="11024" max="11257" width="9" style="69"/>
    <col min="11258" max="11258" width="10" style="69" customWidth="1"/>
    <col min="11259" max="11259" width="3.7109375" style="69" customWidth="1"/>
    <col min="11260" max="11260" width="7.85546875" style="69" customWidth="1"/>
    <col min="11261" max="11261" width="20" style="69" customWidth="1"/>
    <col min="11262" max="11262" width="4.28515625" style="69" customWidth="1"/>
    <col min="11263" max="11263" width="13.140625" style="69" customWidth="1"/>
    <col min="11264" max="11264" width="10.5703125" style="69" bestFit="1" customWidth="1"/>
    <col min="11265" max="11265" width="7.140625" style="69" bestFit="1" customWidth="1"/>
    <col min="11266" max="11266" width="12.7109375" style="69" customWidth="1"/>
    <col min="11267" max="11267" width="9.140625" style="69" customWidth="1"/>
    <col min="11268" max="11268" width="14.7109375" style="69" bestFit="1" customWidth="1"/>
    <col min="11269" max="11270" width="13.140625" style="69" customWidth="1"/>
    <col min="11271" max="11271" width="11.7109375" style="69" customWidth="1"/>
    <col min="11272" max="11272" width="14.85546875" style="69" customWidth="1"/>
    <col min="11273" max="11273" width="11.42578125" style="69" customWidth="1"/>
    <col min="11274" max="11274" width="14.85546875" style="69" customWidth="1"/>
    <col min="11275" max="11275" width="13.28515625" style="69" bestFit="1" customWidth="1"/>
    <col min="11276" max="11276" width="14.85546875" style="69" customWidth="1"/>
    <col min="11277" max="11277" width="16.5703125" style="69" customWidth="1"/>
    <col min="11278" max="11278" width="10.5703125" style="69" customWidth="1"/>
    <col min="11279" max="11279" width="12.28515625" style="69" bestFit="1" customWidth="1"/>
    <col min="11280" max="11513" width="9" style="69"/>
    <col min="11514" max="11514" width="10" style="69" customWidth="1"/>
    <col min="11515" max="11515" width="3.7109375" style="69" customWidth="1"/>
    <col min="11516" max="11516" width="7.85546875" style="69" customWidth="1"/>
    <col min="11517" max="11517" width="20" style="69" customWidth="1"/>
    <col min="11518" max="11518" width="4.28515625" style="69" customWidth="1"/>
    <col min="11519" max="11519" width="13.140625" style="69" customWidth="1"/>
    <col min="11520" max="11520" width="10.5703125" style="69" bestFit="1" customWidth="1"/>
    <col min="11521" max="11521" width="7.140625" style="69" bestFit="1" customWidth="1"/>
    <col min="11522" max="11522" width="12.7109375" style="69" customWidth="1"/>
    <col min="11523" max="11523" width="9.140625" style="69" customWidth="1"/>
    <col min="11524" max="11524" width="14.7109375" style="69" bestFit="1" customWidth="1"/>
    <col min="11525" max="11526" width="13.140625" style="69" customWidth="1"/>
    <col min="11527" max="11527" width="11.7109375" style="69" customWidth="1"/>
    <col min="11528" max="11528" width="14.85546875" style="69" customWidth="1"/>
    <col min="11529" max="11529" width="11.42578125" style="69" customWidth="1"/>
    <col min="11530" max="11530" width="14.85546875" style="69" customWidth="1"/>
    <col min="11531" max="11531" width="13.28515625" style="69" bestFit="1" customWidth="1"/>
    <col min="11532" max="11532" width="14.85546875" style="69" customWidth="1"/>
    <col min="11533" max="11533" width="16.5703125" style="69" customWidth="1"/>
    <col min="11534" max="11534" width="10.5703125" style="69" customWidth="1"/>
    <col min="11535" max="11535" width="12.28515625" style="69" bestFit="1" customWidth="1"/>
    <col min="11536" max="11769" width="9" style="69"/>
    <col min="11770" max="11770" width="10" style="69" customWidth="1"/>
    <col min="11771" max="11771" width="3.7109375" style="69" customWidth="1"/>
    <col min="11772" max="11772" width="7.85546875" style="69" customWidth="1"/>
    <col min="11773" max="11773" width="20" style="69" customWidth="1"/>
    <col min="11774" max="11774" width="4.28515625" style="69" customWidth="1"/>
    <col min="11775" max="11775" width="13.140625" style="69" customWidth="1"/>
    <col min="11776" max="11776" width="10.5703125" style="69" bestFit="1" customWidth="1"/>
    <col min="11777" max="11777" width="7.140625" style="69" bestFit="1" customWidth="1"/>
    <col min="11778" max="11778" width="12.7109375" style="69" customWidth="1"/>
    <col min="11779" max="11779" width="9.140625" style="69" customWidth="1"/>
    <col min="11780" max="11780" width="14.7109375" style="69" bestFit="1" customWidth="1"/>
    <col min="11781" max="11782" width="13.140625" style="69" customWidth="1"/>
    <col min="11783" max="11783" width="11.7109375" style="69" customWidth="1"/>
    <col min="11784" max="11784" width="14.85546875" style="69" customWidth="1"/>
    <col min="11785" max="11785" width="11.42578125" style="69" customWidth="1"/>
    <col min="11786" max="11786" width="14.85546875" style="69" customWidth="1"/>
    <col min="11787" max="11787" width="13.28515625" style="69" bestFit="1" customWidth="1"/>
    <col min="11788" max="11788" width="14.85546875" style="69" customWidth="1"/>
    <col min="11789" max="11789" width="16.5703125" style="69" customWidth="1"/>
    <col min="11790" max="11790" width="10.5703125" style="69" customWidth="1"/>
    <col min="11791" max="11791" width="12.28515625" style="69" bestFit="1" customWidth="1"/>
    <col min="11792" max="12025" width="9" style="69"/>
    <col min="12026" max="12026" width="10" style="69" customWidth="1"/>
    <col min="12027" max="12027" width="3.7109375" style="69" customWidth="1"/>
    <col min="12028" max="12028" width="7.85546875" style="69" customWidth="1"/>
    <col min="12029" max="12029" width="20" style="69" customWidth="1"/>
    <col min="12030" max="12030" width="4.28515625" style="69" customWidth="1"/>
    <col min="12031" max="12031" width="13.140625" style="69" customWidth="1"/>
    <col min="12032" max="12032" width="10.5703125" style="69" bestFit="1" customWidth="1"/>
    <col min="12033" max="12033" width="7.140625" style="69" bestFit="1" customWidth="1"/>
    <col min="12034" max="12034" width="12.7109375" style="69" customWidth="1"/>
    <col min="12035" max="12035" width="9.140625" style="69" customWidth="1"/>
    <col min="12036" max="12036" width="14.7109375" style="69" bestFit="1" customWidth="1"/>
    <col min="12037" max="12038" width="13.140625" style="69" customWidth="1"/>
    <col min="12039" max="12039" width="11.7109375" style="69" customWidth="1"/>
    <col min="12040" max="12040" width="14.85546875" style="69" customWidth="1"/>
    <col min="12041" max="12041" width="11.42578125" style="69" customWidth="1"/>
    <col min="12042" max="12042" width="14.85546875" style="69" customWidth="1"/>
    <col min="12043" max="12043" width="13.28515625" style="69" bestFit="1" customWidth="1"/>
    <col min="12044" max="12044" width="14.85546875" style="69" customWidth="1"/>
    <col min="12045" max="12045" width="16.5703125" style="69" customWidth="1"/>
    <col min="12046" max="12046" width="10.5703125" style="69" customWidth="1"/>
    <col min="12047" max="12047" width="12.28515625" style="69" bestFit="1" customWidth="1"/>
    <col min="12048" max="12281" width="9" style="69"/>
    <col min="12282" max="12282" width="10" style="69" customWidth="1"/>
    <col min="12283" max="12283" width="3.7109375" style="69" customWidth="1"/>
    <col min="12284" max="12284" width="7.85546875" style="69" customWidth="1"/>
    <col min="12285" max="12285" width="20" style="69" customWidth="1"/>
    <col min="12286" max="12286" width="4.28515625" style="69" customWidth="1"/>
    <col min="12287" max="12287" width="13.140625" style="69" customWidth="1"/>
    <col min="12288" max="12288" width="10.5703125" style="69" bestFit="1" customWidth="1"/>
    <col min="12289" max="12289" width="7.140625" style="69" bestFit="1" customWidth="1"/>
    <col min="12290" max="12290" width="12.7109375" style="69" customWidth="1"/>
    <col min="12291" max="12291" width="9.140625" style="69" customWidth="1"/>
    <col min="12292" max="12292" width="14.7109375" style="69" bestFit="1" customWidth="1"/>
    <col min="12293" max="12294" width="13.140625" style="69" customWidth="1"/>
    <col min="12295" max="12295" width="11.7109375" style="69" customWidth="1"/>
    <col min="12296" max="12296" width="14.85546875" style="69" customWidth="1"/>
    <col min="12297" max="12297" width="11.42578125" style="69" customWidth="1"/>
    <col min="12298" max="12298" width="14.85546875" style="69" customWidth="1"/>
    <col min="12299" max="12299" width="13.28515625" style="69" bestFit="1" customWidth="1"/>
    <col min="12300" max="12300" width="14.85546875" style="69" customWidth="1"/>
    <col min="12301" max="12301" width="16.5703125" style="69" customWidth="1"/>
    <col min="12302" max="12302" width="10.5703125" style="69" customWidth="1"/>
    <col min="12303" max="12303" width="12.28515625" style="69" bestFit="1" customWidth="1"/>
    <col min="12304" max="12537" width="9" style="69"/>
    <col min="12538" max="12538" width="10" style="69" customWidth="1"/>
    <col min="12539" max="12539" width="3.7109375" style="69" customWidth="1"/>
    <col min="12540" max="12540" width="7.85546875" style="69" customWidth="1"/>
    <col min="12541" max="12541" width="20" style="69" customWidth="1"/>
    <col min="12542" max="12542" width="4.28515625" style="69" customWidth="1"/>
    <col min="12543" max="12543" width="13.140625" style="69" customWidth="1"/>
    <col min="12544" max="12544" width="10.5703125" style="69" bestFit="1" customWidth="1"/>
    <col min="12545" max="12545" width="7.140625" style="69" bestFit="1" customWidth="1"/>
    <col min="12546" max="12546" width="12.7109375" style="69" customWidth="1"/>
    <col min="12547" max="12547" width="9.140625" style="69" customWidth="1"/>
    <col min="12548" max="12548" width="14.7109375" style="69" bestFit="1" customWidth="1"/>
    <col min="12549" max="12550" width="13.140625" style="69" customWidth="1"/>
    <col min="12551" max="12551" width="11.7109375" style="69" customWidth="1"/>
    <col min="12552" max="12552" width="14.85546875" style="69" customWidth="1"/>
    <col min="12553" max="12553" width="11.42578125" style="69" customWidth="1"/>
    <col min="12554" max="12554" width="14.85546875" style="69" customWidth="1"/>
    <col min="12555" max="12555" width="13.28515625" style="69" bestFit="1" customWidth="1"/>
    <col min="12556" max="12556" width="14.85546875" style="69" customWidth="1"/>
    <col min="12557" max="12557" width="16.5703125" style="69" customWidth="1"/>
    <col min="12558" max="12558" width="10.5703125" style="69" customWidth="1"/>
    <col min="12559" max="12559" width="12.28515625" style="69" bestFit="1" customWidth="1"/>
    <col min="12560" max="12793" width="9" style="69"/>
    <col min="12794" max="12794" width="10" style="69" customWidth="1"/>
    <col min="12795" max="12795" width="3.7109375" style="69" customWidth="1"/>
    <col min="12796" max="12796" width="7.85546875" style="69" customWidth="1"/>
    <col min="12797" max="12797" width="20" style="69" customWidth="1"/>
    <col min="12798" max="12798" width="4.28515625" style="69" customWidth="1"/>
    <col min="12799" max="12799" width="13.140625" style="69" customWidth="1"/>
    <col min="12800" max="12800" width="10.5703125" style="69" bestFit="1" customWidth="1"/>
    <col min="12801" max="12801" width="7.140625" style="69" bestFit="1" customWidth="1"/>
    <col min="12802" max="12802" width="12.7109375" style="69" customWidth="1"/>
    <col min="12803" max="12803" width="9.140625" style="69" customWidth="1"/>
    <col min="12804" max="12804" width="14.7109375" style="69" bestFit="1" customWidth="1"/>
    <col min="12805" max="12806" width="13.140625" style="69" customWidth="1"/>
    <col min="12807" max="12807" width="11.7109375" style="69" customWidth="1"/>
    <col min="12808" max="12808" width="14.85546875" style="69" customWidth="1"/>
    <col min="12809" max="12809" width="11.42578125" style="69" customWidth="1"/>
    <col min="12810" max="12810" width="14.85546875" style="69" customWidth="1"/>
    <col min="12811" max="12811" width="13.28515625" style="69" bestFit="1" customWidth="1"/>
    <col min="12812" max="12812" width="14.85546875" style="69" customWidth="1"/>
    <col min="12813" max="12813" width="16.5703125" style="69" customWidth="1"/>
    <col min="12814" max="12814" width="10.5703125" style="69" customWidth="1"/>
    <col min="12815" max="12815" width="12.28515625" style="69" bestFit="1" customWidth="1"/>
    <col min="12816" max="13049" width="9" style="69"/>
    <col min="13050" max="13050" width="10" style="69" customWidth="1"/>
    <col min="13051" max="13051" width="3.7109375" style="69" customWidth="1"/>
    <col min="13052" max="13052" width="7.85546875" style="69" customWidth="1"/>
    <col min="13053" max="13053" width="20" style="69" customWidth="1"/>
    <col min="13054" max="13054" width="4.28515625" style="69" customWidth="1"/>
    <col min="13055" max="13055" width="13.140625" style="69" customWidth="1"/>
    <col min="13056" max="13056" width="10.5703125" style="69" bestFit="1" customWidth="1"/>
    <col min="13057" max="13057" width="7.140625" style="69" bestFit="1" customWidth="1"/>
    <col min="13058" max="13058" width="12.7109375" style="69" customWidth="1"/>
    <col min="13059" max="13059" width="9.140625" style="69" customWidth="1"/>
    <col min="13060" max="13060" width="14.7109375" style="69" bestFit="1" customWidth="1"/>
    <col min="13061" max="13062" width="13.140625" style="69" customWidth="1"/>
    <col min="13063" max="13063" width="11.7109375" style="69" customWidth="1"/>
    <col min="13064" max="13064" width="14.85546875" style="69" customWidth="1"/>
    <col min="13065" max="13065" width="11.42578125" style="69" customWidth="1"/>
    <col min="13066" max="13066" width="14.85546875" style="69" customWidth="1"/>
    <col min="13067" max="13067" width="13.28515625" style="69" bestFit="1" customWidth="1"/>
    <col min="13068" max="13068" width="14.85546875" style="69" customWidth="1"/>
    <col min="13069" max="13069" width="16.5703125" style="69" customWidth="1"/>
    <col min="13070" max="13070" width="10.5703125" style="69" customWidth="1"/>
    <col min="13071" max="13071" width="12.28515625" style="69" bestFit="1" customWidth="1"/>
    <col min="13072" max="13305" width="9" style="69"/>
    <col min="13306" max="13306" width="10" style="69" customWidth="1"/>
    <col min="13307" max="13307" width="3.7109375" style="69" customWidth="1"/>
    <col min="13308" max="13308" width="7.85546875" style="69" customWidth="1"/>
    <col min="13309" max="13309" width="20" style="69" customWidth="1"/>
    <col min="13310" max="13310" width="4.28515625" style="69" customWidth="1"/>
    <col min="13311" max="13311" width="13.140625" style="69" customWidth="1"/>
    <col min="13312" max="13312" width="10.5703125" style="69" bestFit="1" customWidth="1"/>
    <col min="13313" max="13313" width="7.140625" style="69" bestFit="1" customWidth="1"/>
    <col min="13314" max="13314" width="12.7109375" style="69" customWidth="1"/>
    <col min="13315" max="13315" width="9.140625" style="69" customWidth="1"/>
    <col min="13316" max="13316" width="14.7109375" style="69" bestFit="1" customWidth="1"/>
    <col min="13317" max="13318" width="13.140625" style="69" customWidth="1"/>
    <col min="13319" max="13319" width="11.7109375" style="69" customWidth="1"/>
    <col min="13320" max="13320" width="14.85546875" style="69" customWidth="1"/>
    <col min="13321" max="13321" width="11.42578125" style="69" customWidth="1"/>
    <col min="13322" max="13322" width="14.85546875" style="69" customWidth="1"/>
    <col min="13323" max="13323" width="13.28515625" style="69" bestFit="1" customWidth="1"/>
    <col min="13324" max="13324" width="14.85546875" style="69" customWidth="1"/>
    <col min="13325" max="13325" width="16.5703125" style="69" customWidth="1"/>
    <col min="13326" max="13326" width="10.5703125" style="69" customWidth="1"/>
    <col min="13327" max="13327" width="12.28515625" style="69" bestFit="1" customWidth="1"/>
    <col min="13328" max="13561" width="9" style="69"/>
    <col min="13562" max="13562" width="10" style="69" customWidth="1"/>
    <col min="13563" max="13563" width="3.7109375" style="69" customWidth="1"/>
    <col min="13564" max="13564" width="7.85546875" style="69" customWidth="1"/>
    <col min="13565" max="13565" width="20" style="69" customWidth="1"/>
    <col min="13566" max="13566" width="4.28515625" style="69" customWidth="1"/>
    <col min="13567" max="13567" width="13.140625" style="69" customWidth="1"/>
    <col min="13568" max="13568" width="10.5703125" style="69" bestFit="1" customWidth="1"/>
    <col min="13569" max="13569" width="7.140625" style="69" bestFit="1" customWidth="1"/>
    <col min="13570" max="13570" width="12.7109375" style="69" customWidth="1"/>
    <col min="13571" max="13571" width="9.140625" style="69" customWidth="1"/>
    <col min="13572" max="13572" width="14.7109375" style="69" bestFit="1" customWidth="1"/>
    <col min="13573" max="13574" width="13.140625" style="69" customWidth="1"/>
    <col min="13575" max="13575" width="11.7109375" style="69" customWidth="1"/>
    <col min="13576" max="13576" width="14.85546875" style="69" customWidth="1"/>
    <col min="13577" max="13577" width="11.42578125" style="69" customWidth="1"/>
    <col min="13578" max="13578" width="14.85546875" style="69" customWidth="1"/>
    <col min="13579" max="13579" width="13.28515625" style="69" bestFit="1" customWidth="1"/>
    <col min="13580" max="13580" width="14.85546875" style="69" customWidth="1"/>
    <col min="13581" max="13581" width="16.5703125" style="69" customWidth="1"/>
    <col min="13582" max="13582" width="10.5703125" style="69" customWidth="1"/>
    <col min="13583" max="13583" width="12.28515625" style="69" bestFit="1" customWidth="1"/>
    <col min="13584" max="13817" width="9" style="69"/>
    <col min="13818" max="13818" width="10" style="69" customWidth="1"/>
    <col min="13819" max="13819" width="3.7109375" style="69" customWidth="1"/>
    <col min="13820" max="13820" width="7.85546875" style="69" customWidth="1"/>
    <col min="13821" max="13821" width="20" style="69" customWidth="1"/>
    <col min="13822" max="13822" width="4.28515625" style="69" customWidth="1"/>
    <col min="13823" max="13823" width="13.140625" style="69" customWidth="1"/>
    <col min="13824" max="13824" width="10.5703125" style="69" bestFit="1" customWidth="1"/>
    <col min="13825" max="13825" width="7.140625" style="69" bestFit="1" customWidth="1"/>
    <col min="13826" max="13826" width="12.7109375" style="69" customWidth="1"/>
    <col min="13827" max="13827" width="9.140625" style="69" customWidth="1"/>
    <col min="13828" max="13828" width="14.7109375" style="69" bestFit="1" customWidth="1"/>
    <col min="13829" max="13830" width="13.140625" style="69" customWidth="1"/>
    <col min="13831" max="13831" width="11.7109375" style="69" customWidth="1"/>
    <col min="13832" max="13832" width="14.85546875" style="69" customWidth="1"/>
    <col min="13833" max="13833" width="11.42578125" style="69" customWidth="1"/>
    <col min="13834" max="13834" width="14.85546875" style="69" customWidth="1"/>
    <col min="13835" max="13835" width="13.28515625" style="69" bestFit="1" customWidth="1"/>
    <col min="13836" max="13836" width="14.85546875" style="69" customWidth="1"/>
    <col min="13837" max="13837" width="16.5703125" style="69" customWidth="1"/>
    <col min="13838" max="13838" width="10.5703125" style="69" customWidth="1"/>
    <col min="13839" max="13839" width="12.28515625" style="69" bestFit="1" customWidth="1"/>
    <col min="13840" max="14073" width="9" style="69"/>
    <col min="14074" max="14074" width="10" style="69" customWidth="1"/>
    <col min="14075" max="14075" width="3.7109375" style="69" customWidth="1"/>
    <col min="14076" max="14076" width="7.85546875" style="69" customWidth="1"/>
    <col min="14077" max="14077" width="20" style="69" customWidth="1"/>
    <col min="14078" max="14078" width="4.28515625" style="69" customWidth="1"/>
    <col min="14079" max="14079" width="13.140625" style="69" customWidth="1"/>
    <col min="14080" max="14080" width="10.5703125" style="69" bestFit="1" customWidth="1"/>
    <col min="14081" max="14081" width="7.140625" style="69" bestFit="1" customWidth="1"/>
    <col min="14082" max="14082" width="12.7109375" style="69" customWidth="1"/>
    <col min="14083" max="14083" width="9.140625" style="69" customWidth="1"/>
    <col min="14084" max="14084" width="14.7109375" style="69" bestFit="1" customWidth="1"/>
    <col min="14085" max="14086" width="13.140625" style="69" customWidth="1"/>
    <col min="14087" max="14087" width="11.7109375" style="69" customWidth="1"/>
    <col min="14088" max="14088" width="14.85546875" style="69" customWidth="1"/>
    <col min="14089" max="14089" width="11.42578125" style="69" customWidth="1"/>
    <col min="14090" max="14090" width="14.85546875" style="69" customWidth="1"/>
    <col min="14091" max="14091" width="13.28515625" style="69" bestFit="1" customWidth="1"/>
    <col min="14092" max="14092" width="14.85546875" style="69" customWidth="1"/>
    <col min="14093" max="14093" width="16.5703125" style="69" customWidth="1"/>
    <col min="14094" max="14094" width="10.5703125" style="69" customWidth="1"/>
    <col min="14095" max="14095" width="12.28515625" style="69" bestFit="1" customWidth="1"/>
    <col min="14096" max="14329" width="9" style="69"/>
    <col min="14330" max="14330" width="10" style="69" customWidth="1"/>
    <col min="14331" max="14331" width="3.7109375" style="69" customWidth="1"/>
    <col min="14332" max="14332" width="7.85546875" style="69" customWidth="1"/>
    <col min="14333" max="14333" width="20" style="69" customWidth="1"/>
    <col min="14334" max="14334" width="4.28515625" style="69" customWidth="1"/>
    <col min="14335" max="14335" width="13.140625" style="69" customWidth="1"/>
    <col min="14336" max="14336" width="10.5703125" style="69" bestFit="1" customWidth="1"/>
    <col min="14337" max="14337" width="7.140625" style="69" bestFit="1" customWidth="1"/>
    <col min="14338" max="14338" width="12.7109375" style="69" customWidth="1"/>
    <col min="14339" max="14339" width="9.140625" style="69" customWidth="1"/>
    <col min="14340" max="14340" width="14.7109375" style="69" bestFit="1" customWidth="1"/>
    <col min="14341" max="14342" width="13.140625" style="69" customWidth="1"/>
    <col min="14343" max="14343" width="11.7109375" style="69" customWidth="1"/>
    <col min="14344" max="14344" width="14.85546875" style="69" customWidth="1"/>
    <col min="14345" max="14345" width="11.42578125" style="69" customWidth="1"/>
    <col min="14346" max="14346" width="14.85546875" style="69" customWidth="1"/>
    <col min="14347" max="14347" width="13.28515625" style="69" bestFit="1" customWidth="1"/>
    <col min="14348" max="14348" width="14.85546875" style="69" customWidth="1"/>
    <col min="14349" max="14349" width="16.5703125" style="69" customWidth="1"/>
    <col min="14350" max="14350" width="10.5703125" style="69" customWidth="1"/>
    <col min="14351" max="14351" width="12.28515625" style="69" bestFit="1" customWidth="1"/>
    <col min="14352" max="14585" width="9" style="69"/>
    <col min="14586" max="14586" width="10" style="69" customWidth="1"/>
    <col min="14587" max="14587" width="3.7109375" style="69" customWidth="1"/>
    <col min="14588" max="14588" width="7.85546875" style="69" customWidth="1"/>
    <col min="14589" max="14589" width="20" style="69" customWidth="1"/>
    <col min="14590" max="14590" width="4.28515625" style="69" customWidth="1"/>
    <col min="14591" max="14591" width="13.140625" style="69" customWidth="1"/>
    <col min="14592" max="14592" width="10.5703125" style="69" bestFit="1" customWidth="1"/>
    <col min="14593" max="14593" width="7.140625" style="69" bestFit="1" customWidth="1"/>
    <col min="14594" max="14594" width="12.7109375" style="69" customWidth="1"/>
    <col min="14595" max="14595" width="9.140625" style="69" customWidth="1"/>
    <col min="14596" max="14596" width="14.7109375" style="69" bestFit="1" customWidth="1"/>
    <col min="14597" max="14598" width="13.140625" style="69" customWidth="1"/>
    <col min="14599" max="14599" width="11.7109375" style="69" customWidth="1"/>
    <col min="14600" max="14600" width="14.85546875" style="69" customWidth="1"/>
    <col min="14601" max="14601" width="11.42578125" style="69" customWidth="1"/>
    <col min="14602" max="14602" width="14.85546875" style="69" customWidth="1"/>
    <col min="14603" max="14603" width="13.28515625" style="69" bestFit="1" customWidth="1"/>
    <col min="14604" max="14604" width="14.85546875" style="69" customWidth="1"/>
    <col min="14605" max="14605" width="16.5703125" style="69" customWidth="1"/>
    <col min="14606" max="14606" width="10.5703125" style="69" customWidth="1"/>
    <col min="14607" max="14607" width="12.28515625" style="69" bestFit="1" customWidth="1"/>
    <col min="14608" max="14841" width="9" style="69"/>
    <col min="14842" max="14842" width="10" style="69" customWidth="1"/>
    <col min="14843" max="14843" width="3.7109375" style="69" customWidth="1"/>
    <col min="14844" max="14844" width="7.85546875" style="69" customWidth="1"/>
    <col min="14845" max="14845" width="20" style="69" customWidth="1"/>
    <col min="14846" max="14846" width="4.28515625" style="69" customWidth="1"/>
    <col min="14847" max="14847" width="13.140625" style="69" customWidth="1"/>
    <col min="14848" max="14848" width="10.5703125" style="69" bestFit="1" customWidth="1"/>
    <col min="14849" max="14849" width="7.140625" style="69" bestFit="1" customWidth="1"/>
    <col min="14850" max="14850" width="12.7109375" style="69" customWidth="1"/>
    <col min="14851" max="14851" width="9.140625" style="69" customWidth="1"/>
    <col min="14852" max="14852" width="14.7109375" style="69" bestFit="1" customWidth="1"/>
    <col min="14853" max="14854" width="13.140625" style="69" customWidth="1"/>
    <col min="14855" max="14855" width="11.7109375" style="69" customWidth="1"/>
    <col min="14856" max="14856" width="14.85546875" style="69" customWidth="1"/>
    <col min="14857" max="14857" width="11.42578125" style="69" customWidth="1"/>
    <col min="14858" max="14858" width="14.85546875" style="69" customWidth="1"/>
    <col min="14859" max="14859" width="13.28515625" style="69" bestFit="1" customWidth="1"/>
    <col min="14860" max="14860" width="14.85546875" style="69" customWidth="1"/>
    <col min="14861" max="14861" width="16.5703125" style="69" customWidth="1"/>
    <col min="14862" max="14862" width="10.5703125" style="69" customWidth="1"/>
    <col min="14863" max="14863" width="12.28515625" style="69" bestFit="1" customWidth="1"/>
    <col min="14864" max="15097" width="9" style="69"/>
    <col min="15098" max="15098" width="10" style="69" customWidth="1"/>
    <col min="15099" max="15099" width="3.7109375" style="69" customWidth="1"/>
    <col min="15100" max="15100" width="7.85546875" style="69" customWidth="1"/>
    <col min="15101" max="15101" width="20" style="69" customWidth="1"/>
    <col min="15102" max="15102" width="4.28515625" style="69" customWidth="1"/>
    <col min="15103" max="15103" width="13.140625" style="69" customWidth="1"/>
    <col min="15104" max="15104" width="10.5703125" style="69" bestFit="1" customWidth="1"/>
    <col min="15105" max="15105" width="7.140625" style="69" bestFit="1" customWidth="1"/>
    <col min="15106" max="15106" width="12.7109375" style="69" customWidth="1"/>
    <col min="15107" max="15107" width="9.140625" style="69" customWidth="1"/>
    <col min="15108" max="15108" width="14.7109375" style="69" bestFit="1" customWidth="1"/>
    <col min="15109" max="15110" width="13.140625" style="69" customWidth="1"/>
    <col min="15111" max="15111" width="11.7109375" style="69" customWidth="1"/>
    <col min="15112" max="15112" width="14.85546875" style="69" customWidth="1"/>
    <col min="15113" max="15113" width="11.42578125" style="69" customWidth="1"/>
    <col min="15114" max="15114" width="14.85546875" style="69" customWidth="1"/>
    <col min="15115" max="15115" width="13.28515625" style="69" bestFit="1" customWidth="1"/>
    <col min="15116" max="15116" width="14.85546875" style="69" customWidth="1"/>
    <col min="15117" max="15117" width="16.5703125" style="69" customWidth="1"/>
    <col min="15118" max="15118" width="10.5703125" style="69" customWidth="1"/>
    <col min="15119" max="15119" width="12.28515625" style="69" bestFit="1" customWidth="1"/>
    <col min="15120" max="15353" width="9" style="69"/>
    <col min="15354" max="15354" width="10" style="69" customWidth="1"/>
    <col min="15355" max="15355" width="3.7109375" style="69" customWidth="1"/>
    <col min="15356" max="15356" width="7.85546875" style="69" customWidth="1"/>
    <col min="15357" max="15357" width="20" style="69" customWidth="1"/>
    <col min="15358" max="15358" width="4.28515625" style="69" customWidth="1"/>
    <col min="15359" max="15359" width="13.140625" style="69" customWidth="1"/>
    <col min="15360" max="15360" width="10.5703125" style="69" bestFit="1" customWidth="1"/>
    <col min="15361" max="15361" width="7.140625" style="69" bestFit="1" customWidth="1"/>
    <col min="15362" max="15362" width="12.7109375" style="69" customWidth="1"/>
    <col min="15363" max="15363" width="9.140625" style="69" customWidth="1"/>
    <col min="15364" max="15364" width="14.7109375" style="69" bestFit="1" customWidth="1"/>
    <col min="15365" max="15366" width="13.140625" style="69" customWidth="1"/>
    <col min="15367" max="15367" width="11.7109375" style="69" customWidth="1"/>
    <col min="15368" max="15368" width="14.85546875" style="69" customWidth="1"/>
    <col min="15369" max="15369" width="11.42578125" style="69" customWidth="1"/>
    <col min="15370" max="15370" width="14.85546875" style="69" customWidth="1"/>
    <col min="15371" max="15371" width="13.28515625" style="69" bestFit="1" customWidth="1"/>
    <col min="15372" max="15372" width="14.85546875" style="69" customWidth="1"/>
    <col min="15373" max="15373" width="16.5703125" style="69" customWidth="1"/>
    <col min="15374" max="15374" width="10.5703125" style="69" customWidth="1"/>
    <col min="15375" max="15375" width="12.28515625" style="69" bestFit="1" customWidth="1"/>
    <col min="15376" max="15609" width="9" style="69"/>
    <col min="15610" max="15610" width="10" style="69" customWidth="1"/>
    <col min="15611" max="15611" width="3.7109375" style="69" customWidth="1"/>
    <col min="15612" max="15612" width="7.85546875" style="69" customWidth="1"/>
    <col min="15613" max="15613" width="20" style="69" customWidth="1"/>
    <col min="15614" max="15614" width="4.28515625" style="69" customWidth="1"/>
    <col min="15615" max="15615" width="13.140625" style="69" customWidth="1"/>
    <col min="15616" max="15616" width="10.5703125" style="69" bestFit="1" customWidth="1"/>
    <col min="15617" max="15617" width="7.140625" style="69" bestFit="1" customWidth="1"/>
    <col min="15618" max="15618" width="12.7109375" style="69" customWidth="1"/>
    <col min="15619" max="15619" width="9.140625" style="69" customWidth="1"/>
    <col min="15620" max="15620" width="14.7109375" style="69" bestFit="1" customWidth="1"/>
    <col min="15621" max="15622" width="13.140625" style="69" customWidth="1"/>
    <col min="15623" max="15623" width="11.7109375" style="69" customWidth="1"/>
    <col min="15624" max="15624" width="14.85546875" style="69" customWidth="1"/>
    <col min="15625" max="15625" width="11.42578125" style="69" customWidth="1"/>
    <col min="15626" max="15626" width="14.85546875" style="69" customWidth="1"/>
    <col min="15627" max="15627" width="13.28515625" style="69" bestFit="1" customWidth="1"/>
    <col min="15628" max="15628" width="14.85546875" style="69" customWidth="1"/>
    <col min="15629" max="15629" width="16.5703125" style="69" customWidth="1"/>
    <col min="15630" max="15630" width="10.5703125" style="69" customWidth="1"/>
    <col min="15631" max="15631" width="12.28515625" style="69" bestFit="1" customWidth="1"/>
    <col min="15632" max="15865" width="9" style="69"/>
    <col min="15866" max="15866" width="10" style="69" customWidth="1"/>
    <col min="15867" max="15867" width="3.7109375" style="69" customWidth="1"/>
    <col min="15868" max="15868" width="7.85546875" style="69" customWidth="1"/>
    <col min="15869" max="15869" width="20" style="69" customWidth="1"/>
    <col min="15870" max="15870" width="4.28515625" style="69" customWidth="1"/>
    <col min="15871" max="15871" width="13.140625" style="69" customWidth="1"/>
    <col min="15872" max="15872" width="10.5703125" style="69" bestFit="1" customWidth="1"/>
    <col min="15873" max="15873" width="7.140625" style="69" bestFit="1" customWidth="1"/>
    <col min="15874" max="15874" width="12.7109375" style="69" customWidth="1"/>
    <col min="15875" max="15875" width="9.140625" style="69" customWidth="1"/>
    <col min="15876" max="15876" width="14.7109375" style="69" bestFit="1" customWidth="1"/>
    <col min="15877" max="15878" width="13.140625" style="69" customWidth="1"/>
    <col min="15879" max="15879" width="11.7109375" style="69" customWidth="1"/>
    <col min="15880" max="15880" width="14.85546875" style="69" customWidth="1"/>
    <col min="15881" max="15881" width="11.42578125" style="69" customWidth="1"/>
    <col min="15882" max="15882" width="14.85546875" style="69" customWidth="1"/>
    <col min="15883" max="15883" width="13.28515625" style="69" bestFit="1" customWidth="1"/>
    <col min="15884" max="15884" width="14.85546875" style="69" customWidth="1"/>
    <col min="15885" max="15885" width="16.5703125" style="69" customWidth="1"/>
    <col min="15886" max="15886" width="10.5703125" style="69" customWidth="1"/>
    <col min="15887" max="15887" width="12.28515625" style="69" bestFit="1" customWidth="1"/>
    <col min="15888" max="16121" width="9" style="69"/>
    <col min="16122" max="16122" width="10" style="69" customWidth="1"/>
    <col min="16123" max="16123" width="3.7109375" style="69" customWidth="1"/>
    <col min="16124" max="16124" width="7.85546875" style="69" customWidth="1"/>
    <col min="16125" max="16125" width="20" style="69" customWidth="1"/>
    <col min="16126" max="16126" width="4.28515625" style="69" customWidth="1"/>
    <col min="16127" max="16127" width="13.140625" style="69" customWidth="1"/>
    <col min="16128" max="16128" width="10.5703125" style="69" bestFit="1" customWidth="1"/>
    <col min="16129" max="16129" width="7.140625" style="69" bestFit="1" customWidth="1"/>
    <col min="16130" max="16130" width="12.7109375" style="69" customWidth="1"/>
    <col min="16131" max="16131" width="9.140625" style="69" customWidth="1"/>
    <col min="16132" max="16132" width="14.7109375" style="69" bestFit="1" customWidth="1"/>
    <col min="16133" max="16134" width="13.140625" style="69" customWidth="1"/>
    <col min="16135" max="16135" width="11.7109375" style="69" customWidth="1"/>
    <col min="16136" max="16136" width="14.85546875" style="69" customWidth="1"/>
    <col min="16137" max="16137" width="11.42578125" style="69" customWidth="1"/>
    <col min="16138" max="16138" width="14.85546875" style="69" customWidth="1"/>
    <col min="16139" max="16139" width="13.28515625" style="69" bestFit="1" customWidth="1"/>
    <col min="16140" max="16140" width="14.85546875" style="69" customWidth="1"/>
    <col min="16141" max="16141" width="16.5703125" style="69" customWidth="1"/>
    <col min="16142" max="16142" width="10.5703125" style="69" customWidth="1"/>
    <col min="16143" max="16143" width="12.28515625" style="69" bestFit="1" customWidth="1"/>
    <col min="16144" max="16384" width="9" style="69"/>
  </cols>
  <sheetData>
    <row r="1" spans="1:22" x14ac:dyDescent="0.2">
      <c r="A1" s="75" t="s">
        <v>102</v>
      </c>
    </row>
    <row r="2" spans="1:22" x14ac:dyDescent="0.2">
      <c r="A2" s="75" t="s">
        <v>0</v>
      </c>
      <c r="J2" s="97" t="s">
        <v>103</v>
      </c>
      <c r="K2" s="77"/>
      <c r="L2" s="77"/>
      <c r="M2" s="158" t="s">
        <v>104</v>
      </c>
      <c r="N2" s="79"/>
    </row>
    <row r="3" spans="1:22" x14ac:dyDescent="0.2">
      <c r="A3" s="75" t="s">
        <v>255</v>
      </c>
      <c r="J3" s="97"/>
      <c r="K3" s="77"/>
      <c r="L3" s="77"/>
      <c r="M3" s="158"/>
      <c r="N3" s="79"/>
    </row>
    <row r="4" spans="1:22" x14ac:dyDescent="0.2">
      <c r="A4" s="194" t="s">
        <v>113</v>
      </c>
      <c r="B4" s="158" t="s">
        <v>256</v>
      </c>
      <c r="J4" s="194" t="s">
        <v>92</v>
      </c>
      <c r="K4" s="77"/>
      <c r="L4" s="77"/>
      <c r="M4" s="158" t="s">
        <v>259</v>
      </c>
      <c r="N4" s="79"/>
    </row>
    <row r="5" spans="1:22" x14ac:dyDescent="0.2">
      <c r="A5" s="75"/>
      <c r="B5" s="75"/>
    </row>
    <row r="6" spans="1:22" x14ac:dyDescent="0.2">
      <c r="A6" s="75" t="s">
        <v>1</v>
      </c>
      <c r="B6" s="389">
        <v>2011</v>
      </c>
    </row>
    <row r="8" spans="1:22" s="68" customFormat="1" ht="38.25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86" t="s">
        <v>12</v>
      </c>
      <c r="H8" s="186" t="s">
        <v>13</v>
      </c>
      <c r="I8" s="186" t="s">
        <v>108</v>
      </c>
      <c r="J8" s="186" t="s">
        <v>15</v>
      </c>
      <c r="K8" s="170" t="s">
        <v>111</v>
      </c>
      <c r="L8" s="187" t="s">
        <v>110</v>
      </c>
      <c r="M8" s="187" t="s">
        <v>109</v>
      </c>
      <c r="N8" s="187" t="s">
        <v>112</v>
      </c>
      <c r="O8" s="168" t="s">
        <v>101</v>
      </c>
      <c r="P8" s="196"/>
      <c r="Q8" s="196">
        <v>60</v>
      </c>
      <c r="R8" s="196"/>
      <c r="S8" s="196"/>
      <c r="T8" s="196"/>
      <c r="U8" s="196"/>
      <c r="V8" s="196"/>
    </row>
    <row r="9" spans="1:22" x14ac:dyDescent="0.2">
      <c r="A9" s="309" t="s">
        <v>257</v>
      </c>
      <c r="B9" s="310">
        <v>34699</v>
      </c>
      <c r="C9" s="311">
        <v>1994</v>
      </c>
      <c r="D9" s="311">
        <v>50</v>
      </c>
      <c r="E9" s="311">
        <f t="shared" ref="E9:E14" si="0">+C9+D9-1</f>
        <v>2043</v>
      </c>
      <c r="F9" s="312">
        <f t="shared" ref="F9:F14" si="1">1/D9</f>
        <v>0.02</v>
      </c>
      <c r="G9" s="313" t="s">
        <v>23</v>
      </c>
      <c r="H9" s="318">
        <v>2077053.85</v>
      </c>
      <c r="I9" s="314">
        <f t="shared" ref="I9:I14" si="2">+$B$6-C9+1</f>
        <v>18</v>
      </c>
      <c r="J9" s="314">
        <f t="shared" ref="J9:J14" si="3">IF(E9&gt;=$B$6,+D9-I9,0)</f>
        <v>32</v>
      </c>
      <c r="K9" s="318">
        <f t="shared" ref="K9:K14" si="4">+H9*F9</f>
        <v>41541.077000000005</v>
      </c>
      <c r="L9" s="318">
        <f t="shared" ref="L9:L14" si="5">IF(E9&gt;=$B$6,+K9,0)</f>
        <v>41541.077000000005</v>
      </c>
      <c r="M9" s="318">
        <f t="shared" ref="M9:M14" si="6">+K9*I9</f>
        <v>747739.38600000006</v>
      </c>
      <c r="N9" s="318">
        <f t="shared" ref="N9:N14" si="7">+H9-M9</f>
        <v>1329314.4640000002</v>
      </c>
      <c r="O9" s="310"/>
      <c r="P9" s="409">
        <f>+N9/$N$19</f>
        <v>0.89513539257729213</v>
      </c>
      <c r="Q9" s="411">
        <f>+$Q$8-I9</f>
        <v>42</v>
      </c>
      <c r="R9" s="69">
        <f>+Q9*P9</f>
        <v>37.595686488246272</v>
      </c>
    </row>
    <row r="10" spans="1:22" x14ac:dyDescent="0.2">
      <c r="A10" s="309" t="s">
        <v>257</v>
      </c>
      <c r="B10" s="310">
        <v>35064</v>
      </c>
      <c r="C10" s="311">
        <v>1995</v>
      </c>
      <c r="D10" s="311">
        <v>50</v>
      </c>
      <c r="E10" s="311">
        <f t="shared" si="0"/>
        <v>2044</v>
      </c>
      <c r="F10" s="312">
        <f t="shared" si="1"/>
        <v>0.02</v>
      </c>
      <c r="G10" s="313" t="s">
        <v>23</v>
      </c>
      <c r="H10" s="324">
        <v>84589.91</v>
      </c>
      <c r="I10" s="314">
        <f t="shared" si="2"/>
        <v>17</v>
      </c>
      <c r="J10" s="314">
        <f t="shared" si="3"/>
        <v>33</v>
      </c>
      <c r="K10" s="324">
        <f t="shared" si="4"/>
        <v>1691.7982000000002</v>
      </c>
      <c r="L10" s="324">
        <f t="shared" si="5"/>
        <v>1691.7982000000002</v>
      </c>
      <c r="M10" s="324">
        <f t="shared" si="6"/>
        <v>28760.569400000004</v>
      </c>
      <c r="N10" s="324">
        <f t="shared" si="7"/>
        <v>55829.340599999996</v>
      </c>
      <c r="O10" s="310"/>
      <c r="P10" s="409">
        <f t="shared" ref="P10:P17" si="8">+N10/$N$19</f>
        <v>3.7594429360931367E-2</v>
      </c>
      <c r="Q10" s="411">
        <f t="shared" ref="Q10:Q17" si="9">+$Q$8-I10</f>
        <v>43</v>
      </c>
      <c r="R10" s="69">
        <f t="shared" ref="R10:R17" si="10">+Q10*P10</f>
        <v>1.6165604625200487</v>
      </c>
    </row>
    <row r="11" spans="1:22" x14ac:dyDescent="0.2">
      <c r="A11" s="309" t="s">
        <v>257</v>
      </c>
      <c r="B11" s="310">
        <v>35430</v>
      </c>
      <c r="C11" s="311">
        <v>1996</v>
      </c>
      <c r="D11" s="311">
        <v>50</v>
      </c>
      <c r="E11" s="311">
        <f t="shared" si="0"/>
        <v>2045</v>
      </c>
      <c r="F11" s="312">
        <f t="shared" si="1"/>
        <v>0.02</v>
      </c>
      <c r="G11" s="313" t="s">
        <v>23</v>
      </c>
      <c r="H11" s="324">
        <v>22173</v>
      </c>
      <c r="I11" s="314">
        <f t="shared" si="2"/>
        <v>16</v>
      </c>
      <c r="J11" s="314">
        <f t="shared" si="3"/>
        <v>34</v>
      </c>
      <c r="K11" s="324">
        <f t="shared" si="4"/>
        <v>443.46000000000004</v>
      </c>
      <c r="L11" s="324">
        <f t="shared" si="5"/>
        <v>443.46000000000004</v>
      </c>
      <c r="M11" s="324">
        <f t="shared" si="6"/>
        <v>7095.3600000000006</v>
      </c>
      <c r="N11" s="324">
        <f t="shared" si="7"/>
        <v>15077.64</v>
      </c>
      <c r="O11" s="310"/>
      <c r="P11" s="409">
        <f t="shared" si="8"/>
        <v>1.0152999584407652E-2</v>
      </c>
      <c r="Q11" s="411">
        <f t="shared" si="9"/>
        <v>44</v>
      </c>
      <c r="R11" s="69">
        <f t="shared" si="10"/>
        <v>0.44673198171393669</v>
      </c>
    </row>
    <row r="12" spans="1:22" ht="13.7" customHeight="1" x14ac:dyDescent="0.2">
      <c r="A12" s="309" t="s">
        <v>257</v>
      </c>
      <c r="B12" s="310">
        <v>35795</v>
      </c>
      <c r="C12" s="311">
        <v>1997</v>
      </c>
      <c r="D12" s="311">
        <v>50</v>
      </c>
      <c r="E12" s="311">
        <f t="shared" si="0"/>
        <v>2046</v>
      </c>
      <c r="F12" s="312">
        <f t="shared" si="1"/>
        <v>0.02</v>
      </c>
      <c r="G12" s="313" t="s">
        <v>23</v>
      </c>
      <c r="H12" s="324">
        <v>44130.22</v>
      </c>
      <c r="I12" s="314">
        <f t="shared" si="2"/>
        <v>15</v>
      </c>
      <c r="J12" s="314">
        <f t="shared" si="3"/>
        <v>35</v>
      </c>
      <c r="K12" s="324">
        <f t="shared" si="4"/>
        <v>882.60440000000006</v>
      </c>
      <c r="L12" s="324">
        <f t="shared" si="5"/>
        <v>882.60440000000006</v>
      </c>
      <c r="M12" s="324">
        <f t="shared" si="6"/>
        <v>13239.066000000001</v>
      </c>
      <c r="N12" s="324">
        <f t="shared" si="7"/>
        <v>30891.154000000002</v>
      </c>
      <c r="O12" s="310"/>
      <c r="P12" s="409">
        <f t="shared" si="8"/>
        <v>2.0801522899065953E-2</v>
      </c>
      <c r="Q12" s="411">
        <f t="shared" si="9"/>
        <v>45</v>
      </c>
      <c r="R12" s="69">
        <f t="shared" si="10"/>
        <v>0.9360685304579679</v>
      </c>
    </row>
    <row r="13" spans="1:22" ht="13.7" customHeight="1" x14ac:dyDescent="0.2">
      <c r="A13" s="309" t="s">
        <v>257</v>
      </c>
      <c r="B13" s="310">
        <v>36160</v>
      </c>
      <c r="C13" s="311">
        <v>1998</v>
      </c>
      <c r="D13" s="311">
        <v>50</v>
      </c>
      <c r="E13" s="311">
        <f t="shared" si="0"/>
        <v>2047</v>
      </c>
      <c r="F13" s="312">
        <f t="shared" si="1"/>
        <v>0.02</v>
      </c>
      <c r="G13" s="313" t="s">
        <v>254</v>
      </c>
      <c r="H13" s="324">
        <v>12717</v>
      </c>
      <c r="I13" s="314">
        <f t="shared" si="2"/>
        <v>14</v>
      </c>
      <c r="J13" s="314">
        <f t="shared" si="3"/>
        <v>36</v>
      </c>
      <c r="K13" s="326">
        <f t="shared" si="4"/>
        <v>254.34</v>
      </c>
      <c r="L13" s="324">
        <f t="shared" si="5"/>
        <v>254.34</v>
      </c>
      <c r="M13" s="324">
        <f t="shared" si="6"/>
        <v>3560.76</v>
      </c>
      <c r="N13" s="324">
        <f t="shared" si="7"/>
        <v>9156.24</v>
      </c>
      <c r="O13" s="310"/>
      <c r="P13" s="409">
        <f t="shared" si="8"/>
        <v>6.1656400414611783E-3</v>
      </c>
      <c r="Q13" s="411">
        <f t="shared" si="9"/>
        <v>46</v>
      </c>
      <c r="R13" s="69">
        <f t="shared" si="10"/>
        <v>0.28361944190721422</v>
      </c>
    </row>
    <row r="14" spans="1:22" ht="13.7" customHeight="1" x14ac:dyDescent="0.2">
      <c r="A14" s="309" t="s">
        <v>257</v>
      </c>
      <c r="B14" s="310">
        <v>41274</v>
      </c>
      <c r="C14" s="311">
        <v>2012</v>
      </c>
      <c r="D14" s="328">
        <v>50</v>
      </c>
      <c r="E14" s="311">
        <f t="shared" si="0"/>
        <v>2061</v>
      </c>
      <c r="F14" s="312">
        <f t="shared" si="1"/>
        <v>0.02</v>
      </c>
      <c r="G14" s="313" t="s">
        <v>23</v>
      </c>
      <c r="H14" s="327"/>
      <c r="I14" s="314">
        <f t="shared" si="2"/>
        <v>0</v>
      </c>
      <c r="J14" s="314">
        <f t="shared" si="3"/>
        <v>50</v>
      </c>
      <c r="K14" s="324">
        <f t="shared" si="4"/>
        <v>0</v>
      </c>
      <c r="L14" s="324">
        <f t="shared" si="5"/>
        <v>0</v>
      </c>
      <c r="M14" s="324">
        <f t="shared" si="6"/>
        <v>0</v>
      </c>
      <c r="N14" s="324">
        <f t="shared" si="7"/>
        <v>0</v>
      </c>
      <c r="O14" s="310"/>
      <c r="P14" s="409">
        <f t="shared" si="8"/>
        <v>0</v>
      </c>
      <c r="Q14" s="411">
        <f t="shared" si="9"/>
        <v>60</v>
      </c>
      <c r="R14" s="69">
        <f t="shared" si="10"/>
        <v>0</v>
      </c>
    </row>
    <row r="15" spans="1:22" ht="13.7" customHeight="1" x14ac:dyDescent="0.2">
      <c r="A15" s="309"/>
      <c r="B15" s="310"/>
      <c r="C15" s="311"/>
      <c r="D15" s="311"/>
      <c r="E15" s="311"/>
      <c r="F15" s="312"/>
      <c r="G15" s="313"/>
      <c r="H15" s="324"/>
      <c r="I15" s="314"/>
      <c r="J15" s="314"/>
      <c r="K15" s="324"/>
      <c r="L15" s="324"/>
      <c r="M15" s="324"/>
      <c r="N15" s="324"/>
      <c r="O15" s="310"/>
      <c r="P15" s="409">
        <f t="shared" si="8"/>
        <v>0</v>
      </c>
      <c r="Q15" s="411">
        <f t="shared" si="9"/>
        <v>60</v>
      </c>
      <c r="R15" s="69">
        <f t="shared" si="10"/>
        <v>0</v>
      </c>
    </row>
    <row r="16" spans="1:22" x14ac:dyDescent="0.2">
      <c r="A16" s="309" t="s">
        <v>258</v>
      </c>
      <c r="B16" s="310">
        <v>32873</v>
      </c>
      <c r="C16" s="311">
        <v>1989</v>
      </c>
      <c r="D16" s="317">
        <v>30</v>
      </c>
      <c r="E16" s="311">
        <f>+C16+D16-1</f>
        <v>2018</v>
      </c>
      <c r="F16" s="312">
        <f>1/D16</f>
        <v>3.3333333333333333E-2</v>
      </c>
      <c r="G16" s="313" t="s">
        <v>23</v>
      </c>
      <c r="H16" s="324">
        <v>114483.8</v>
      </c>
      <c r="I16" s="314">
        <f>+$B$6-C16+1</f>
        <v>23</v>
      </c>
      <c r="J16" s="314">
        <f>IF(E16&gt;=$B$6,+D16-I16,0)</f>
        <v>7</v>
      </c>
      <c r="K16" s="324">
        <f>+H16*F16</f>
        <v>3816.1266666666666</v>
      </c>
      <c r="L16" s="324">
        <f>IF(E16&gt;=$B$6,+K16,0)</f>
        <v>3816.1266666666666</v>
      </c>
      <c r="M16" s="324">
        <f>+K16*I16</f>
        <v>87770.91333333333</v>
      </c>
      <c r="N16" s="324">
        <f>+H16-M16</f>
        <v>26712.886666666673</v>
      </c>
      <c r="O16" s="310"/>
      <c r="P16" s="409">
        <f t="shared" si="8"/>
        <v>1.7987956153946865E-2</v>
      </c>
      <c r="Q16" s="411">
        <f t="shared" si="9"/>
        <v>37</v>
      </c>
      <c r="R16" s="69">
        <f t="shared" si="10"/>
        <v>0.66555437769603398</v>
      </c>
    </row>
    <row r="17" spans="1:18" x14ac:dyDescent="0.2">
      <c r="A17" s="309" t="s">
        <v>258</v>
      </c>
      <c r="B17" s="310">
        <v>36796</v>
      </c>
      <c r="C17" s="311">
        <v>2000</v>
      </c>
      <c r="D17" s="317">
        <v>30</v>
      </c>
      <c r="E17" s="311">
        <f>+C17+D17-1</f>
        <v>2029</v>
      </c>
      <c r="F17" s="312">
        <f>1/D17</f>
        <v>3.3333333333333333E-2</v>
      </c>
      <c r="G17" s="313" t="s">
        <v>23</v>
      </c>
      <c r="H17" s="324">
        <f>10800+19302</f>
        <v>30102</v>
      </c>
      <c r="I17" s="314">
        <f>+$B$6-C17+1</f>
        <v>12</v>
      </c>
      <c r="J17" s="314">
        <f>IF(E17&gt;=$B$6,+D17-I17,0)</f>
        <v>18</v>
      </c>
      <c r="K17" s="324">
        <f>+H17*F17</f>
        <v>1003.4</v>
      </c>
      <c r="L17" s="324">
        <f>IF(E17&gt;=$B$6,+K17,0)</f>
        <v>1003.4</v>
      </c>
      <c r="M17" s="324">
        <f>+K17*I17+0.02</f>
        <v>12040.82</v>
      </c>
      <c r="N17" s="324">
        <f>+H17-M17</f>
        <v>18061.18</v>
      </c>
      <c r="O17" s="310"/>
      <c r="P17" s="409">
        <f t="shared" si="8"/>
        <v>1.2162059382894922E-2</v>
      </c>
      <c r="Q17" s="411">
        <f t="shared" si="9"/>
        <v>48</v>
      </c>
      <c r="R17" s="69">
        <f t="shared" si="10"/>
        <v>0.58377885037895627</v>
      </c>
    </row>
    <row r="18" spans="1:18" x14ac:dyDescent="0.2">
      <c r="A18" s="309"/>
      <c r="B18" s="310"/>
      <c r="C18" s="311"/>
      <c r="D18" s="311"/>
      <c r="E18" s="311"/>
      <c r="F18" s="311"/>
      <c r="G18" s="315"/>
      <c r="H18" s="324"/>
      <c r="I18" s="316"/>
      <c r="J18" s="314"/>
      <c r="K18" s="324"/>
      <c r="L18" s="324"/>
      <c r="M18" s="324"/>
      <c r="N18" s="324"/>
      <c r="O18" s="310"/>
    </row>
    <row r="19" spans="1:18" x14ac:dyDescent="0.2">
      <c r="A19" s="325" t="s">
        <v>100</v>
      </c>
      <c r="B19" s="311"/>
      <c r="C19" s="311"/>
      <c r="D19" s="311"/>
      <c r="E19" s="311"/>
      <c r="F19" s="311"/>
      <c r="G19" s="315"/>
      <c r="H19" s="223">
        <f>SUM(H9:H18)</f>
        <v>2385249.7800000003</v>
      </c>
      <c r="I19" s="241"/>
      <c r="J19" s="261"/>
      <c r="K19" s="223"/>
      <c r="L19" s="230">
        <f t="shared" ref="L19:N19" si="11">SUM(L9:L18)</f>
        <v>49632.806266666659</v>
      </c>
      <c r="M19" s="223">
        <f t="shared" si="11"/>
        <v>900206.87473333336</v>
      </c>
      <c r="N19" s="223">
        <f t="shared" si="11"/>
        <v>1485042.9052666668</v>
      </c>
      <c r="O19" s="311"/>
      <c r="P19" s="410">
        <f>SUM(P9:P18)</f>
        <v>1</v>
      </c>
      <c r="R19" s="69">
        <f>SUM(R9:R18)</f>
        <v>42.128000132920427</v>
      </c>
    </row>
    <row r="20" spans="1:18" x14ac:dyDescent="0.2">
      <c r="H20" s="319"/>
      <c r="I20" s="320"/>
      <c r="J20" s="319"/>
      <c r="K20" s="319"/>
      <c r="L20" s="319"/>
      <c r="M20" s="319"/>
      <c r="N20" s="319"/>
    </row>
    <row r="21" spans="1:18" x14ac:dyDescent="0.2">
      <c r="G21" s="100"/>
      <c r="H21" s="225"/>
      <c r="I21" s="320"/>
      <c r="J21" s="248"/>
      <c r="K21" s="248"/>
      <c r="L21" s="321"/>
      <c r="M21" s="321">
        <v>900206.89</v>
      </c>
      <c r="N21" s="321"/>
    </row>
    <row r="22" spans="1:18" x14ac:dyDescent="0.2">
      <c r="G22" s="247"/>
      <c r="H22" s="322"/>
      <c r="I22" s="320"/>
      <c r="J22" s="323"/>
      <c r="K22" s="323"/>
      <c r="L22" s="321"/>
      <c r="M22" s="321"/>
      <c r="N22" s="321"/>
    </row>
    <row r="23" spans="1:18" x14ac:dyDescent="0.2">
      <c r="G23" s="247"/>
      <c r="H23" s="322"/>
      <c r="I23" s="320"/>
      <c r="J23" s="323"/>
      <c r="K23" s="323"/>
      <c r="L23" s="248"/>
      <c r="M23" s="379">
        <f>+M19-M21</f>
        <v>-1.5266666654497385E-2</v>
      </c>
      <c r="N23" s="248"/>
    </row>
    <row r="24" spans="1:18" x14ac:dyDescent="0.2">
      <c r="J24" s="308"/>
      <c r="K24" s="308"/>
      <c r="L24" s="294"/>
      <c r="M24" s="294"/>
      <c r="N24" s="294"/>
    </row>
    <row r="25" spans="1:18" x14ac:dyDescent="0.2">
      <c r="J25" s="308"/>
      <c r="K25" s="308"/>
      <c r="L25" s="292"/>
      <c r="M25" s="292"/>
      <c r="N25" s="292"/>
    </row>
    <row r="26" spans="1:18" x14ac:dyDescent="0.2">
      <c r="J26" s="308"/>
      <c r="K26" s="308"/>
      <c r="L26" s="198"/>
      <c r="M26" s="295"/>
      <c r="N26" s="292"/>
    </row>
    <row r="27" spans="1:18" x14ac:dyDescent="0.2">
      <c r="G27" s="378"/>
      <c r="H27" s="214"/>
      <c r="I27" s="380"/>
      <c r="J27" s="308"/>
      <c r="K27" s="308"/>
      <c r="L27" s="121"/>
      <c r="M27" s="202"/>
      <c r="N27" s="292"/>
    </row>
    <row r="28" spans="1:18" x14ac:dyDescent="0.2">
      <c r="G28" s="423"/>
      <c r="H28" s="214"/>
      <c r="I28" s="380"/>
      <c r="J28" s="308"/>
      <c r="K28" s="308"/>
      <c r="L28" s="201"/>
      <c r="M28" s="202"/>
      <c r="N28" s="292"/>
    </row>
    <row r="29" spans="1:18" x14ac:dyDescent="0.2">
      <c r="J29" s="308"/>
      <c r="K29" s="308"/>
      <c r="L29" s="121"/>
      <c r="M29" s="202"/>
      <c r="N29" s="292"/>
    </row>
    <row r="30" spans="1:18" x14ac:dyDescent="0.2">
      <c r="J30" s="308"/>
      <c r="K30" s="308"/>
      <c r="L30" s="201"/>
      <c r="M30" s="202"/>
      <c r="N30" s="292"/>
    </row>
    <row r="31" spans="1:18" x14ac:dyDescent="0.2">
      <c r="J31" s="308"/>
      <c r="K31" s="308"/>
      <c r="L31" s="121"/>
      <c r="M31" s="202"/>
      <c r="N31" s="292"/>
    </row>
    <row r="32" spans="1:18" x14ac:dyDescent="0.2">
      <c r="J32" s="308"/>
      <c r="K32" s="308"/>
      <c r="L32" s="202"/>
      <c r="M32" s="202"/>
      <c r="N32" s="292"/>
    </row>
    <row r="33" spans="10:14" x14ac:dyDescent="0.2">
      <c r="J33" s="308"/>
      <c r="K33" s="308"/>
      <c r="L33" s="308"/>
      <c r="M33" s="308"/>
      <c r="N33" s="308"/>
    </row>
    <row r="34" spans="10:14" x14ac:dyDescent="0.2">
      <c r="J34" s="308"/>
      <c r="K34" s="308"/>
      <c r="L34" s="308"/>
      <c r="M34" s="308"/>
      <c r="N34" s="308"/>
    </row>
    <row r="35" spans="10:14" x14ac:dyDescent="0.2">
      <c r="J35" s="308"/>
      <c r="K35" s="308"/>
      <c r="L35" s="308"/>
      <c r="M35" s="308"/>
      <c r="N35" s="308"/>
    </row>
    <row r="36" spans="10:14" x14ac:dyDescent="0.2">
      <c r="J36" s="308"/>
      <c r="K36" s="308"/>
      <c r="L36" s="308"/>
      <c r="M36" s="308"/>
      <c r="N36" s="308"/>
    </row>
    <row r="37" spans="10:14" x14ac:dyDescent="0.2">
      <c r="J37" s="308"/>
      <c r="K37" s="308"/>
      <c r="L37" s="308"/>
      <c r="M37" s="308"/>
      <c r="N37" s="308"/>
    </row>
    <row r="38" spans="10:14" x14ac:dyDescent="0.2">
      <c r="J38" s="308"/>
      <c r="K38" s="308"/>
      <c r="L38" s="308"/>
      <c r="M38" s="308"/>
      <c r="N38" s="308"/>
    </row>
    <row r="39" spans="10:14" x14ac:dyDescent="0.2">
      <c r="J39" s="308"/>
      <c r="K39" s="308"/>
      <c r="L39" s="308"/>
      <c r="M39" s="308"/>
      <c r="N39" s="308"/>
    </row>
    <row r="40" spans="10:14" x14ac:dyDescent="0.2">
      <c r="J40" s="308"/>
      <c r="K40" s="308"/>
      <c r="L40" s="308"/>
      <c r="M40" s="308"/>
      <c r="N40" s="308"/>
    </row>
    <row r="41" spans="10:14" x14ac:dyDescent="0.2">
      <c r="J41" s="308"/>
      <c r="K41" s="308"/>
      <c r="L41" s="308"/>
      <c r="M41" s="308"/>
      <c r="N41" s="308"/>
    </row>
    <row r="42" spans="10:14" x14ac:dyDescent="0.2">
      <c r="J42" s="308"/>
      <c r="K42" s="308"/>
      <c r="L42" s="308"/>
      <c r="M42" s="308"/>
      <c r="N42" s="308"/>
    </row>
    <row r="43" spans="10:14" x14ac:dyDescent="0.2">
      <c r="J43" s="308"/>
      <c r="K43" s="308"/>
      <c r="L43" s="308"/>
      <c r="M43" s="308"/>
      <c r="N43" s="308"/>
    </row>
    <row r="44" spans="10:14" x14ac:dyDescent="0.2">
      <c r="J44" s="308"/>
      <c r="K44" s="308"/>
      <c r="L44" s="308"/>
      <c r="M44" s="308"/>
      <c r="N44" s="308"/>
    </row>
    <row r="45" spans="10:14" x14ac:dyDescent="0.2">
      <c r="J45" s="308"/>
      <c r="K45" s="308"/>
      <c r="L45" s="308"/>
      <c r="M45" s="308"/>
      <c r="N45" s="308"/>
    </row>
    <row r="46" spans="10:14" x14ac:dyDescent="0.2">
      <c r="J46" s="308"/>
      <c r="K46" s="308"/>
      <c r="L46" s="308"/>
      <c r="M46" s="308"/>
      <c r="N46" s="308"/>
    </row>
    <row r="47" spans="10:14" x14ac:dyDescent="0.2">
      <c r="J47" s="308"/>
      <c r="K47" s="308"/>
      <c r="L47" s="308"/>
      <c r="M47" s="308"/>
      <c r="N47" s="308"/>
    </row>
    <row r="48" spans="10:14" x14ac:dyDescent="0.2">
      <c r="J48" s="308"/>
      <c r="K48" s="308"/>
      <c r="L48" s="308"/>
      <c r="M48" s="308"/>
      <c r="N48" s="308"/>
    </row>
    <row r="49" spans="10:14" x14ac:dyDescent="0.2">
      <c r="J49" s="308"/>
      <c r="K49" s="308"/>
      <c r="L49" s="308"/>
      <c r="M49" s="308"/>
      <c r="N49" s="308"/>
    </row>
    <row r="50" spans="10:14" x14ac:dyDescent="0.2">
      <c r="J50" s="308"/>
      <c r="K50" s="308"/>
      <c r="L50" s="308"/>
      <c r="M50" s="308"/>
      <c r="N50" s="308"/>
    </row>
    <row r="51" spans="10:14" x14ac:dyDescent="0.2">
      <c r="J51" s="308"/>
      <c r="K51" s="308"/>
      <c r="L51" s="308"/>
      <c r="M51" s="308"/>
      <c r="N51" s="308"/>
    </row>
    <row r="52" spans="10:14" x14ac:dyDescent="0.2">
      <c r="J52" s="308"/>
      <c r="K52" s="308"/>
      <c r="L52" s="308"/>
      <c r="M52" s="308"/>
      <c r="N52" s="308"/>
    </row>
    <row r="53" spans="10:14" x14ac:dyDescent="0.2">
      <c r="J53" s="308"/>
      <c r="K53" s="308"/>
      <c r="L53" s="308"/>
      <c r="M53" s="308"/>
      <c r="N53" s="308"/>
    </row>
    <row r="54" spans="10:14" x14ac:dyDescent="0.2">
      <c r="J54" s="308"/>
      <c r="K54" s="308"/>
      <c r="L54" s="308"/>
      <c r="M54" s="308"/>
      <c r="N54" s="308"/>
    </row>
  </sheetData>
  <printOptions horizontalCentered="1"/>
  <pageMargins left="0.39370078740157483" right="0.39370078740157483" top="0.39370078740157483" bottom="0.78740157480314965" header="0" footer="0.59055118110236227"/>
  <pageSetup scale="66" orientation="landscape" r:id="rId1"/>
  <headerFooter>
    <oddFooter>&amp;L&amp;"Calibri,Regular"&amp;D&amp;C&amp;"Calibri,Regular"Page &amp;P of &amp;N&amp;R&amp;"Calibri,Regular"&amp;F
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workbookViewId="0">
      <selection activeCell="F14" sqref="F14:I19"/>
    </sheetView>
  </sheetViews>
  <sheetFormatPr defaultRowHeight="12.75" x14ac:dyDescent="0.2"/>
  <cols>
    <col min="1" max="1" width="14.28515625" style="307" customWidth="1"/>
    <col min="2" max="2" width="10.140625" style="301" customWidth="1"/>
    <col min="3" max="3" width="10.5703125" style="301" bestFit="1" customWidth="1"/>
    <col min="4" max="4" width="7.140625" style="301" bestFit="1" customWidth="1"/>
    <col min="5" max="5" width="10.42578125" style="301" customWidth="1"/>
    <col min="6" max="6" width="9.140625" style="301" customWidth="1"/>
    <col min="7" max="7" width="16.7109375" style="302" customWidth="1"/>
    <col min="8" max="8" width="12.42578125" style="69" bestFit="1" customWidth="1"/>
    <col min="9" max="9" width="9.7109375" style="301" bestFit="1" customWidth="1"/>
    <col min="10" max="10" width="10.5703125" style="69" customWidth="1"/>
    <col min="11" max="11" width="10" style="69" customWidth="1"/>
    <col min="12" max="12" width="11" style="69" customWidth="1"/>
    <col min="13" max="13" width="12.140625" style="69" customWidth="1"/>
    <col min="14" max="14" width="11.85546875" style="69" customWidth="1"/>
    <col min="15" max="15" width="10.5703125" style="301" customWidth="1"/>
    <col min="16" max="249" width="9" style="69"/>
    <col min="250" max="250" width="10" style="69" customWidth="1"/>
    <col min="251" max="251" width="3.7109375" style="69" customWidth="1"/>
    <col min="252" max="252" width="7.85546875" style="69" customWidth="1"/>
    <col min="253" max="253" width="20" style="69" customWidth="1"/>
    <col min="254" max="254" width="4.28515625" style="69" customWidth="1"/>
    <col min="255" max="255" width="13.140625" style="69" customWidth="1"/>
    <col min="256" max="256" width="10.5703125" style="69" bestFit="1" customWidth="1"/>
    <col min="257" max="257" width="7.140625" style="69" bestFit="1" customWidth="1"/>
    <col min="258" max="258" width="12.7109375" style="69" customWidth="1"/>
    <col min="259" max="259" width="9.140625" style="69" customWidth="1"/>
    <col min="260" max="260" width="14.7109375" style="69" bestFit="1" customWidth="1"/>
    <col min="261" max="262" width="13.140625" style="69" customWidth="1"/>
    <col min="263" max="263" width="11.7109375" style="69" customWidth="1"/>
    <col min="264" max="264" width="14.85546875" style="69" customWidth="1"/>
    <col min="265" max="265" width="11.42578125" style="69" customWidth="1"/>
    <col min="266" max="266" width="14.85546875" style="69" customWidth="1"/>
    <col min="267" max="267" width="13.28515625" style="69" bestFit="1" customWidth="1"/>
    <col min="268" max="268" width="14.85546875" style="69" customWidth="1"/>
    <col min="269" max="269" width="16.5703125" style="69" customWidth="1"/>
    <col min="270" max="270" width="10.5703125" style="69" customWidth="1"/>
    <col min="271" max="271" width="12.28515625" style="69" bestFit="1" customWidth="1"/>
    <col min="272" max="505" width="9" style="69"/>
    <col min="506" max="506" width="10" style="69" customWidth="1"/>
    <col min="507" max="507" width="3.7109375" style="69" customWidth="1"/>
    <col min="508" max="508" width="7.85546875" style="69" customWidth="1"/>
    <col min="509" max="509" width="20" style="69" customWidth="1"/>
    <col min="510" max="510" width="4.28515625" style="69" customWidth="1"/>
    <col min="511" max="511" width="13.140625" style="69" customWidth="1"/>
    <col min="512" max="512" width="10.5703125" style="69" bestFit="1" customWidth="1"/>
    <col min="513" max="513" width="7.140625" style="69" bestFit="1" customWidth="1"/>
    <col min="514" max="514" width="12.7109375" style="69" customWidth="1"/>
    <col min="515" max="515" width="9.140625" style="69" customWidth="1"/>
    <col min="516" max="516" width="14.7109375" style="69" bestFit="1" customWidth="1"/>
    <col min="517" max="518" width="13.140625" style="69" customWidth="1"/>
    <col min="519" max="519" width="11.7109375" style="69" customWidth="1"/>
    <col min="520" max="520" width="14.85546875" style="69" customWidth="1"/>
    <col min="521" max="521" width="11.42578125" style="69" customWidth="1"/>
    <col min="522" max="522" width="14.85546875" style="69" customWidth="1"/>
    <col min="523" max="523" width="13.28515625" style="69" bestFit="1" customWidth="1"/>
    <col min="524" max="524" width="14.85546875" style="69" customWidth="1"/>
    <col min="525" max="525" width="16.5703125" style="69" customWidth="1"/>
    <col min="526" max="526" width="10.5703125" style="69" customWidth="1"/>
    <col min="527" max="527" width="12.28515625" style="69" bestFit="1" customWidth="1"/>
    <col min="528" max="761" width="9" style="69"/>
    <col min="762" max="762" width="10" style="69" customWidth="1"/>
    <col min="763" max="763" width="3.7109375" style="69" customWidth="1"/>
    <col min="764" max="764" width="7.85546875" style="69" customWidth="1"/>
    <col min="765" max="765" width="20" style="69" customWidth="1"/>
    <col min="766" max="766" width="4.28515625" style="69" customWidth="1"/>
    <col min="767" max="767" width="13.140625" style="69" customWidth="1"/>
    <col min="768" max="768" width="10.5703125" style="69" bestFit="1" customWidth="1"/>
    <col min="769" max="769" width="7.140625" style="69" bestFit="1" customWidth="1"/>
    <col min="770" max="770" width="12.7109375" style="69" customWidth="1"/>
    <col min="771" max="771" width="9.140625" style="69" customWidth="1"/>
    <col min="772" max="772" width="14.7109375" style="69" bestFit="1" customWidth="1"/>
    <col min="773" max="774" width="13.140625" style="69" customWidth="1"/>
    <col min="775" max="775" width="11.7109375" style="69" customWidth="1"/>
    <col min="776" max="776" width="14.85546875" style="69" customWidth="1"/>
    <col min="777" max="777" width="11.42578125" style="69" customWidth="1"/>
    <col min="778" max="778" width="14.85546875" style="69" customWidth="1"/>
    <col min="779" max="779" width="13.28515625" style="69" bestFit="1" customWidth="1"/>
    <col min="780" max="780" width="14.85546875" style="69" customWidth="1"/>
    <col min="781" max="781" width="16.5703125" style="69" customWidth="1"/>
    <col min="782" max="782" width="10.5703125" style="69" customWidth="1"/>
    <col min="783" max="783" width="12.28515625" style="69" bestFit="1" customWidth="1"/>
    <col min="784" max="1017" width="9" style="69"/>
    <col min="1018" max="1018" width="10" style="69" customWidth="1"/>
    <col min="1019" max="1019" width="3.7109375" style="69" customWidth="1"/>
    <col min="1020" max="1020" width="7.85546875" style="69" customWidth="1"/>
    <col min="1021" max="1021" width="20" style="69" customWidth="1"/>
    <col min="1022" max="1022" width="4.28515625" style="69" customWidth="1"/>
    <col min="1023" max="1023" width="13.140625" style="69" customWidth="1"/>
    <col min="1024" max="1024" width="10.5703125" style="69" bestFit="1" customWidth="1"/>
    <col min="1025" max="1025" width="7.140625" style="69" bestFit="1" customWidth="1"/>
    <col min="1026" max="1026" width="12.7109375" style="69" customWidth="1"/>
    <col min="1027" max="1027" width="9.140625" style="69" customWidth="1"/>
    <col min="1028" max="1028" width="14.7109375" style="69" bestFit="1" customWidth="1"/>
    <col min="1029" max="1030" width="13.140625" style="69" customWidth="1"/>
    <col min="1031" max="1031" width="11.7109375" style="69" customWidth="1"/>
    <col min="1032" max="1032" width="14.85546875" style="69" customWidth="1"/>
    <col min="1033" max="1033" width="11.42578125" style="69" customWidth="1"/>
    <col min="1034" max="1034" width="14.85546875" style="69" customWidth="1"/>
    <col min="1035" max="1035" width="13.28515625" style="69" bestFit="1" customWidth="1"/>
    <col min="1036" max="1036" width="14.85546875" style="69" customWidth="1"/>
    <col min="1037" max="1037" width="16.5703125" style="69" customWidth="1"/>
    <col min="1038" max="1038" width="10.5703125" style="69" customWidth="1"/>
    <col min="1039" max="1039" width="12.28515625" style="69" bestFit="1" customWidth="1"/>
    <col min="1040" max="1273" width="9" style="69"/>
    <col min="1274" max="1274" width="10" style="69" customWidth="1"/>
    <col min="1275" max="1275" width="3.7109375" style="69" customWidth="1"/>
    <col min="1276" max="1276" width="7.85546875" style="69" customWidth="1"/>
    <col min="1277" max="1277" width="20" style="69" customWidth="1"/>
    <col min="1278" max="1278" width="4.28515625" style="69" customWidth="1"/>
    <col min="1279" max="1279" width="13.140625" style="69" customWidth="1"/>
    <col min="1280" max="1280" width="10.5703125" style="69" bestFit="1" customWidth="1"/>
    <col min="1281" max="1281" width="7.140625" style="69" bestFit="1" customWidth="1"/>
    <col min="1282" max="1282" width="12.7109375" style="69" customWidth="1"/>
    <col min="1283" max="1283" width="9.140625" style="69" customWidth="1"/>
    <col min="1284" max="1284" width="14.7109375" style="69" bestFit="1" customWidth="1"/>
    <col min="1285" max="1286" width="13.140625" style="69" customWidth="1"/>
    <col min="1287" max="1287" width="11.7109375" style="69" customWidth="1"/>
    <col min="1288" max="1288" width="14.85546875" style="69" customWidth="1"/>
    <col min="1289" max="1289" width="11.42578125" style="69" customWidth="1"/>
    <col min="1290" max="1290" width="14.85546875" style="69" customWidth="1"/>
    <col min="1291" max="1291" width="13.28515625" style="69" bestFit="1" customWidth="1"/>
    <col min="1292" max="1292" width="14.85546875" style="69" customWidth="1"/>
    <col min="1293" max="1293" width="16.5703125" style="69" customWidth="1"/>
    <col min="1294" max="1294" width="10.5703125" style="69" customWidth="1"/>
    <col min="1295" max="1295" width="12.28515625" style="69" bestFit="1" customWidth="1"/>
    <col min="1296" max="1529" width="9" style="69"/>
    <col min="1530" max="1530" width="10" style="69" customWidth="1"/>
    <col min="1531" max="1531" width="3.7109375" style="69" customWidth="1"/>
    <col min="1532" max="1532" width="7.85546875" style="69" customWidth="1"/>
    <col min="1533" max="1533" width="20" style="69" customWidth="1"/>
    <col min="1534" max="1534" width="4.28515625" style="69" customWidth="1"/>
    <col min="1535" max="1535" width="13.140625" style="69" customWidth="1"/>
    <col min="1536" max="1536" width="10.5703125" style="69" bestFit="1" customWidth="1"/>
    <col min="1537" max="1537" width="7.140625" style="69" bestFit="1" customWidth="1"/>
    <col min="1538" max="1538" width="12.7109375" style="69" customWidth="1"/>
    <col min="1539" max="1539" width="9.140625" style="69" customWidth="1"/>
    <col min="1540" max="1540" width="14.7109375" style="69" bestFit="1" customWidth="1"/>
    <col min="1541" max="1542" width="13.140625" style="69" customWidth="1"/>
    <col min="1543" max="1543" width="11.7109375" style="69" customWidth="1"/>
    <col min="1544" max="1544" width="14.85546875" style="69" customWidth="1"/>
    <col min="1545" max="1545" width="11.42578125" style="69" customWidth="1"/>
    <col min="1546" max="1546" width="14.85546875" style="69" customWidth="1"/>
    <col min="1547" max="1547" width="13.28515625" style="69" bestFit="1" customWidth="1"/>
    <col min="1548" max="1548" width="14.85546875" style="69" customWidth="1"/>
    <col min="1549" max="1549" width="16.5703125" style="69" customWidth="1"/>
    <col min="1550" max="1550" width="10.5703125" style="69" customWidth="1"/>
    <col min="1551" max="1551" width="12.28515625" style="69" bestFit="1" customWidth="1"/>
    <col min="1552" max="1785" width="9" style="69"/>
    <col min="1786" max="1786" width="10" style="69" customWidth="1"/>
    <col min="1787" max="1787" width="3.7109375" style="69" customWidth="1"/>
    <col min="1788" max="1788" width="7.85546875" style="69" customWidth="1"/>
    <col min="1789" max="1789" width="20" style="69" customWidth="1"/>
    <col min="1790" max="1790" width="4.28515625" style="69" customWidth="1"/>
    <col min="1791" max="1791" width="13.140625" style="69" customWidth="1"/>
    <col min="1792" max="1792" width="10.5703125" style="69" bestFit="1" customWidth="1"/>
    <col min="1793" max="1793" width="7.140625" style="69" bestFit="1" customWidth="1"/>
    <col min="1794" max="1794" width="12.7109375" style="69" customWidth="1"/>
    <col min="1795" max="1795" width="9.140625" style="69" customWidth="1"/>
    <col min="1796" max="1796" width="14.7109375" style="69" bestFit="1" customWidth="1"/>
    <col min="1797" max="1798" width="13.140625" style="69" customWidth="1"/>
    <col min="1799" max="1799" width="11.7109375" style="69" customWidth="1"/>
    <col min="1800" max="1800" width="14.85546875" style="69" customWidth="1"/>
    <col min="1801" max="1801" width="11.42578125" style="69" customWidth="1"/>
    <col min="1802" max="1802" width="14.85546875" style="69" customWidth="1"/>
    <col min="1803" max="1803" width="13.28515625" style="69" bestFit="1" customWidth="1"/>
    <col min="1804" max="1804" width="14.85546875" style="69" customWidth="1"/>
    <col min="1805" max="1805" width="16.5703125" style="69" customWidth="1"/>
    <col min="1806" max="1806" width="10.5703125" style="69" customWidth="1"/>
    <col min="1807" max="1807" width="12.28515625" style="69" bestFit="1" customWidth="1"/>
    <col min="1808" max="2041" width="9" style="69"/>
    <col min="2042" max="2042" width="10" style="69" customWidth="1"/>
    <col min="2043" max="2043" width="3.7109375" style="69" customWidth="1"/>
    <col min="2044" max="2044" width="7.85546875" style="69" customWidth="1"/>
    <col min="2045" max="2045" width="20" style="69" customWidth="1"/>
    <col min="2046" max="2046" width="4.28515625" style="69" customWidth="1"/>
    <col min="2047" max="2047" width="13.140625" style="69" customWidth="1"/>
    <col min="2048" max="2048" width="10.5703125" style="69" bestFit="1" customWidth="1"/>
    <col min="2049" max="2049" width="7.140625" style="69" bestFit="1" customWidth="1"/>
    <col min="2050" max="2050" width="12.7109375" style="69" customWidth="1"/>
    <col min="2051" max="2051" width="9.140625" style="69" customWidth="1"/>
    <col min="2052" max="2052" width="14.7109375" style="69" bestFit="1" customWidth="1"/>
    <col min="2053" max="2054" width="13.140625" style="69" customWidth="1"/>
    <col min="2055" max="2055" width="11.7109375" style="69" customWidth="1"/>
    <col min="2056" max="2056" width="14.85546875" style="69" customWidth="1"/>
    <col min="2057" max="2057" width="11.42578125" style="69" customWidth="1"/>
    <col min="2058" max="2058" width="14.85546875" style="69" customWidth="1"/>
    <col min="2059" max="2059" width="13.28515625" style="69" bestFit="1" customWidth="1"/>
    <col min="2060" max="2060" width="14.85546875" style="69" customWidth="1"/>
    <col min="2061" max="2061" width="16.5703125" style="69" customWidth="1"/>
    <col min="2062" max="2062" width="10.5703125" style="69" customWidth="1"/>
    <col min="2063" max="2063" width="12.28515625" style="69" bestFit="1" customWidth="1"/>
    <col min="2064" max="2297" width="9" style="69"/>
    <col min="2298" max="2298" width="10" style="69" customWidth="1"/>
    <col min="2299" max="2299" width="3.7109375" style="69" customWidth="1"/>
    <col min="2300" max="2300" width="7.85546875" style="69" customWidth="1"/>
    <col min="2301" max="2301" width="20" style="69" customWidth="1"/>
    <col min="2302" max="2302" width="4.28515625" style="69" customWidth="1"/>
    <col min="2303" max="2303" width="13.140625" style="69" customWidth="1"/>
    <col min="2304" max="2304" width="10.5703125" style="69" bestFit="1" customWidth="1"/>
    <col min="2305" max="2305" width="7.140625" style="69" bestFit="1" customWidth="1"/>
    <col min="2306" max="2306" width="12.7109375" style="69" customWidth="1"/>
    <col min="2307" max="2307" width="9.140625" style="69" customWidth="1"/>
    <col min="2308" max="2308" width="14.7109375" style="69" bestFit="1" customWidth="1"/>
    <col min="2309" max="2310" width="13.140625" style="69" customWidth="1"/>
    <col min="2311" max="2311" width="11.7109375" style="69" customWidth="1"/>
    <col min="2312" max="2312" width="14.85546875" style="69" customWidth="1"/>
    <col min="2313" max="2313" width="11.42578125" style="69" customWidth="1"/>
    <col min="2314" max="2314" width="14.85546875" style="69" customWidth="1"/>
    <col min="2315" max="2315" width="13.28515625" style="69" bestFit="1" customWidth="1"/>
    <col min="2316" max="2316" width="14.85546875" style="69" customWidth="1"/>
    <col min="2317" max="2317" width="16.5703125" style="69" customWidth="1"/>
    <col min="2318" max="2318" width="10.5703125" style="69" customWidth="1"/>
    <col min="2319" max="2319" width="12.28515625" style="69" bestFit="1" customWidth="1"/>
    <col min="2320" max="2553" width="9" style="69"/>
    <col min="2554" max="2554" width="10" style="69" customWidth="1"/>
    <col min="2555" max="2555" width="3.7109375" style="69" customWidth="1"/>
    <col min="2556" max="2556" width="7.85546875" style="69" customWidth="1"/>
    <col min="2557" max="2557" width="20" style="69" customWidth="1"/>
    <col min="2558" max="2558" width="4.28515625" style="69" customWidth="1"/>
    <col min="2559" max="2559" width="13.140625" style="69" customWidth="1"/>
    <col min="2560" max="2560" width="10.5703125" style="69" bestFit="1" customWidth="1"/>
    <col min="2561" max="2561" width="7.140625" style="69" bestFit="1" customWidth="1"/>
    <col min="2562" max="2562" width="12.7109375" style="69" customWidth="1"/>
    <col min="2563" max="2563" width="9.140625" style="69" customWidth="1"/>
    <col min="2564" max="2564" width="14.7109375" style="69" bestFit="1" customWidth="1"/>
    <col min="2565" max="2566" width="13.140625" style="69" customWidth="1"/>
    <col min="2567" max="2567" width="11.7109375" style="69" customWidth="1"/>
    <col min="2568" max="2568" width="14.85546875" style="69" customWidth="1"/>
    <col min="2569" max="2569" width="11.42578125" style="69" customWidth="1"/>
    <col min="2570" max="2570" width="14.85546875" style="69" customWidth="1"/>
    <col min="2571" max="2571" width="13.28515625" style="69" bestFit="1" customWidth="1"/>
    <col min="2572" max="2572" width="14.85546875" style="69" customWidth="1"/>
    <col min="2573" max="2573" width="16.5703125" style="69" customWidth="1"/>
    <col min="2574" max="2574" width="10.5703125" style="69" customWidth="1"/>
    <col min="2575" max="2575" width="12.28515625" style="69" bestFit="1" customWidth="1"/>
    <col min="2576" max="2809" width="9" style="69"/>
    <col min="2810" max="2810" width="10" style="69" customWidth="1"/>
    <col min="2811" max="2811" width="3.7109375" style="69" customWidth="1"/>
    <col min="2812" max="2812" width="7.85546875" style="69" customWidth="1"/>
    <col min="2813" max="2813" width="20" style="69" customWidth="1"/>
    <col min="2814" max="2814" width="4.28515625" style="69" customWidth="1"/>
    <col min="2815" max="2815" width="13.140625" style="69" customWidth="1"/>
    <col min="2816" max="2816" width="10.5703125" style="69" bestFit="1" customWidth="1"/>
    <col min="2817" max="2817" width="7.140625" style="69" bestFit="1" customWidth="1"/>
    <col min="2818" max="2818" width="12.7109375" style="69" customWidth="1"/>
    <col min="2819" max="2819" width="9.140625" style="69" customWidth="1"/>
    <col min="2820" max="2820" width="14.7109375" style="69" bestFit="1" customWidth="1"/>
    <col min="2821" max="2822" width="13.140625" style="69" customWidth="1"/>
    <col min="2823" max="2823" width="11.7109375" style="69" customWidth="1"/>
    <col min="2824" max="2824" width="14.85546875" style="69" customWidth="1"/>
    <col min="2825" max="2825" width="11.42578125" style="69" customWidth="1"/>
    <col min="2826" max="2826" width="14.85546875" style="69" customWidth="1"/>
    <col min="2827" max="2827" width="13.28515625" style="69" bestFit="1" customWidth="1"/>
    <col min="2828" max="2828" width="14.85546875" style="69" customWidth="1"/>
    <col min="2829" max="2829" width="16.5703125" style="69" customWidth="1"/>
    <col min="2830" max="2830" width="10.5703125" style="69" customWidth="1"/>
    <col min="2831" max="2831" width="12.28515625" style="69" bestFit="1" customWidth="1"/>
    <col min="2832" max="3065" width="9" style="69"/>
    <col min="3066" max="3066" width="10" style="69" customWidth="1"/>
    <col min="3067" max="3067" width="3.7109375" style="69" customWidth="1"/>
    <col min="3068" max="3068" width="7.85546875" style="69" customWidth="1"/>
    <col min="3069" max="3069" width="20" style="69" customWidth="1"/>
    <col min="3070" max="3070" width="4.28515625" style="69" customWidth="1"/>
    <col min="3071" max="3071" width="13.140625" style="69" customWidth="1"/>
    <col min="3072" max="3072" width="10.5703125" style="69" bestFit="1" customWidth="1"/>
    <col min="3073" max="3073" width="7.140625" style="69" bestFit="1" customWidth="1"/>
    <col min="3074" max="3074" width="12.7109375" style="69" customWidth="1"/>
    <col min="3075" max="3075" width="9.140625" style="69" customWidth="1"/>
    <col min="3076" max="3076" width="14.7109375" style="69" bestFit="1" customWidth="1"/>
    <col min="3077" max="3078" width="13.140625" style="69" customWidth="1"/>
    <col min="3079" max="3079" width="11.7109375" style="69" customWidth="1"/>
    <col min="3080" max="3080" width="14.85546875" style="69" customWidth="1"/>
    <col min="3081" max="3081" width="11.42578125" style="69" customWidth="1"/>
    <col min="3082" max="3082" width="14.85546875" style="69" customWidth="1"/>
    <col min="3083" max="3083" width="13.28515625" style="69" bestFit="1" customWidth="1"/>
    <col min="3084" max="3084" width="14.85546875" style="69" customWidth="1"/>
    <col min="3085" max="3085" width="16.5703125" style="69" customWidth="1"/>
    <col min="3086" max="3086" width="10.5703125" style="69" customWidth="1"/>
    <col min="3087" max="3087" width="12.28515625" style="69" bestFit="1" customWidth="1"/>
    <col min="3088" max="3321" width="9" style="69"/>
    <col min="3322" max="3322" width="10" style="69" customWidth="1"/>
    <col min="3323" max="3323" width="3.7109375" style="69" customWidth="1"/>
    <col min="3324" max="3324" width="7.85546875" style="69" customWidth="1"/>
    <col min="3325" max="3325" width="20" style="69" customWidth="1"/>
    <col min="3326" max="3326" width="4.28515625" style="69" customWidth="1"/>
    <col min="3327" max="3327" width="13.140625" style="69" customWidth="1"/>
    <col min="3328" max="3328" width="10.5703125" style="69" bestFit="1" customWidth="1"/>
    <col min="3329" max="3329" width="7.140625" style="69" bestFit="1" customWidth="1"/>
    <col min="3330" max="3330" width="12.7109375" style="69" customWidth="1"/>
    <col min="3331" max="3331" width="9.140625" style="69" customWidth="1"/>
    <col min="3332" max="3332" width="14.7109375" style="69" bestFit="1" customWidth="1"/>
    <col min="3333" max="3334" width="13.140625" style="69" customWidth="1"/>
    <col min="3335" max="3335" width="11.7109375" style="69" customWidth="1"/>
    <col min="3336" max="3336" width="14.85546875" style="69" customWidth="1"/>
    <col min="3337" max="3337" width="11.42578125" style="69" customWidth="1"/>
    <col min="3338" max="3338" width="14.85546875" style="69" customWidth="1"/>
    <col min="3339" max="3339" width="13.28515625" style="69" bestFit="1" customWidth="1"/>
    <col min="3340" max="3340" width="14.85546875" style="69" customWidth="1"/>
    <col min="3341" max="3341" width="16.5703125" style="69" customWidth="1"/>
    <col min="3342" max="3342" width="10.5703125" style="69" customWidth="1"/>
    <col min="3343" max="3343" width="12.28515625" style="69" bestFit="1" customWidth="1"/>
    <col min="3344" max="3577" width="9" style="69"/>
    <col min="3578" max="3578" width="10" style="69" customWidth="1"/>
    <col min="3579" max="3579" width="3.7109375" style="69" customWidth="1"/>
    <col min="3580" max="3580" width="7.85546875" style="69" customWidth="1"/>
    <col min="3581" max="3581" width="20" style="69" customWidth="1"/>
    <col min="3582" max="3582" width="4.28515625" style="69" customWidth="1"/>
    <col min="3583" max="3583" width="13.140625" style="69" customWidth="1"/>
    <col min="3584" max="3584" width="10.5703125" style="69" bestFit="1" customWidth="1"/>
    <col min="3585" max="3585" width="7.140625" style="69" bestFit="1" customWidth="1"/>
    <col min="3586" max="3586" width="12.7109375" style="69" customWidth="1"/>
    <col min="3587" max="3587" width="9.140625" style="69" customWidth="1"/>
    <col min="3588" max="3588" width="14.7109375" style="69" bestFit="1" customWidth="1"/>
    <col min="3589" max="3590" width="13.140625" style="69" customWidth="1"/>
    <col min="3591" max="3591" width="11.7109375" style="69" customWidth="1"/>
    <col min="3592" max="3592" width="14.85546875" style="69" customWidth="1"/>
    <col min="3593" max="3593" width="11.42578125" style="69" customWidth="1"/>
    <col min="3594" max="3594" width="14.85546875" style="69" customWidth="1"/>
    <col min="3595" max="3595" width="13.28515625" style="69" bestFit="1" customWidth="1"/>
    <col min="3596" max="3596" width="14.85546875" style="69" customWidth="1"/>
    <col min="3597" max="3597" width="16.5703125" style="69" customWidth="1"/>
    <col min="3598" max="3598" width="10.5703125" style="69" customWidth="1"/>
    <col min="3599" max="3599" width="12.28515625" style="69" bestFit="1" customWidth="1"/>
    <col min="3600" max="3833" width="9" style="69"/>
    <col min="3834" max="3834" width="10" style="69" customWidth="1"/>
    <col min="3835" max="3835" width="3.7109375" style="69" customWidth="1"/>
    <col min="3836" max="3836" width="7.85546875" style="69" customWidth="1"/>
    <col min="3837" max="3837" width="20" style="69" customWidth="1"/>
    <col min="3838" max="3838" width="4.28515625" style="69" customWidth="1"/>
    <col min="3839" max="3839" width="13.140625" style="69" customWidth="1"/>
    <col min="3840" max="3840" width="10.5703125" style="69" bestFit="1" customWidth="1"/>
    <col min="3841" max="3841" width="7.140625" style="69" bestFit="1" customWidth="1"/>
    <col min="3842" max="3842" width="12.7109375" style="69" customWidth="1"/>
    <col min="3843" max="3843" width="9.140625" style="69" customWidth="1"/>
    <col min="3844" max="3844" width="14.7109375" style="69" bestFit="1" customWidth="1"/>
    <col min="3845" max="3846" width="13.140625" style="69" customWidth="1"/>
    <col min="3847" max="3847" width="11.7109375" style="69" customWidth="1"/>
    <col min="3848" max="3848" width="14.85546875" style="69" customWidth="1"/>
    <col min="3849" max="3849" width="11.42578125" style="69" customWidth="1"/>
    <col min="3850" max="3850" width="14.85546875" style="69" customWidth="1"/>
    <col min="3851" max="3851" width="13.28515625" style="69" bestFit="1" customWidth="1"/>
    <col min="3852" max="3852" width="14.85546875" style="69" customWidth="1"/>
    <col min="3853" max="3853" width="16.5703125" style="69" customWidth="1"/>
    <col min="3854" max="3854" width="10.5703125" style="69" customWidth="1"/>
    <col min="3855" max="3855" width="12.28515625" style="69" bestFit="1" customWidth="1"/>
    <col min="3856" max="4089" width="9" style="69"/>
    <col min="4090" max="4090" width="10" style="69" customWidth="1"/>
    <col min="4091" max="4091" width="3.7109375" style="69" customWidth="1"/>
    <col min="4092" max="4092" width="7.85546875" style="69" customWidth="1"/>
    <col min="4093" max="4093" width="20" style="69" customWidth="1"/>
    <col min="4094" max="4094" width="4.28515625" style="69" customWidth="1"/>
    <col min="4095" max="4095" width="13.140625" style="69" customWidth="1"/>
    <col min="4096" max="4096" width="10.5703125" style="69" bestFit="1" customWidth="1"/>
    <col min="4097" max="4097" width="7.140625" style="69" bestFit="1" customWidth="1"/>
    <col min="4098" max="4098" width="12.7109375" style="69" customWidth="1"/>
    <col min="4099" max="4099" width="9.140625" style="69" customWidth="1"/>
    <col min="4100" max="4100" width="14.7109375" style="69" bestFit="1" customWidth="1"/>
    <col min="4101" max="4102" width="13.140625" style="69" customWidth="1"/>
    <col min="4103" max="4103" width="11.7109375" style="69" customWidth="1"/>
    <col min="4104" max="4104" width="14.85546875" style="69" customWidth="1"/>
    <col min="4105" max="4105" width="11.42578125" style="69" customWidth="1"/>
    <col min="4106" max="4106" width="14.85546875" style="69" customWidth="1"/>
    <col min="4107" max="4107" width="13.28515625" style="69" bestFit="1" customWidth="1"/>
    <col min="4108" max="4108" width="14.85546875" style="69" customWidth="1"/>
    <col min="4109" max="4109" width="16.5703125" style="69" customWidth="1"/>
    <col min="4110" max="4110" width="10.5703125" style="69" customWidth="1"/>
    <col min="4111" max="4111" width="12.28515625" style="69" bestFit="1" customWidth="1"/>
    <col min="4112" max="4345" width="9" style="69"/>
    <col min="4346" max="4346" width="10" style="69" customWidth="1"/>
    <col min="4347" max="4347" width="3.7109375" style="69" customWidth="1"/>
    <col min="4348" max="4348" width="7.85546875" style="69" customWidth="1"/>
    <col min="4349" max="4349" width="20" style="69" customWidth="1"/>
    <col min="4350" max="4350" width="4.28515625" style="69" customWidth="1"/>
    <col min="4351" max="4351" width="13.140625" style="69" customWidth="1"/>
    <col min="4352" max="4352" width="10.5703125" style="69" bestFit="1" customWidth="1"/>
    <col min="4353" max="4353" width="7.140625" style="69" bestFit="1" customWidth="1"/>
    <col min="4354" max="4354" width="12.7109375" style="69" customWidth="1"/>
    <col min="4355" max="4355" width="9.140625" style="69" customWidth="1"/>
    <col min="4356" max="4356" width="14.7109375" style="69" bestFit="1" customWidth="1"/>
    <col min="4357" max="4358" width="13.140625" style="69" customWidth="1"/>
    <col min="4359" max="4359" width="11.7109375" style="69" customWidth="1"/>
    <col min="4360" max="4360" width="14.85546875" style="69" customWidth="1"/>
    <col min="4361" max="4361" width="11.42578125" style="69" customWidth="1"/>
    <col min="4362" max="4362" width="14.85546875" style="69" customWidth="1"/>
    <col min="4363" max="4363" width="13.28515625" style="69" bestFit="1" customWidth="1"/>
    <col min="4364" max="4364" width="14.85546875" style="69" customWidth="1"/>
    <col min="4365" max="4365" width="16.5703125" style="69" customWidth="1"/>
    <col min="4366" max="4366" width="10.5703125" style="69" customWidth="1"/>
    <col min="4367" max="4367" width="12.28515625" style="69" bestFit="1" customWidth="1"/>
    <col min="4368" max="4601" width="9" style="69"/>
    <col min="4602" max="4602" width="10" style="69" customWidth="1"/>
    <col min="4603" max="4603" width="3.7109375" style="69" customWidth="1"/>
    <col min="4604" max="4604" width="7.85546875" style="69" customWidth="1"/>
    <col min="4605" max="4605" width="20" style="69" customWidth="1"/>
    <col min="4606" max="4606" width="4.28515625" style="69" customWidth="1"/>
    <col min="4607" max="4607" width="13.140625" style="69" customWidth="1"/>
    <col min="4608" max="4608" width="10.5703125" style="69" bestFit="1" customWidth="1"/>
    <col min="4609" max="4609" width="7.140625" style="69" bestFit="1" customWidth="1"/>
    <col min="4610" max="4610" width="12.7109375" style="69" customWidth="1"/>
    <col min="4611" max="4611" width="9.140625" style="69" customWidth="1"/>
    <col min="4612" max="4612" width="14.7109375" style="69" bestFit="1" customWidth="1"/>
    <col min="4613" max="4614" width="13.140625" style="69" customWidth="1"/>
    <col min="4615" max="4615" width="11.7109375" style="69" customWidth="1"/>
    <col min="4616" max="4616" width="14.85546875" style="69" customWidth="1"/>
    <col min="4617" max="4617" width="11.42578125" style="69" customWidth="1"/>
    <col min="4618" max="4618" width="14.85546875" style="69" customWidth="1"/>
    <col min="4619" max="4619" width="13.28515625" style="69" bestFit="1" customWidth="1"/>
    <col min="4620" max="4620" width="14.85546875" style="69" customWidth="1"/>
    <col min="4621" max="4621" width="16.5703125" style="69" customWidth="1"/>
    <col min="4622" max="4622" width="10.5703125" style="69" customWidth="1"/>
    <col min="4623" max="4623" width="12.28515625" style="69" bestFit="1" customWidth="1"/>
    <col min="4624" max="4857" width="9" style="69"/>
    <col min="4858" max="4858" width="10" style="69" customWidth="1"/>
    <col min="4859" max="4859" width="3.7109375" style="69" customWidth="1"/>
    <col min="4860" max="4860" width="7.85546875" style="69" customWidth="1"/>
    <col min="4861" max="4861" width="20" style="69" customWidth="1"/>
    <col min="4862" max="4862" width="4.28515625" style="69" customWidth="1"/>
    <col min="4863" max="4863" width="13.140625" style="69" customWidth="1"/>
    <col min="4864" max="4864" width="10.5703125" style="69" bestFit="1" customWidth="1"/>
    <col min="4865" max="4865" width="7.140625" style="69" bestFit="1" customWidth="1"/>
    <col min="4866" max="4866" width="12.7109375" style="69" customWidth="1"/>
    <col min="4867" max="4867" width="9.140625" style="69" customWidth="1"/>
    <col min="4868" max="4868" width="14.7109375" style="69" bestFit="1" customWidth="1"/>
    <col min="4869" max="4870" width="13.140625" style="69" customWidth="1"/>
    <col min="4871" max="4871" width="11.7109375" style="69" customWidth="1"/>
    <col min="4872" max="4872" width="14.85546875" style="69" customWidth="1"/>
    <col min="4873" max="4873" width="11.42578125" style="69" customWidth="1"/>
    <col min="4874" max="4874" width="14.85546875" style="69" customWidth="1"/>
    <col min="4875" max="4875" width="13.28515625" style="69" bestFit="1" customWidth="1"/>
    <col min="4876" max="4876" width="14.85546875" style="69" customWidth="1"/>
    <col min="4877" max="4877" width="16.5703125" style="69" customWidth="1"/>
    <col min="4878" max="4878" width="10.5703125" style="69" customWidth="1"/>
    <col min="4879" max="4879" width="12.28515625" style="69" bestFit="1" customWidth="1"/>
    <col min="4880" max="5113" width="9" style="69"/>
    <col min="5114" max="5114" width="10" style="69" customWidth="1"/>
    <col min="5115" max="5115" width="3.7109375" style="69" customWidth="1"/>
    <col min="5116" max="5116" width="7.85546875" style="69" customWidth="1"/>
    <col min="5117" max="5117" width="20" style="69" customWidth="1"/>
    <col min="5118" max="5118" width="4.28515625" style="69" customWidth="1"/>
    <col min="5119" max="5119" width="13.140625" style="69" customWidth="1"/>
    <col min="5120" max="5120" width="10.5703125" style="69" bestFit="1" customWidth="1"/>
    <col min="5121" max="5121" width="7.140625" style="69" bestFit="1" customWidth="1"/>
    <col min="5122" max="5122" width="12.7109375" style="69" customWidth="1"/>
    <col min="5123" max="5123" width="9.140625" style="69" customWidth="1"/>
    <col min="5124" max="5124" width="14.7109375" style="69" bestFit="1" customWidth="1"/>
    <col min="5125" max="5126" width="13.140625" style="69" customWidth="1"/>
    <col min="5127" max="5127" width="11.7109375" style="69" customWidth="1"/>
    <col min="5128" max="5128" width="14.85546875" style="69" customWidth="1"/>
    <col min="5129" max="5129" width="11.42578125" style="69" customWidth="1"/>
    <col min="5130" max="5130" width="14.85546875" style="69" customWidth="1"/>
    <col min="5131" max="5131" width="13.28515625" style="69" bestFit="1" customWidth="1"/>
    <col min="5132" max="5132" width="14.85546875" style="69" customWidth="1"/>
    <col min="5133" max="5133" width="16.5703125" style="69" customWidth="1"/>
    <col min="5134" max="5134" width="10.5703125" style="69" customWidth="1"/>
    <col min="5135" max="5135" width="12.28515625" style="69" bestFit="1" customWidth="1"/>
    <col min="5136" max="5369" width="9" style="69"/>
    <col min="5370" max="5370" width="10" style="69" customWidth="1"/>
    <col min="5371" max="5371" width="3.7109375" style="69" customWidth="1"/>
    <col min="5372" max="5372" width="7.85546875" style="69" customWidth="1"/>
    <col min="5373" max="5373" width="20" style="69" customWidth="1"/>
    <col min="5374" max="5374" width="4.28515625" style="69" customWidth="1"/>
    <col min="5375" max="5375" width="13.140625" style="69" customWidth="1"/>
    <col min="5376" max="5376" width="10.5703125" style="69" bestFit="1" customWidth="1"/>
    <col min="5377" max="5377" width="7.140625" style="69" bestFit="1" customWidth="1"/>
    <col min="5378" max="5378" width="12.7109375" style="69" customWidth="1"/>
    <col min="5379" max="5379" width="9.140625" style="69" customWidth="1"/>
    <col min="5380" max="5380" width="14.7109375" style="69" bestFit="1" customWidth="1"/>
    <col min="5381" max="5382" width="13.140625" style="69" customWidth="1"/>
    <col min="5383" max="5383" width="11.7109375" style="69" customWidth="1"/>
    <col min="5384" max="5384" width="14.85546875" style="69" customWidth="1"/>
    <col min="5385" max="5385" width="11.42578125" style="69" customWidth="1"/>
    <col min="5386" max="5386" width="14.85546875" style="69" customWidth="1"/>
    <col min="5387" max="5387" width="13.28515625" style="69" bestFit="1" customWidth="1"/>
    <col min="5388" max="5388" width="14.85546875" style="69" customWidth="1"/>
    <col min="5389" max="5389" width="16.5703125" style="69" customWidth="1"/>
    <col min="5390" max="5390" width="10.5703125" style="69" customWidth="1"/>
    <col min="5391" max="5391" width="12.28515625" style="69" bestFit="1" customWidth="1"/>
    <col min="5392" max="5625" width="9" style="69"/>
    <col min="5626" max="5626" width="10" style="69" customWidth="1"/>
    <col min="5627" max="5627" width="3.7109375" style="69" customWidth="1"/>
    <col min="5628" max="5628" width="7.85546875" style="69" customWidth="1"/>
    <col min="5629" max="5629" width="20" style="69" customWidth="1"/>
    <col min="5630" max="5630" width="4.28515625" style="69" customWidth="1"/>
    <col min="5631" max="5631" width="13.140625" style="69" customWidth="1"/>
    <col min="5632" max="5632" width="10.5703125" style="69" bestFit="1" customWidth="1"/>
    <col min="5633" max="5633" width="7.140625" style="69" bestFit="1" customWidth="1"/>
    <col min="5634" max="5634" width="12.7109375" style="69" customWidth="1"/>
    <col min="5635" max="5635" width="9.140625" style="69" customWidth="1"/>
    <col min="5636" max="5636" width="14.7109375" style="69" bestFit="1" customWidth="1"/>
    <col min="5637" max="5638" width="13.140625" style="69" customWidth="1"/>
    <col min="5639" max="5639" width="11.7109375" style="69" customWidth="1"/>
    <col min="5640" max="5640" width="14.85546875" style="69" customWidth="1"/>
    <col min="5641" max="5641" width="11.42578125" style="69" customWidth="1"/>
    <col min="5642" max="5642" width="14.85546875" style="69" customWidth="1"/>
    <col min="5643" max="5643" width="13.28515625" style="69" bestFit="1" customWidth="1"/>
    <col min="5644" max="5644" width="14.85546875" style="69" customWidth="1"/>
    <col min="5645" max="5645" width="16.5703125" style="69" customWidth="1"/>
    <col min="5646" max="5646" width="10.5703125" style="69" customWidth="1"/>
    <col min="5647" max="5647" width="12.28515625" style="69" bestFit="1" customWidth="1"/>
    <col min="5648" max="5881" width="9" style="69"/>
    <col min="5882" max="5882" width="10" style="69" customWidth="1"/>
    <col min="5883" max="5883" width="3.7109375" style="69" customWidth="1"/>
    <col min="5884" max="5884" width="7.85546875" style="69" customWidth="1"/>
    <col min="5885" max="5885" width="20" style="69" customWidth="1"/>
    <col min="5886" max="5886" width="4.28515625" style="69" customWidth="1"/>
    <col min="5887" max="5887" width="13.140625" style="69" customWidth="1"/>
    <col min="5888" max="5888" width="10.5703125" style="69" bestFit="1" customWidth="1"/>
    <col min="5889" max="5889" width="7.140625" style="69" bestFit="1" customWidth="1"/>
    <col min="5890" max="5890" width="12.7109375" style="69" customWidth="1"/>
    <col min="5891" max="5891" width="9.140625" style="69" customWidth="1"/>
    <col min="5892" max="5892" width="14.7109375" style="69" bestFit="1" customWidth="1"/>
    <col min="5893" max="5894" width="13.140625" style="69" customWidth="1"/>
    <col min="5895" max="5895" width="11.7109375" style="69" customWidth="1"/>
    <col min="5896" max="5896" width="14.85546875" style="69" customWidth="1"/>
    <col min="5897" max="5897" width="11.42578125" style="69" customWidth="1"/>
    <col min="5898" max="5898" width="14.85546875" style="69" customWidth="1"/>
    <col min="5899" max="5899" width="13.28515625" style="69" bestFit="1" customWidth="1"/>
    <col min="5900" max="5900" width="14.85546875" style="69" customWidth="1"/>
    <col min="5901" max="5901" width="16.5703125" style="69" customWidth="1"/>
    <col min="5902" max="5902" width="10.5703125" style="69" customWidth="1"/>
    <col min="5903" max="5903" width="12.28515625" style="69" bestFit="1" customWidth="1"/>
    <col min="5904" max="6137" width="9" style="69"/>
    <col min="6138" max="6138" width="10" style="69" customWidth="1"/>
    <col min="6139" max="6139" width="3.7109375" style="69" customWidth="1"/>
    <col min="6140" max="6140" width="7.85546875" style="69" customWidth="1"/>
    <col min="6141" max="6141" width="20" style="69" customWidth="1"/>
    <col min="6142" max="6142" width="4.28515625" style="69" customWidth="1"/>
    <col min="6143" max="6143" width="13.140625" style="69" customWidth="1"/>
    <col min="6144" max="6144" width="10.5703125" style="69" bestFit="1" customWidth="1"/>
    <col min="6145" max="6145" width="7.140625" style="69" bestFit="1" customWidth="1"/>
    <col min="6146" max="6146" width="12.7109375" style="69" customWidth="1"/>
    <col min="6147" max="6147" width="9.140625" style="69" customWidth="1"/>
    <col min="6148" max="6148" width="14.7109375" style="69" bestFit="1" customWidth="1"/>
    <col min="6149" max="6150" width="13.140625" style="69" customWidth="1"/>
    <col min="6151" max="6151" width="11.7109375" style="69" customWidth="1"/>
    <col min="6152" max="6152" width="14.85546875" style="69" customWidth="1"/>
    <col min="6153" max="6153" width="11.42578125" style="69" customWidth="1"/>
    <col min="6154" max="6154" width="14.85546875" style="69" customWidth="1"/>
    <col min="6155" max="6155" width="13.28515625" style="69" bestFit="1" customWidth="1"/>
    <col min="6156" max="6156" width="14.85546875" style="69" customWidth="1"/>
    <col min="6157" max="6157" width="16.5703125" style="69" customWidth="1"/>
    <col min="6158" max="6158" width="10.5703125" style="69" customWidth="1"/>
    <col min="6159" max="6159" width="12.28515625" style="69" bestFit="1" customWidth="1"/>
    <col min="6160" max="6393" width="9" style="69"/>
    <col min="6394" max="6394" width="10" style="69" customWidth="1"/>
    <col min="6395" max="6395" width="3.7109375" style="69" customWidth="1"/>
    <col min="6396" max="6396" width="7.85546875" style="69" customWidth="1"/>
    <col min="6397" max="6397" width="20" style="69" customWidth="1"/>
    <col min="6398" max="6398" width="4.28515625" style="69" customWidth="1"/>
    <col min="6399" max="6399" width="13.140625" style="69" customWidth="1"/>
    <col min="6400" max="6400" width="10.5703125" style="69" bestFit="1" customWidth="1"/>
    <col min="6401" max="6401" width="7.140625" style="69" bestFit="1" customWidth="1"/>
    <col min="6402" max="6402" width="12.7109375" style="69" customWidth="1"/>
    <col min="6403" max="6403" width="9.140625" style="69" customWidth="1"/>
    <col min="6404" max="6404" width="14.7109375" style="69" bestFit="1" customWidth="1"/>
    <col min="6405" max="6406" width="13.140625" style="69" customWidth="1"/>
    <col min="6407" max="6407" width="11.7109375" style="69" customWidth="1"/>
    <col min="6408" max="6408" width="14.85546875" style="69" customWidth="1"/>
    <col min="6409" max="6409" width="11.42578125" style="69" customWidth="1"/>
    <col min="6410" max="6410" width="14.85546875" style="69" customWidth="1"/>
    <col min="6411" max="6411" width="13.28515625" style="69" bestFit="1" customWidth="1"/>
    <col min="6412" max="6412" width="14.85546875" style="69" customWidth="1"/>
    <col min="6413" max="6413" width="16.5703125" style="69" customWidth="1"/>
    <col min="6414" max="6414" width="10.5703125" style="69" customWidth="1"/>
    <col min="6415" max="6415" width="12.28515625" style="69" bestFit="1" customWidth="1"/>
    <col min="6416" max="6649" width="9" style="69"/>
    <col min="6650" max="6650" width="10" style="69" customWidth="1"/>
    <col min="6651" max="6651" width="3.7109375" style="69" customWidth="1"/>
    <col min="6652" max="6652" width="7.85546875" style="69" customWidth="1"/>
    <col min="6653" max="6653" width="20" style="69" customWidth="1"/>
    <col min="6654" max="6654" width="4.28515625" style="69" customWidth="1"/>
    <col min="6655" max="6655" width="13.140625" style="69" customWidth="1"/>
    <col min="6656" max="6656" width="10.5703125" style="69" bestFit="1" customWidth="1"/>
    <col min="6657" max="6657" width="7.140625" style="69" bestFit="1" customWidth="1"/>
    <col min="6658" max="6658" width="12.7109375" style="69" customWidth="1"/>
    <col min="6659" max="6659" width="9.140625" style="69" customWidth="1"/>
    <col min="6660" max="6660" width="14.7109375" style="69" bestFit="1" customWidth="1"/>
    <col min="6661" max="6662" width="13.140625" style="69" customWidth="1"/>
    <col min="6663" max="6663" width="11.7109375" style="69" customWidth="1"/>
    <col min="6664" max="6664" width="14.85546875" style="69" customWidth="1"/>
    <col min="6665" max="6665" width="11.42578125" style="69" customWidth="1"/>
    <col min="6666" max="6666" width="14.85546875" style="69" customWidth="1"/>
    <col min="6667" max="6667" width="13.28515625" style="69" bestFit="1" customWidth="1"/>
    <col min="6668" max="6668" width="14.85546875" style="69" customWidth="1"/>
    <col min="6669" max="6669" width="16.5703125" style="69" customWidth="1"/>
    <col min="6670" max="6670" width="10.5703125" style="69" customWidth="1"/>
    <col min="6671" max="6671" width="12.28515625" style="69" bestFit="1" customWidth="1"/>
    <col min="6672" max="6905" width="9" style="69"/>
    <col min="6906" max="6906" width="10" style="69" customWidth="1"/>
    <col min="6907" max="6907" width="3.7109375" style="69" customWidth="1"/>
    <col min="6908" max="6908" width="7.85546875" style="69" customWidth="1"/>
    <col min="6909" max="6909" width="20" style="69" customWidth="1"/>
    <col min="6910" max="6910" width="4.28515625" style="69" customWidth="1"/>
    <col min="6911" max="6911" width="13.140625" style="69" customWidth="1"/>
    <col min="6912" max="6912" width="10.5703125" style="69" bestFit="1" customWidth="1"/>
    <col min="6913" max="6913" width="7.140625" style="69" bestFit="1" customWidth="1"/>
    <col min="6914" max="6914" width="12.7109375" style="69" customWidth="1"/>
    <col min="6915" max="6915" width="9.140625" style="69" customWidth="1"/>
    <col min="6916" max="6916" width="14.7109375" style="69" bestFit="1" customWidth="1"/>
    <col min="6917" max="6918" width="13.140625" style="69" customWidth="1"/>
    <col min="6919" max="6919" width="11.7109375" style="69" customWidth="1"/>
    <col min="6920" max="6920" width="14.85546875" style="69" customWidth="1"/>
    <col min="6921" max="6921" width="11.42578125" style="69" customWidth="1"/>
    <col min="6922" max="6922" width="14.85546875" style="69" customWidth="1"/>
    <col min="6923" max="6923" width="13.28515625" style="69" bestFit="1" customWidth="1"/>
    <col min="6924" max="6924" width="14.85546875" style="69" customWidth="1"/>
    <col min="6925" max="6925" width="16.5703125" style="69" customWidth="1"/>
    <col min="6926" max="6926" width="10.5703125" style="69" customWidth="1"/>
    <col min="6927" max="6927" width="12.28515625" style="69" bestFit="1" customWidth="1"/>
    <col min="6928" max="7161" width="9" style="69"/>
    <col min="7162" max="7162" width="10" style="69" customWidth="1"/>
    <col min="7163" max="7163" width="3.7109375" style="69" customWidth="1"/>
    <col min="7164" max="7164" width="7.85546875" style="69" customWidth="1"/>
    <col min="7165" max="7165" width="20" style="69" customWidth="1"/>
    <col min="7166" max="7166" width="4.28515625" style="69" customWidth="1"/>
    <col min="7167" max="7167" width="13.140625" style="69" customWidth="1"/>
    <col min="7168" max="7168" width="10.5703125" style="69" bestFit="1" customWidth="1"/>
    <col min="7169" max="7169" width="7.140625" style="69" bestFit="1" customWidth="1"/>
    <col min="7170" max="7170" width="12.7109375" style="69" customWidth="1"/>
    <col min="7171" max="7171" width="9.140625" style="69" customWidth="1"/>
    <col min="7172" max="7172" width="14.7109375" style="69" bestFit="1" customWidth="1"/>
    <col min="7173" max="7174" width="13.140625" style="69" customWidth="1"/>
    <col min="7175" max="7175" width="11.7109375" style="69" customWidth="1"/>
    <col min="7176" max="7176" width="14.85546875" style="69" customWidth="1"/>
    <col min="7177" max="7177" width="11.42578125" style="69" customWidth="1"/>
    <col min="7178" max="7178" width="14.85546875" style="69" customWidth="1"/>
    <col min="7179" max="7179" width="13.28515625" style="69" bestFit="1" customWidth="1"/>
    <col min="7180" max="7180" width="14.85546875" style="69" customWidth="1"/>
    <col min="7181" max="7181" width="16.5703125" style="69" customWidth="1"/>
    <col min="7182" max="7182" width="10.5703125" style="69" customWidth="1"/>
    <col min="7183" max="7183" width="12.28515625" style="69" bestFit="1" customWidth="1"/>
    <col min="7184" max="7417" width="9" style="69"/>
    <col min="7418" max="7418" width="10" style="69" customWidth="1"/>
    <col min="7419" max="7419" width="3.7109375" style="69" customWidth="1"/>
    <col min="7420" max="7420" width="7.85546875" style="69" customWidth="1"/>
    <col min="7421" max="7421" width="20" style="69" customWidth="1"/>
    <col min="7422" max="7422" width="4.28515625" style="69" customWidth="1"/>
    <col min="7423" max="7423" width="13.140625" style="69" customWidth="1"/>
    <col min="7424" max="7424" width="10.5703125" style="69" bestFit="1" customWidth="1"/>
    <col min="7425" max="7425" width="7.140625" style="69" bestFit="1" customWidth="1"/>
    <col min="7426" max="7426" width="12.7109375" style="69" customWidth="1"/>
    <col min="7427" max="7427" width="9.140625" style="69" customWidth="1"/>
    <col min="7428" max="7428" width="14.7109375" style="69" bestFit="1" customWidth="1"/>
    <col min="7429" max="7430" width="13.140625" style="69" customWidth="1"/>
    <col min="7431" max="7431" width="11.7109375" style="69" customWidth="1"/>
    <col min="7432" max="7432" width="14.85546875" style="69" customWidth="1"/>
    <col min="7433" max="7433" width="11.42578125" style="69" customWidth="1"/>
    <col min="7434" max="7434" width="14.85546875" style="69" customWidth="1"/>
    <col min="7435" max="7435" width="13.28515625" style="69" bestFit="1" customWidth="1"/>
    <col min="7436" max="7436" width="14.85546875" style="69" customWidth="1"/>
    <col min="7437" max="7437" width="16.5703125" style="69" customWidth="1"/>
    <col min="7438" max="7438" width="10.5703125" style="69" customWidth="1"/>
    <col min="7439" max="7439" width="12.28515625" style="69" bestFit="1" customWidth="1"/>
    <col min="7440" max="7673" width="9" style="69"/>
    <col min="7674" max="7674" width="10" style="69" customWidth="1"/>
    <col min="7675" max="7675" width="3.7109375" style="69" customWidth="1"/>
    <col min="7676" max="7676" width="7.85546875" style="69" customWidth="1"/>
    <col min="7677" max="7677" width="20" style="69" customWidth="1"/>
    <col min="7678" max="7678" width="4.28515625" style="69" customWidth="1"/>
    <col min="7679" max="7679" width="13.140625" style="69" customWidth="1"/>
    <col min="7680" max="7680" width="10.5703125" style="69" bestFit="1" customWidth="1"/>
    <col min="7681" max="7681" width="7.140625" style="69" bestFit="1" customWidth="1"/>
    <col min="7682" max="7682" width="12.7109375" style="69" customWidth="1"/>
    <col min="7683" max="7683" width="9.140625" style="69" customWidth="1"/>
    <col min="7684" max="7684" width="14.7109375" style="69" bestFit="1" customWidth="1"/>
    <col min="7685" max="7686" width="13.140625" style="69" customWidth="1"/>
    <col min="7687" max="7687" width="11.7109375" style="69" customWidth="1"/>
    <col min="7688" max="7688" width="14.85546875" style="69" customWidth="1"/>
    <col min="7689" max="7689" width="11.42578125" style="69" customWidth="1"/>
    <col min="7690" max="7690" width="14.85546875" style="69" customWidth="1"/>
    <col min="7691" max="7691" width="13.28515625" style="69" bestFit="1" customWidth="1"/>
    <col min="7692" max="7692" width="14.85546875" style="69" customWidth="1"/>
    <col min="7693" max="7693" width="16.5703125" style="69" customWidth="1"/>
    <col min="7694" max="7694" width="10.5703125" style="69" customWidth="1"/>
    <col min="7695" max="7695" width="12.28515625" style="69" bestFit="1" customWidth="1"/>
    <col min="7696" max="7929" width="9" style="69"/>
    <col min="7930" max="7930" width="10" style="69" customWidth="1"/>
    <col min="7931" max="7931" width="3.7109375" style="69" customWidth="1"/>
    <col min="7932" max="7932" width="7.85546875" style="69" customWidth="1"/>
    <col min="7933" max="7933" width="20" style="69" customWidth="1"/>
    <col min="7934" max="7934" width="4.28515625" style="69" customWidth="1"/>
    <col min="7935" max="7935" width="13.140625" style="69" customWidth="1"/>
    <col min="7936" max="7936" width="10.5703125" style="69" bestFit="1" customWidth="1"/>
    <col min="7937" max="7937" width="7.140625" style="69" bestFit="1" customWidth="1"/>
    <col min="7938" max="7938" width="12.7109375" style="69" customWidth="1"/>
    <col min="7939" max="7939" width="9.140625" style="69" customWidth="1"/>
    <col min="7940" max="7940" width="14.7109375" style="69" bestFit="1" customWidth="1"/>
    <col min="7941" max="7942" width="13.140625" style="69" customWidth="1"/>
    <col min="7943" max="7943" width="11.7109375" style="69" customWidth="1"/>
    <col min="7944" max="7944" width="14.85546875" style="69" customWidth="1"/>
    <col min="7945" max="7945" width="11.42578125" style="69" customWidth="1"/>
    <col min="7946" max="7946" width="14.85546875" style="69" customWidth="1"/>
    <col min="7947" max="7947" width="13.28515625" style="69" bestFit="1" customWidth="1"/>
    <col min="7948" max="7948" width="14.85546875" style="69" customWidth="1"/>
    <col min="7949" max="7949" width="16.5703125" style="69" customWidth="1"/>
    <col min="7950" max="7950" width="10.5703125" style="69" customWidth="1"/>
    <col min="7951" max="7951" width="12.28515625" style="69" bestFit="1" customWidth="1"/>
    <col min="7952" max="8185" width="9" style="69"/>
    <col min="8186" max="8186" width="10" style="69" customWidth="1"/>
    <col min="8187" max="8187" width="3.7109375" style="69" customWidth="1"/>
    <col min="8188" max="8188" width="7.85546875" style="69" customWidth="1"/>
    <col min="8189" max="8189" width="20" style="69" customWidth="1"/>
    <col min="8190" max="8190" width="4.28515625" style="69" customWidth="1"/>
    <col min="8191" max="8191" width="13.140625" style="69" customWidth="1"/>
    <col min="8192" max="8192" width="10.5703125" style="69" bestFit="1" customWidth="1"/>
    <col min="8193" max="8193" width="7.140625" style="69" bestFit="1" customWidth="1"/>
    <col min="8194" max="8194" width="12.7109375" style="69" customWidth="1"/>
    <col min="8195" max="8195" width="9.140625" style="69" customWidth="1"/>
    <col min="8196" max="8196" width="14.7109375" style="69" bestFit="1" customWidth="1"/>
    <col min="8197" max="8198" width="13.140625" style="69" customWidth="1"/>
    <col min="8199" max="8199" width="11.7109375" style="69" customWidth="1"/>
    <col min="8200" max="8200" width="14.85546875" style="69" customWidth="1"/>
    <col min="8201" max="8201" width="11.42578125" style="69" customWidth="1"/>
    <col min="8202" max="8202" width="14.85546875" style="69" customWidth="1"/>
    <col min="8203" max="8203" width="13.28515625" style="69" bestFit="1" customWidth="1"/>
    <col min="8204" max="8204" width="14.85546875" style="69" customWidth="1"/>
    <col min="8205" max="8205" width="16.5703125" style="69" customWidth="1"/>
    <col min="8206" max="8206" width="10.5703125" style="69" customWidth="1"/>
    <col min="8207" max="8207" width="12.28515625" style="69" bestFit="1" customWidth="1"/>
    <col min="8208" max="8441" width="9" style="69"/>
    <col min="8442" max="8442" width="10" style="69" customWidth="1"/>
    <col min="8443" max="8443" width="3.7109375" style="69" customWidth="1"/>
    <col min="8444" max="8444" width="7.85546875" style="69" customWidth="1"/>
    <col min="8445" max="8445" width="20" style="69" customWidth="1"/>
    <col min="8446" max="8446" width="4.28515625" style="69" customWidth="1"/>
    <col min="8447" max="8447" width="13.140625" style="69" customWidth="1"/>
    <col min="8448" max="8448" width="10.5703125" style="69" bestFit="1" customWidth="1"/>
    <col min="8449" max="8449" width="7.140625" style="69" bestFit="1" customWidth="1"/>
    <col min="8450" max="8450" width="12.7109375" style="69" customWidth="1"/>
    <col min="8451" max="8451" width="9.140625" style="69" customWidth="1"/>
    <col min="8452" max="8452" width="14.7109375" style="69" bestFit="1" customWidth="1"/>
    <col min="8453" max="8454" width="13.140625" style="69" customWidth="1"/>
    <col min="8455" max="8455" width="11.7109375" style="69" customWidth="1"/>
    <col min="8456" max="8456" width="14.85546875" style="69" customWidth="1"/>
    <col min="8457" max="8457" width="11.42578125" style="69" customWidth="1"/>
    <col min="8458" max="8458" width="14.85546875" style="69" customWidth="1"/>
    <col min="8459" max="8459" width="13.28515625" style="69" bestFit="1" customWidth="1"/>
    <col min="8460" max="8460" width="14.85546875" style="69" customWidth="1"/>
    <col min="8461" max="8461" width="16.5703125" style="69" customWidth="1"/>
    <col min="8462" max="8462" width="10.5703125" style="69" customWidth="1"/>
    <col min="8463" max="8463" width="12.28515625" style="69" bestFit="1" customWidth="1"/>
    <col min="8464" max="8697" width="9" style="69"/>
    <col min="8698" max="8698" width="10" style="69" customWidth="1"/>
    <col min="8699" max="8699" width="3.7109375" style="69" customWidth="1"/>
    <col min="8700" max="8700" width="7.85546875" style="69" customWidth="1"/>
    <col min="8701" max="8701" width="20" style="69" customWidth="1"/>
    <col min="8702" max="8702" width="4.28515625" style="69" customWidth="1"/>
    <col min="8703" max="8703" width="13.140625" style="69" customWidth="1"/>
    <col min="8704" max="8704" width="10.5703125" style="69" bestFit="1" customWidth="1"/>
    <col min="8705" max="8705" width="7.140625" style="69" bestFit="1" customWidth="1"/>
    <col min="8706" max="8706" width="12.7109375" style="69" customWidth="1"/>
    <col min="8707" max="8707" width="9.140625" style="69" customWidth="1"/>
    <col min="8708" max="8708" width="14.7109375" style="69" bestFit="1" customWidth="1"/>
    <col min="8709" max="8710" width="13.140625" style="69" customWidth="1"/>
    <col min="8711" max="8711" width="11.7109375" style="69" customWidth="1"/>
    <col min="8712" max="8712" width="14.85546875" style="69" customWidth="1"/>
    <col min="8713" max="8713" width="11.42578125" style="69" customWidth="1"/>
    <col min="8714" max="8714" width="14.85546875" style="69" customWidth="1"/>
    <col min="8715" max="8715" width="13.28515625" style="69" bestFit="1" customWidth="1"/>
    <col min="8716" max="8716" width="14.85546875" style="69" customWidth="1"/>
    <col min="8717" max="8717" width="16.5703125" style="69" customWidth="1"/>
    <col min="8718" max="8718" width="10.5703125" style="69" customWidth="1"/>
    <col min="8719" max="8719" width="12.28515625" style="69" bestFit="1" customWidth="1"/>
    <col min="8720" max="8953" width="9" style="69"/>
    <col min="8954" max="8954" width="10" style="69" customWidth="1"/>
    <col min="8955" max="8955" width="3.7109375" style="69" customWidth="1"/>
    <col min="8956" max="8956" width="7.85546875" style="69" customWidth="1"/>
    <col min="8957" max="8957" width="20" style="69" customWidth="1"/>
    <col min="8958" max="8958" width="4.28515625" style="69" customWidth="1"/>
    <col min="8959" max="8959" width="13.140625" style="69" customWidth="1"/>
    <col min="8960" max="8960" width="10.5703125" style="69" bestFit="1" customWidth="1"/>
    <col min="8961" max="8961" width="7.140625" style="69" bestFit="1" customWidth="1"/>
    <col min="8962" max="8962" width="12.7109375" style="69" customWidth="1"/>
    <col min="8963" max="8963" width="9.140625" style="69" customWidth="1"/>
    <col min="8964" max="8964" width="14.7109375" style="69" bestFit="1" customWidth="1"/>
    <col min="8965" max="8966" width="13.140625" style="69" customWidth="1"/>
    <col min="8967" max="8967" width="11.7109375" style="69" customWidth="1"/>
    <col min="8968" max="8968" width="14.85546875" style="69" customWidth="1"/>
    <col min="8969" max="8969" width="11.42578125" style="69" customWidth="1"/>
    <col min="8970" max="8970" width="14.85546875" style="69" customWidth="1"/>
    <col min="8971" max="8971" width="13.28515625" style="69" bestFit="1" customWidth="1"/>
    <col min="8972" max="8972" width="14.85546875" style="69" customWidth="1"/>
    <col min="8973" max="8973" width="16.5703125" style="69" customWidth="1"/>
    <col min="8974" max="8974" width="10.5703125" style="69" customWidth="1"/>
    <col min="8975" max="8975" width="12.28515625" style="69" bestFit="1" customWidth="1"/>
    <col min="8976" max="9209" width="9" style="69"/>
    <col min="9210" max="9210" width="10" style="69" customWidth="1"/>
    <col min="9211" max="9211" width="3.7109375" style="69" customWidth="1"/>
    <col min="9212" max="9212" width="7.85546875" style="69" customWidth="1"/>
    <col min="9213" max="9213" width="20" style="69" customWidth="1"/>
    <col min="9214" max="9214" width="4.28515625" style="69" customWidth="1"/>
    <col min="9215" max="9215" width="13.140625" style="69" customWidth="1"/>
    <col min="9216" max="9216" width="10.5703125" style="69" bestFit="1" customWidth="1"/>
    <col min="9217" max="9217" width="7.140625" style="69" bestFit="1" customWidth="1"/>
    <col min="9218" max="9218" width="12.7109375" style="69" customWidth="1"/>
    <col min="9219" max="9219" width="9.140625" style="69" customWidth="1"/>
    <col min="9220" max="9220" width="14.7109375" style="69" bestFit="1" customWidth="1"/>
    <col min="9221" max="9222" width="13.140625" style="69" customWidth="1"/>
    <col min="9223" max="9223" width="11.7109375" style="69" customWidth="1"/>
    <col min="9224" max="9224" width="14.85546875" style="69" customWidth="1"/>
    <col min="9225" max="9225" width="11.42578125" style="69" customWidth="1"/>
    <col min="9226" max="9226" width="14.85546875" style="69" customWidth="1"/>
    <col min="9227" max="9227" width="13.28515625" style="69" bestFit="1" customWidth="1"/>
    <col min="9228" max="9228" width="14.85546875" style="69" customWidth="1"/>
    <col min="9229" max="9229" width="16.5703125" style="69" customWidth="1"/>
    <col min="9230" max="9230" width="10.5703125" style="69" customWidth="1"/>
    <col min="9231" max="9231" width="12.28515625" style="69" bestFit="1" customWidth="1"/>
    <col min="9232" max="9465" width="9" style="69"/>
    <col min="9466" max="9466" width="10" style="69" customWidth="1"/>
    <col min="9467" max="9467" width="3.7109375" style="69" customWidth="1"/>
    <col min="9468" max="9468" width="7.85546875" style="69" customWidth="1"/>
    <col min="9469" max="9469" width="20" style="69" customWidth="1"/>
    <col min="9470" max="9470" width="4.28515625" style="69" customWidth="1"/>
    <col min="9471" max="9471" width="13.140625" style="69" customWidth="1"/>
    <col min="9472" max="9472" width="10.5703125" style="69" bestFit="1" customWidth="1"/>
    <col min="9473" max="9473" width="7.140625" style="69" bestFit="1" customWidth="1"/>
    <col min="9474" max="9474" width="12.7109375" style="69" customWidth="1"/>
    <col min="9475" max="9475" width="9.140625" style="69" customWidth="1"/>
    <col min="9476" max="9476" width="14.7109375" style="69" bestFit="1" customWidth="1"/>
    <col min="9477" max="9478" width="13.140625" style="69" customWidth="1"/>
    <col min="9479" max="9479" width="11.7109375" style="69" customWidth="1"/>
    <col min="9480" max="9480" width="14.85546875" style="69" customWidth="1"/>
    <col min="9481" max="9481" width="11.42578125" style="69" customWidth="1"/>
    <col min="9482" max="9482" width="14.85546875" style="69" customWidth="1"/>
    <col min="9483" max="9483" width="13.28515625" style="69" bestFit="1" customWidth="1"/>
    <col min="9484" max="9484" width="14.85546875" style="69" customWidth="1"/>
    <col min="9485" max="9485" width="16.5703125" style="69" customWidth="1"/>
    <col min="9486" max="9486" width="10.5703125" style="69" customWidth="1"/>
    <col min="9487" max="9487" width="12.28515625" style="69" bestFit="1" customWidth="1"/>
    <col min="9488" max="9721" width="9" style="69"/>
    <col min="9722" max="9722" width="10" style="69" customWidth="1"/>
    <col min="9723" max="9723" width="3.7109375" style="69" customWidth="1"/>
    <col min="9724" max="9724" width="7.85546875" style="69" customWidth="1"/>
    <col min="9725" max="9725" width="20" style="69" customWidth="1"/>
    <col min="9726" max="9726" width="4.28515625" style="69" customWidth="1"/>
    <col min="9727" max="9727" width="13.140625" style="69" customWidth="1"/>
    <col min="9728" max="9728" width="10.5703125" style="69" bestFit="1" customWidth="1"/>
    <col min="9729" max="9729" width="7.140625" style="69" bestFit="1" customWidth="1"/>
    <col min="9730" max="9730" width="12.7109375" style="69" customWidth="1"/>
    <col min="9731" max="9731" width="9.140625" style="69" customWidth="1"/>
    <col min="9732" max="9732" width="14.7109375" style="69" bestFit="1" customWidth="1"/>
    <col min="9733" max="9734" width="13.140625" style="69" customWidth="1"/>
    <col min="9735" max="9735" width="11.7109375" style="69" customWidth="1"/>
    <col min="9736" max="9736" width="14.85546875" style="69" customWidth="1"/>
    <col min="9737" max="9737" width="11.42578125" style="69" customWidth="1"/>
    <col min="9738" max="9738" width="14.85546875" style="69" customWidth="1"/>
    <col min="9739" max="9739" width="13.28515625" style="69" bestFit="1" customWidth="1"/>
    <col min="9740" max="9740" width="14.85546875" style="69" customWidth="1"/>
    <col min="9741" max="9741" width="16.5703125" style="69" customWidth="1"/>
    <col min="9742" max="9742" width="10.5703125" style="69" customWidth="1"/>
    <col min="9743" max="9743" width="12.28515625" style="69" bestFit="1" customWidth="1"/>
    <col min="9744" max="9977" width="9" style="69"/>
    <col min="9978" max="9978" width="10" style="69" customWidth="1"/>
    <col min="9979" max="9979" width="3.7109375" style="69" customWidth="1"/>
    <col min="9980" max="9980" width="7.85546875" style="69" customWidth="1"/>
    <col min="9981" max="9981" width="20" style="69" customWidth="1"/>
    <col min="9982" max="9982" width="4.28515625" style="69" customWidth="1"/>
    <col min="9983" max="9983" width="13.140625" style="69" customWidth="1"/>
    <col min="9984" max="9984" width="10.5703125" style="69" bestFit="1" customWidth="1"/>
    <col min="9985" max="9985" width="7.140625" style="69" bestFit="1" customWidth="1"/>
    <col min="9986" max="9986" width="12.7109375" style="69" customWidth="1"/>
    <col min="9987" max="9987" width="9.140625" style="69" customWidth="1"/>
    <col min="9988" max="9988" width="14.7109375" style="69" bestFit="1" customWidth="1"/>
    <col min="9989" max="9990" width="13.140625" style="69" customWidth="1"/>
    <col min="9991" max="9991" width="11.7109375" style="69" customWidth="1"/>
    <col min="9992" max="9992" width="14.85546875" style="69" customWidth="1"/>
    <col min="9993" max="9993" width="11.42578125" style="69" customWidth="1"/>
    <col min="9994" max="9994" width="14.85546875" style="69" customWidth="1"/>
    <col min="9995" max="9995" width="13.28515625" style="69" bestFit="1" customWidth="1"/>
    <col min="9996" max="9996" width="14.85546875" style="69" customWidth="1"/>
    <col min="9997" max="9997" width="16.5703125" style="69" customWidth="1"/>
    <col min="9998" max="9998" width="10.5703125" style="69" customWidth="1"/>
    <col min="9999" max="9999" width="12.28515625" style="69" bestFit="1" customWidth="1"/>
    <col min="10000" max="10233" width="9" style="69"/>
    <col min="10234" max="10234" width="10" style="69" customWidth="1"/>
    <col min="10235" max="10235" width="3.7109375" style="69" customWidth="1"/>
    <col min="10236" max="10236" width="7.85546875" style="69" customWidth="1"/>
    <col min="10237" max="10237" width="20" style="69" customWidth="1"/>
    <col min="10238" max="10238" width="4.28515625" style="69" customWidth="1"/>
    <col min="10239" max="10239" width="13.140625" style="69" customWidth="1"/>
    <col min="10240" max="10240" width="10.5703125" style="69" bestFit="1" customWidth="1"/>
    <col min="10241" max="10241" width="7.140625" style="69" bestFit="1" customWidth="1"/>
    <col min="10242" max="10242" width="12.7109375" style="69" customWidth="1"/>
    <col min="10243" max="10243" width="9.140625" style="69" customWidth="1"/>
    <col min="10244" max="10244" width="14.7109375" style="69" bestFit="1" customWidth="1"/>
    <col min="10245" max="10246" width="13.140625" style="69" customWidth="1"/>
    <col min="10247" max="10247" width="11.7109375" style="69" customWidth="1"/>
    <col min="10248" max="10248" width="14.85546875" style="69" customWidth="1"/>
    <col min="10249" max="10249" width="11.42578125" style="69" customWidth="1"/>
    <col min="10250" max="10250" width="14.85546875" style="69" customWidth="1"/>
    <col min="10251" max="10251" width="13.28515625" style="69" bestFit="1" customWidth="1"/>
    <col min="10252" max="10252" width="14.85546875" style="69" customWidth="1"/>
    <col min="10253" max="10253" width="16.5703125" style="69" customWidth="1"/>
    <col min="10254" max="10254" width="10.5703125" style="69" customWidth="1"/>
    <col min="10255" max="10255" width="12.28515625" style="69" bestFit="1" customWidth="1"/>
    <col min="10256" max="10489" width="9" style="69"/>
    <col min="10490" max="10490" width="10" style="69" customWidth="1"/>
    <col min="10491" max="10491" width="3.7109375" style="69" customWidth="1"/>
    <col min="10492" max="10492" width="7.85546875" style="69" customWidth="1"/>
    <col min="10493" max="10493" width="20" style="69" customWidth="1"/>
    <col min="10494" max="10494" width="4.28515625" style="69" customWidth="1"/>
    <col min="10495" max="10495" width="13.140625" style="69" customWidth="1"/>
    <col min="10496" max="10496" width="10.5703125" style="69" bestFit="1" customWidth="1"/>
    <col min="10497" max="10497" width="7.140625" style="69" bestFit="1" customWidth="1"/>
    <col min="10498" max="10498" width="12.7109375" style="69" customWidth="1"/>
    <col min="10499" max="10499" width="9.140625" style="69" customWidth="1"/>
    <col min="10500" max="10500" width="14.7109375" style="69" bestFit="1" customWidth="1"/>
    <col min="10501" max="10502" width="13.140625" style="69" customWidth="1"/>
    <col min="10503" max="10503" width="11.7109375" style="69" customWidth="1"/>
    <col min="10504" max="10504" width="14.85546875" style="69" customWidth="1"/>
    <col min="10505" max="10505" width="11.42578125" style="69" customWidth="1"/>
    <col min="10506" max="10506" width="14.85546875" style="69" customWidth="1"/>
    <col min="10507" max="10507" width="13.28515625" style="69" bestFit="1" customWidth="1"/>
    <col min="10508" max="10508" width="14.85546875" style="69" customWidth="1"/>
    <col min="10509" max="10509" width="16.5703125" style="69" customWidth="1"/>
    <col min="10510" max="10510" width="10.5703125" style="69" customWidth="1"/>
    <col min="10511" max="10511" width="12.28515625" style="69" bestFit="1" customWidth="1"/>
    <col min="10512" max="10745" width="9" style="69"/>
    <col min="10746" max="10746" width="10" style="69" customWidth="1"/>
    <col min="10747" max="10747" width="3.7109375" style="69" customWidth="1"/>
    <col min="10748" max="10748" width="7.85546875" style="69" customWidth="1"/>
    <col min="10749" max="10749" width="20" style="69" customWidth="1"/>
    <col min="10750" max="10750" width="4.28515625" style="69" customWidth="1"/>
    <col min="10751" max="10751" width="13.140625" style="69" customWidth="1"/>
    <col min="10752" max="10752" width="10.5703125" style="69" bestFit="1" customWidth="1"/>
    <col min="10753" max="10753" width="7.140625" style="69" bestFit="1" customWidth="1"/>
    <col min="10754" max="10754" width="12.7109375" style="69" customWidth="1"/>
    <col min="10755" max="10755" width="9.140625" style="69" customWidth="1"/>
    <col min="10756" max="10756" width="14.7109375" style="69" bestFit="1" customWidth="1"/>
    <col min="10757" max="10758" width="13.140625" style="69" customWidth="1"/>
    <col min="10759" max="10759" width="11.7109375" style="69" customWidth="1"/>
    <col min="10760" max="10760" width="14.85546875" style="69" customWidth="1"/>
    <col min="10761" max="10761" width="11.42578125" style="69" customWidth="1"/>
    <col min="10762" max="10762" width="14.85546875" style="69" customWidth="1"/>
    <col min="10763" max="10763" width="13.28515625" style="69" bestFit="1" customWidth="1"/>
    <col min="10764" max="10764" width="14.85546875" style="69" customWidth="1"/>
    <col min="10765" max="10765" width="16.5703125" style="69" customWidth="1"/>
    <col min="10766" max="10766" width="10.5703125" style="69" customWidth="1"/>
    <col min="10767" max="10767" width="12.28515625" style="69" bestFit="1" customWidth="1"/>
    <col min="10768" max="11001" width="9" style="69"/>
    <col min="11002" max="11002" width="10" style="69" customWidth="1"/>
    <col min="11003" max="11003" width="3.7109375" style="69" customWidth="1"/>
    <col min="11004" max="11004" width="7.85546875" style="69" customWidth="1"/>
    <col min="11005" max="11005" width="20" style="69" customWidth="1"/>
    <col min="11006" max="11006" width="4.28515625" style="69" customWidth="1"/>
    <col min="11007" max="11007" width="13.140625" style="69" customWidth="1"/>
    <col min="11008" max="11008" width="10.5703125" style="69" bestFit="1" customWidth="1"/>
    <col min="11009" max="11009" width="7.140625" style="69" bestFit="1" customWidth="1"/>
    <col min="11010" max="11010" width="12.7109375" style="69" customWidth="1"/>
    <col min="11011" max="11011" width="9.140625" style="69" customWidth="1"/>
    <col min="11012" max="11012" width="14.7109375" style="69" bestFit="1" customWidth="1"/>
    <col min="11013" max="11014" width="13.140625" style="69" customWidth="1"/>
    <col min="11015" max="11015" width="11.7109375" style="69" customWidth="1"/>
    <col min="11016" max="11016" width="14.85546875" style="69" customWidth="1"/>
    <col min="11017" max="11017" width="11.42578125" style="69" customWidth="1"/>
    <col min="11018" max="11018" width="14.85546875" style="69" customWidth="1"/>
    <col min="11019" max="11019" width="13.28515625" style="69" bestFit="1" customWidth="1"/>
    <col min="11020" max="11020" width="14.85546875" style="69" customWidth="1"/>
    <col min="11021" max="11021" width="16.5703125" style="69" customWidth="1"/>
    <col min="11022" max="11022" width="10.5703125" style="69" customWidth="1"/>
    <col min="11023" max="11023" width="12.28515625" style="69" bestFit="1" customWidth="1"/>
    <col min="11024" max="11257" width="9" style="69"/>
    <col min="11258" max="11258" width="10" style="69" customWidth="1"/>
    <col min="11259" max="11259" width="3.7109375" style="69" customWidth="1"/>
    <col min="11260" max="11260" width="7.85546875" style="69" customWidth="1"/>
    <col min="11261" max="11261" width="20" style="69" customWidth="1"/>
    <col min="11262" max="11262" width="4.28515625" style="69" customWidth="1"/>
    <col min="11263" max="11263" width="13.140625" style="69" customWidth="1"/>
    <col min="11264" max="11264" width="10.5703125" style="69" bestFit="1" customWidth="1"/>
    <col min="11265" max="11265" width="7.140625" style="69" bestFit="1" customWidth="1"/>
    <col min="11266" max="11266" width="12.7109375" style="69" customWidth="1"/>
    <col min="11267" max="11267" width="9.140625" style="69" customWidth="1"/>
    <col min="11268" max="11268" width="14.7109375" style="69" bestFit="1" customWidth="1"/>
    <col min="11269" max="11270" width="13.140625" style="69" customWidth="1"/>
    <col min="11271" max="11271" width="11.7109375" style="69" customWidth="1"/>
    <col min="11272" max="11272" width="14.85546875" style="69" customWidth="1"/>
    <col min="11273" max="11273" width="11.42578125" style="69" customWidth="1"/>
    <col min="11274" max="11274" width="14.85546875" style="69" customWidth="1"/>
    <col min="11275" max="11275" width="13.28515625" style="69" bestFit="1" customWidth="1"/>
    <col min="11276" max="11276" width="14.85546875" style="69" customWidth="1"/>
    <col min="11277" max="11277" width="16.5703125" style="69" customWidth="1"/>
    <col min="11278" max="11278" width="10.5703125" style="69" customWidth="1"/>
    <col min="11279" max="11279" width="12.28515625" style="69" bestFit="1" customWidth="1"/>
    <col min="11280" max="11513" width="9" style="69"/>
    <col min="11514" max="11514" width="10" style="69" customWidth="1"/>
    <col min="11515" max="11515" width="3.7109375" style="69" customWidth="1"/>
    <col min="11516" max="11516" width="7.85546875" style="69" customWidth="1"/>
    <col min="11517" max="11517" width="20" style="69" customWidth="1"/>
    <col min="11518" max="11518" width="4.28515625" style="69" customWidth="1"/>
    <col min="11519" max="11519" width="13.140625" style="69" customWidth="1"/>
    <col min="11520" max="11520" width="10.5703125" style="69" bestFit="1" customWidth="1"/>
    <col min="11521" max="11521" width="7.140625" style="69" bestFit="1" customWidth="1"/>
    <col min="11522" max="11522" width="12.7109375" style="69" customWidth="1"/>
    <col min="11523" max="11523" width="9.140625" style="69" customWidth="1"/>
    <col min="11524" max="11524" width="14.7109375" style="69" bestFit="1" customWidth="1"/>
    <col min="11525" max="11526" width="13.140625" style="69" customWidth="1"/>
    <col min="11527" max="11527" width="11.7109375" style="69" customWidth="1"/>
    <col min="11528" max="11528" width="14.85546875" style="69" customWidth="1"/>
    <col min="11529" max="11529" width="11.42578125" style="69" customWidth="1"/>
    <col min="11530" max="11530" width="14.85546875" style="69" customWidth="1"/>
    <col min="11531" max="11531" width="13.28515625" style="69" bestFit="1" customWidth="1"/>
    <col min="11532" max="11532" width="14.85546875" style="69" customWidth="1"/>
    <col min="11533" max="11533" width="16.5703125" style="69" customWidth="1"/>
    <col min="11534" max="11534" width="10.5703125" style="69" customWidth="1"/>
    <col min="11535" max="11535" width="12.28515625" style="69" bestFit="1" customWidth="1"/>
    <col min="11536" max="11769" width="9" style="69"/>
    <col min="11770" max="11770" width="10" style="69" customWidth="1"/>
    <col min="11771" max="11771" width="3.7109375" style="69" customWidth="1"/>
    <col min="11772" max="11772" width="7.85546875" style="69" customWidth="1"/>
    <col min="11773" max="11773" width="20" style="69" customWidth="1"/>
    <col min="11774" max="11774" width="4.28515625" style="69" customWidth="1"/>
    <col min="11775" max="11775" width="13.140625" style="69" customWidth="1"/>
    <col min="11776" max="11776" width="10.5703125" style="69" bestFit="1" customWidth="1"/>
    <col min="11777" max="11777" width="7.140625" style="69" bestFit="1" customWidth="1"/>
    <col min="11778" max="11778" width="12.7109375" style="69" customWidth="1"/>
    <col min="11779" max="11779" width="9.140625" style="69" customWidth="1"/>
    <col min="11780" max="11780" width="14.7109375" style="69" bestFit="1" customWidth="1"/>
    <col min="11781" max="11782" width="13.140625" style="69" customWidth="1"/>
    <col min="11783" max="11783" width="11.7109375" style="69" customWidth="1"/>
    <col min="11784" max="11784" width="14.85546875" style="69" customWidth="1"/>
    <col min="11785" max="11785" width="11.42578125" style="69" customWidth="1"/>
    <col min="11786" max="11786" width="14.85546875" style="69" customWidth="1"/>
    <col min="11787" max="11787" width="13.28515625" style="69" bestFit="1" customWidth="1"/>
    <col min="11788" max="11788" width="14.85546875" style="69" customWidth="1"/>
    <col min="11789" max="11789" width="16.5703125" style="69" customWidth="1"/>
    <col min="11790" max="11790" width="10.5703125" style="69" customWidth="1"/>
    <col min="11791" max="11791" width="12.28515625" style="69" bestFit="1" customWidth="1"/>
    <col min="11792" max="12025" width="9" style="69"/>
    <col min="12026" max="12026" width="10" style="69" customWidth="1"/>
    <col min="12027" max="12027" width="3.7109375" style="69" customWidth="1"/>
    <col min="12028" max="12028" width="7.85546875" style="69" customWidth="1"/>
    <col min="12029" max="12029" width="20" style="69" customWidth="1"/>
    <col min="12030" max="12030" width="4.28515625" style="69" customWidth="1"/>
    <col min="12031" max="12031" width="13.140625" style="69" customWidth="1"/>
    <col min="12032" max="12032" width="10.5703125" style="69" bestFit="1" customWidth="1"/>
    <col min="12033" max="12033" width="7.140625" style="69" bestFit="1" customWidth="1"/>
    <col min="12034" max="12034" width="12.7109375" style="69" customWidth="1"/>
    <col min="12035" max="12035" width="9.140625" style="69" customWidth="1"/>
    <col min="12036" max="12036" width="14.7109375" style="69" bestFit="1" customWidth="1"/>
    <col min="12037" max="12038" width="13.140625" style="69" customWidth="1"/>
    <col min="12039" max="12039" width="11.7109375" style="69" customWidth="1"/>
    <col min="12040" max="12040" width="14.85546875" style="69" customWidth="1"/>
    <col min="12041" max="12041" width="11.42578125" style="69" customWidth="1"/>
    <col min="12042" max="12042" width="14.85546875" style="69" customWidth="1"/>
    <col min="12043" max="12043" width="13.28515625" style="69" bestFit="1" customWidth="1"/>
    <col min="12044" max="12044" width="14.85546875" style="69" customWidth="1"/>
    <col min="12045" max="12045" width="16.5703125" style="69" customWidth="1"/>
    <col min="12046" max="12046" width="10.5703125" style="69" customWidth="1"/>
    <col min="12047" max="12047" width="12.28515625" style="69" bestFit="1" customWidth="1"/>
    <col min="12048" max="12281" width="9" style="69"/>
    <col min="12282" max="12282" width="10" style="69" customWidth="1"/>
    <col min="12283" max="12283" width="3.7109375" style="69" customWidth="1"/>
    <col min="12284" max="12284" width="7.85546875" style="69" customWidth="1"/>
    <col min="12285" max="12285" width="20" style="69" customWidth="1"/>
    <col min="12286" max="12286" width="4.28515625" style="69" customWidth="1"/>
    <col min="12287" max="12287" width="13.140625" style="69" customWidth="1"/>
    <col min="12288" max="12288" width="10.5703125" style="69" bestFit="1" customWidth="1"/>
    <col min="12289" max="12289" width="7.140625" style="69" bestFit="1" customWidth="1"/>
    <col min="12290" max="12290" width="12.7109375" style="69" customWidth="1"/>
    <col min="12291" max="12291" width="9.140625" style="69" customWidth="1"/>
    <col min="12292" max="12292" width="14.7109375" style="69" bestFit="1" customWidth="1"/>
    <col min="12293" max="12294" width="13.140625" style="69" customWidth="1"/>
    <col min="12295" max="12295" width="11.7109375" style="69" customWidth="1"/>
    <col min="12296" max="12296" width="14.85546875" style="69" customWidth="1"/>
    <col min="12297" max="12297" width="11.42578125" style="69" customWidth="1"/>
    <col min="12298" max="12298" width="14.85546875" style="69" customWidth="1"/>
    <col min="12299" max="12299" width="13.28515625" style="69" bestFit="1" customWidth="1"/>
    <col min="12300" max="12300" width="14.85546875" style="69" customWidth="1"/>
    <col min="12301" max="12301" width="16.5703125" style="69" customWidth="1"/>
    <col min="12302" max="12302" width="10.5703125" style="69" customWidth="1"/>
    <col min="12303" max="12303" width="12.28515625" style="69" bestFit="1" customWidth="1"/>
    <col min="12304" max="12537" width="9" style="69"/>
    <col min="12538" max="12538" width="10" style="69" customWidth="1"/>
    <col min="12539" max="12539" width="3.7109375" style="69" customWidth="1"/>
    <col min="12540" max="12540" width="7.85546875" style="69" customWidth="1"/>
    <col min="12541" max="12541" width="20" style="69" customWidth="1"/>
    <col min="12542" max="12542" width="4.28515625" style="69" customWidth="1"/>
    <col min="12543" max="12543" width="13.140625" style="69" customWidth="1"/>
    <col min="12544" max="12544" width="10.5703125" style="69" bestFit="1" customWidth="1"/>
    <col min="12545" max="12545" width="7.140625" style="69" bestFit="1" customWidth="1"/>
    <col min="12546" max="12546" width="12.7109375" style="69" customWidth="1"/>
    <col min="12547" max="12547" width="9.140625" style="69" customWidth="1"/>
    <col min="12548" max="12548" width="14.7109375" style="69" bestFit="1" customWidth="1"/>
    <col min="12549" max="12550" width="13.140625" style="69" customWidth="1"/>
    <col min="12551" max="12551" width="11.7109375" style="69" customWidth="1"/>
    <col min="12552" max="12552" width="14.85546875" style="69" customWidth="1"/>
    <col min="12553" max="12553" width="11.42578125" style="69" customWidth="1"/>
    <col min="12554" max="12554" width="14.85546875" style="69" customWidth="1"/>
    <col min="12555" max="12555" width="13.28515625" style="69" bestFit="1" customWidth="1"/>
    <col min="12556" max="12556" width="14.85546875" style="69" customWidth="1"/>
    <col min="12557" max="12557" width="16.5703125" style="69" customWidth="1"/>
    <col min="12558" max="12558" width="10.5703125" style="69" customWidth="1"/>
    <col min="12559" max="12559" width="12.28515625" style="69" bestFit="1" customWidth="1"/>
    <col min="12560" max="12793" width="9" style="69"/>
    <col min="12794" max="12794" width="10" style="69" customWidth="1"/>
    <col min="12795" max="12795" width="3.7109375" style="69" customWidth="1"/>
    <col min="12796" max="12796" width="7.85546875" style="69" customWidth="1"/>
    <col min="12797" max="12797" width="20" style="69" customWidth="1"/>
    <col min="12798" max="12798" width="4.28515625" style="69" customWidth="1"/>
    <col min="12799" max="12799" width="13.140625" style="69" customWidth="1"/>
    <col min="12800" max="12800" width="10.5703125" style="69" bestFit="1" customWidth="1"/>
    <col min="12801" max="12801" width="7.140625" style="69" bestFit="1" customWidth="1"/>
    <col min="12802" max="12802" width="12.7109375" style="69" customWidth="1"/>
    <col min="12803" max="12803" width="9.140625" style="69" customWidth="1"/>
    <col min="12804" max="12804" width="14.7109375" style="69" bestFit="1" customWidth="1"/>
    <col min="12805" max="12806" width="13.140625" style="69" customWidth="1"/>
    <col min="12807" max="12807" width="11.7109375" style="69" customWidth="1"/>
    <col min="12808" max="12808" width="14.85546875" style="69" customWidth="1"/>
    <col min="12809" max="12809" width="11.42578125" style="69" customWidth="1"/>
    <col min="12810" max="12810" width="14.85546875" style="69" customWidth="1"/>
    <col min="12811" max="12811" width="13.28515625" style="69" bestFit="1" customWidth="1"/>
    <col min="12812" max="12812" width="14.85546875" style="69" customWidth="1"/>
    <col min="12813" max="12813" width="16.5703125" style="69" customWidth="1"/>
    <col min="12814" max="12814" width="10.5703125" style="69" customWidth="1"/>
    <col min="12815" max="12815" width="12.28515625" style="69" bestFit="1" customWidth="1"/>
    <col min="12816" max="13049" width="9" style="69"/>
    <col min="13050" max="13050" width="10" style="69" customWidth="1"/>
    <col min="13051" max="13051" width="3.7109375" style="69" customWidth="1"/>
    <col min="13052" max="13052" width="7.85546875" style="69" customWidth="1"/>
    <col min="13053" max="13053" width="20" style="69" customWidth="1"/>
    <col min="13054" max="13054" width="4.28515625" style="69" customWidth="1"/>
    <col min="13055" max="13055" width="13.140625" style="69" customWidth="1"/>
    <col min="13056" max="13056" width="10.5703125" style="69" bestFit="1" customWidth="1"/>
    <col min="13057" max="13057" width="7.140625" style="69" bestFit="1" customWidth="1"/>
    <col min="13058" max="13058" width="12.7109375" style="69" customWidth="1"/>
    <col min="13059" max="13059" width="9.140625" style="69" customWidth="1"/>
    <col min="13060" max="13060" width="14.7109375" style="69" bestFit="1" customWidth="1"/>
    <col min="13061" max="13062" width="13.140625" style="69" customWidth="1"/>
    <col min="13063" max="13063" width="11.7109375" style="69" customWidth="1"/>
    <col min="13064" max="13064" width="14.85546875" style="69" customWidth="1"/>
    <col min="13065" max="13065" width="11.42578125" style="69" customWidth="1"/>
    <col min="13066" max="13066" width="14.85546875" style="69" customWidth="1"/>
    <col min="13067" max="13067" width="13.28515625" style="69" bestFit="1" customWidth="1"/>
    <col min="13068" max="13068" width="14.85546875" style="69" customWidth="1"/>
    <col min="13069" max="13069" width="16.5703125" style="69" customWidth="1"/>
    <col min="13070" max="13070" width="10.5703125" style="69" customWidth="1"/>
    <col min="13071" max="13071" width="12.28515625" style="69" bestFit="1" customWidth="1"/>
    <col min="13072" max="13305" width="9" style="69"/>
    <col min="13306" max="13306" width="10" style="69" customWidth="1"/>
    <col min="13307" max="13307" width="3.7109375" style="69" customWidth="1"/>
    <col min="13308" max="13308" width="7.85546875" style="69" customWidth="1"/>
    <col min="13309" max="13309" width="20" style="69" customWidth="1"/>
    <col min="13310" max="13310" width="4.28515625" style="69" customWidth="1"/>
    <col min="13311" max="13311" width="13.140625" style="69" customWidth="1"/>
    <col min="13312" max="13312" width="10.5703125" style="69" bestFit="1" customWidth="1"/>
    <col min="13313" max="13313" width="7.140625" style="69" bestFit="1" customWidth="1"/>
    <col min="13314" max="13314" width="12.7109375" style="69" customWidth="1"/>
    <col min="13315" max="13315" width="9.140625" style="69" customWidth="1"/>
    <col min="13316" max="13316" width="14.7109375" style="69" bestFit="1" customWidth="1"/>
    <col min="13317" max="13318" width="13.140625" style="69" customWidth="1"/>
    <col min="13319" max="13319" width="11.7109375" style="69" customWidth="1"/>
    <col min="13320" max="13320" width="14.85546875" style="69" customWidth="1"/>
    <col min="13321" max="13321" width="11.42578125" style="69" customWidth="1"/>
    <col min="13322" max="13322" width="14.85546875" style="69" customWidth="1"/>
    <col min="13323" max="13323" width="13.28515625" style="69" bestFit="1" customWidth="1"/>
    <col min="13324" max="13324" width="14.85546875" style="69" customWidth="1"/>
    <col min="13325" max="13325" width="16.5703125" style="69" customWidth="1"/>
    <col min="13326" max="13326" width="10.5703125" style="69" customWidth="1"/>
    <col min="13327" max="13327" width="12.28515625" style="69" bestFit="1" customWidth="1"/>
    <col min="13328" max="13561" width="9" style="69"/>
    <col min="13562" max="13562" width="10" style="69" customWidth="1"/>
    <col min="13563" max="13563" width="3.7109375" style="69" customWidth="1"/>
    <col min="13564" max="13564" width="7.85546875" style="69" customWidth="1"/>
    <col min="13565" max="13565" width="20" style="69" customWidth="1"/>
    <col min="13566" max="13566" width="4.28515625" style="69" customWidth="1"/>
    <col min="13567" max="13567" width="13.140625" style="69" customWidth="1"/>
    <col min="13568" max="13568" width="10.5703125" style="69" bestFit="1" customWidth="1"/>
    <col min="13569" max="13569" width="7.140625" style="69" bestFit="1" customWidth="1"/>
    <col min="13570" max="13570" width="12.7109375" style="69" customWidth="1"/>
    <col min="13571" max="13571" width="9.140625" style="69" customWidth="1"/>
    <col min="13572" max="13572" width="14.7109375" style="69" bestFit="1" customWidth="1"/>
    <col min="13573" max="13574" width="13.140625" style="69" customWidth="1"/>
    <col min="13575" max="13575" width="11.7109375" style="69" customWidth="1"/>
    <col min="13576" max="13576" width="14.85546875" style="69" customWidth="1"/>
    <col min="13577" max="13577" width="11.42578125" style="69" customWidth="1"/>
    <col min="13578" max="13578" width="14.85546875" style="69" customWidth="1"/>
    <col min="13579" max="13579" width="13.28515625" style="69" bestFit="1" customWidth="1"/>
    <col min="13580" max="13580" width="14.85546875" style="69" customWidth="1"/>
    <col min="13581" max="13581" width="16.5703125" style="69" customWidth="1"/>
    <col min="13582" max="13582" width="10.5703125" style="69" customWidth="1"/>
    <col min="13583" max="13583" width="12.28515625" style="69" bestFit="1" customWidth="1"/>
    <col min="13584" max="13817" width="9" style="69"/>
    <col min="13818" max="13818" width="10" style="69" customWidth="1"/>
    <col min="13819" max="13819" width="3.7109375" style="69" customWidth="1"/>
    <col min="13820" max="13820" width="7.85546875" style="69" customWidth="1"/>
    <col min="13821" max="13821" width="20" style="69" customWidth="1"/>
    <col min="13822" max="13822" width="4.28515625" style="69" customWidth="1"/>
    <col min="13823" max="13823" width="13.140625" style="69" customWidth="1"/>
    <col min="13824" max="13824" width="10.5703125" style="69" bestFit="1" customWidth="1"/>
    <col min="13825" max="13825" width="7.140625" style="69" bestFit="1" customWidth="1"/>
    <col min="13826" max="13826" width="12.7109375" style="69" customWidth="1"/>
    <col min="13827" max="13827" width="9.140625" style="69" customWidth="1"/>
    <col min="13828" max="13828" width="14.7109375" style="69" bestFit="1" customWidth="1"/>
    <col min="13829" max="13830" width="13.140625" style="69" customWidth="1"/>
    <col min="13831" max="13831" width="11.7109375" style="69" customWidth="1"/>
    <col min="13832" max="13832" width="14.85546875" style="69" customWidth="1"/>
    <col min="13833" max="13833" width="11.42578125" style="69" customWidth="1"/>
    <col min="13834" max="13834" width="14.85546875" style="69" customWidth="1"/>
    <col min="13835" max="13835" width="13.28515625" style="69" bestFit="1" customWidth="1"/>
    <col min="13836" max="13836" width="14.85546875" style="69" customWidth="1"/>
    <col min="13837" max="13837" width="16.5703125" style="69" customWidth="1"/>
    <col min="13838" max="13838" width="10.5703125" style="69" customWidth="1"/>
    <col min="13839" max="13839" width="12.28515625" style="69" bestFit="1" customWidth="1"/>
    <col min="13840" max="14073" width="9" style="69"/>
    <col min="14074" max="14074" width="10" style="69" customWidth="1"/>
    <col min="14075" max="14075" width="3.7109375" style="69" customWidth="1"/>
    <col min="14076" max="14076" width="7.85546875" style="69" customWidth="1"/>
    <col min="14077" max="14077" width="20" style="69" customWidth="1"/>
    <col min="14078" max="14078" width="4.28515625" style="69" customWidth="1"/>
    <col min="14079" max="14079" width="13.140625" style="69" customWidth="1"/>
    <col min="14080" max="14080" width="10.5703125" style="69" bestFit="1" customWidth="1"/>
    <col min="14081" max="14081" width="7.140625" style="69" bestFit="1" customWidth="1"/>
    <col min="14082" max="14082" width="12.7109375" style="69" customWidth="1"/>
    <col min="14083" max="14083" width="9.140625" style="69" customWidth="1"/>
    <col min="14084" max="14084" width="14.7109375" style="69" bestFit="1" customWidth="1"/>
    <col min="14085" max="14086" width="13.140625" style="69" customWidth="1"/>
    <col min="14087" max="14087" width="11.7109375" style="69" customWidth="1"/>
    <col min="14088" max="14088" width="14.85546875" style="69" customWidth="1"/>
    <col min="14089" max="14089" width="11.42578125" style="69" customWidth="1"/>
    <col min="14090" max="14090" width="14.85546875" style="69" customWidth="1"/>
    <col min="14091" max="14091" width="13.28515625" style="69" bestFit="1" customWidth="1"/>
    <col min="14092" max="14092" width="14.85546875" style="69" customWidth="1"/>
    <col min="14093" max="14093" width="16.5703125" style="69" customWidth="1"/>
    <col min="14094" max="14094" width="10.5703125" style="69" customWidth="1"/>
    <col min="14095" max="14095" width="12.28515625" style="69" bestFit="1" customWidth="1"/>
    <col min="14096" max="14329" width="9" style="69"/>
    <col min="14330" max="14330" width="10" style="69" customWidth="1"/>
    <col min="14331" max="14331" width="3.7109375" style="69" customWidth="1"/>
    <col min="14332" max="14332" width="7.85546875" style="69" customWidth="1"/>
    <col min="14333" max="14333" width="20" style="69" customWidth="1"/>
    <col min="14334" max="14334" width="4.28515625" style="69" customWidth="1"/>
    <col min="14335" max="14335" width="13.140625" style="69" customWidth="1"/>
    <col min="14336" max="14336" width="10.5703125" style="69" bestFit="1" customWidth="1"/>
    <col min="14337" max="14337" width="7.140625" style="69" bestFit="1" customWidth="1"/>
    <col min="14338" max="14338" width="12.7109375" style="69" customWidth="1"/>
    <col min="14339" max="14339" width="9.140625" style="69" customWidth="1"/>
    <col min="14340" max="14340" width="14.7109375" style="69" bestFit="1" customWidth="1"/>
    <col min="14341" max="14342" width="13.140625" style="69" customWidth="1"/>
    <col min="14343" max="14343" width="11.7109375" style="69" customWidth="1"/>
    <col min="14344" max="14344" width="14.85546875" style="69" customWidth="1"/>
    <col min="14345" max="14345" width="11.42578125" style="69" customWidth="1"/>
    <col min="14346" max="14346" width="14.85546875" style="69" customWidth="1"/>
    <col min="14347" max="14347" width="13.28515625" style="69" bestFit="1" customWidth="1"/>
    <col min="14348" max="14348" width="14.85546875" style="69" customWidth="1"/>
    <col min="14349" max="14349" width="16.5703125" style="69" customWidth="1"/>
    <col min="14350" max="14350" width="10.5703125" style="69" customWidth="1"/>
    <col min="14351" max="14351" width="12.28515625" style="69" bestFit="1" customWidth="1"/>
    <col min="14352" max="14585" width="9" style="69"/>
    <col min="14586" max="14586" width="10" style="69" customWidth="1"/>
    <col min="14587" max="14587" width="3.7109375" style="69" customWidth="1"/>
    <col min="14588" max="14588" width="7.85546875" style="69" customWidth="1"/>
    <col min="14589" max="14589" width="20" style="69" customWidth="1"/>
    <col min="14590" max="14590" width="4.28515625" style="69" customWidth="1"/>
    <col min="14591" max="14591" width="13.140625" style="69" customWidth="1"/>
    <col min="14592" max="14592" width="10.5703125" style="69" bestFit="1" customWidth="1"/>
    <col min="14593" max="14593" width="7.140625" style="69" bestFit="1" customWidth="1"/>
    <col min="14594" max="14594" width="12.7109375" style="69" customWidth="1"/>
    <col min="14595" max="14595" width="9.140625" style="69" customWidth="1"/>
    <col min="14596" max="14596" width="14.7109375" style="69" bestFit="1" customWidth="1"/>
    <col min="14597" max="14598" width="13.140625" style="69" customWidth="1"/>
    <col min="14599" max="14599" width="11.7109375" style="69" customWidth="1"/>
    <col min="14600" max="14600" width="14.85546875" style="69" customWidth="1"/>
    <col min="14601" max="14601" width="11.42578125" style="69" customWidth="1"/>
    <col min="14602" max="14602" width="14.85546875" style="69" customWidth="1"/>
    <col min="14603" max="14603" width="13.28515625" style="69" bestFit="1" customWidth="1"/>
    <col min="14604" max="14604" width="14.85546875" style="69" customWidth="1"/>
    <col min="14605" max="14605" width="16.5703125" style="69" customWidth="1"/>
    <col min="14606" max="14606" width="10.5703125" style="69" customWidth="1"/>
    <col min="14607" max="14607" width="12.28515625" style="69" bestFit="1" customWidth="1"/>
    <col min="14608" max="14841" width="9" style="69"/>
    <col min="14842" max="14842" width="10" style="69" customWidth="1"/>
    <col min="14843" max="14843" width="3.7109375" style="69" customWidth="1"/>
    <col min="14844" max="14844" width="7.85546875" style="69" customWidth="1"/>
    <col min="14845" max="14845" width="20" style="69" customWidth="1"/>
    <col min="14846" max="14846" width="4.28515625" style="69" customWidth="1"/>
    <col min="14847" max="14847" width="13.140625" style="69" customWidth="1"/>
    <col min="14848" max="14848" width="10.5703125" style="69" bestFit="1" customWidth="1"/>
    <col min="14849" max="14849" width="7.140625" style="69" bestFit="1" customWidth="1"/>
    <col min="14850" max="14850" width="12.7109375" style="69" customWidth="1"/>
    <col min="14851" max="14851" width="9.140625" style="69" customWidth="1"/>
    <col min="14852" max="14852" width="14.7109375" style="69" bestFit="1" customWidth="1"/>
    <col min="14853" max="14854" width="13.140625" style="69" customWidth="1"/>
    <col min="14855" max="14855" width="11.7109375" style="69" customWidth="1"/>
    <col min="14856" max="14856" width="14.85546875" style="69" customWidth="1"/>
    <col min="14857" max="14857" width="11.42578125" style="69" customWidth="1"/>
    <col min="14858" max="14858" width="14.85546875" style="69" customWidth="1"/>
    <col min="14859" max="14859" width="13.28515625" style="69" bestFit="1" customWidth="1"/>
    <col min="14860" max="14860" width="14.85546875" style="69" customWidth="1"/>
    <col min="14861" max="14861" width="16.5703125" style="69" customWidth="1"/>
    <col min="14862" max="14862" width="10.5703125" style="69" customWidth="1"/>
    <col min="14863" max="14863" width="12.28515625" style="69" bestFit="1" customWidth="1"/>
    <col min="14864" max="15097" width="9" style="69"/>
    <col min="15098" max="15098" width="10" style="69" customWidth="1"/>
    <col min="15099" max="15099" width="3.7109375" style="69" customWidth="1"/>
    <col min="15100" max="15100" width="7.85546875" style="69" customWidth="1"/>
    <col min="15101" max="15101" width="20" style="69" customWidth="1"/>
    <col min="15102" max="15102" width="4.28515625" style="69" customWidth="1"/>
    <col min="15103" max="15103" width="13.140625" style="69" customWidth="1"/>
    <col min="15104" max="15104" width="10.5703125" style="69" bestFit="1" customWidth="1"/>
    <col min="15105" max="15105" width="7.140625" style="69" bestFit="1" customWidth="1"/>
    <col min="15106" max="15106" width="12.7109375" style="69" customWidth="1"/>
    <col min="15107" max="15107" width="9.140625" style="69" customWidth="1"/>
    <col min="15108" max="15108" width="14.7109375" style="69" bestFit="1" customWidth="1"/>
    <col min="15109" max="15110" width="13.140625" style="69" customWidth="1"/>
    <col min="15111" max="15111" width="11.7109375" style="69" customWidth="1"/>
    <col min="15112" max="15112" width="14.85546875" style="69" customWidth="1"/>
    <col min="15113" max="15113" width="11.42578125" style="69" customWidth="1"/>
    <col min="15114" max="15114" width="14.85546875" style="69" customWidth="1"/>
    <col min="15115" max="15115" width="13.28515625" style="69" bestFit="1" customWidth="1"/>
    <col min="15116" max="15116" width="14.85546875" style="69" customWidth="1"/>
    <col min="15117" max="15117" width="16.5703125" style="69" customWidth="1"/>
    <col min="15118" max="15118" width="10.5703125" style="69" customWidth="1"/>
    <col min="15119" max="15119" width="12.28515625" style="69" bestFit="1" customWidth="1"/>
    <col min="15120" max="15353" width="9" style="69"/>
    <col min="15354" max="15354" width="10" style="69" customWidth="1"/>
    <col min="15355" max="15355" width="3.7109375" style="69" customWidth="1"/>
    <col min="15356" max="15356" width="7.85546875" style="69" customWidth="1"/>
    <col min="15357" max="15357" width="20" style="69" customWidth="1"/>
    <col min="15358" max="15358" width="4.28515625" style="69" customWidth="1"/>
    <col min="15359" max="15359" width="13.140625" style="69" customWidth="1"/>
    <col min="15360" max="15360" width="10.5703125" style="69" bestFit="1" customWidth="1"/>
    <col min="15361" max="15361" width="7.140625" style="69" bestFit="1" customWidth="1"/>
    <col min="15362" max="15362" width="12.7109375" style="69" customWidth="1"/>
    <col min="15363" max="15363" width="9.140625" style="69" customWidth="1"/>
    <col min="15364" max="15364" width="14.7109375" style="69" bestFit="1" customWidth="1"/>
    <col min="15365" max="15366" width="13.140625" style="69" customWidth="1"/>
    <col min="15367" max="15367" width="11.7109375" style="69" customWidth="1"/>
    <col min="15368" max="15368" width="14.85546875" style="69" customWidth="1"/>
    <col min="15369" max="15369" width="11.42578125" style="69" customWidth="1"/>
    <col min="15370" max="15370" width="14.85546875" style="69" customWidth="1"/>
    <col min="15371" max="15371" width="13.28515625" style="69" bestFit="1" customWidth="1"/>
    <col min="15372" max="15372" width="14.85546875" style="69" customWidth="1"/>
    <col min="15373" max="15373" width="16.5703125" style="69" customWidth="1"/>
    <col min="15374" max="15374" width="10.5703125" style="69" customWidth="1"/>
    <col min="15375" max="15375" width="12.28515625" style="69" bestFit="1" customWidth="1"/>
    <col min="15376" max="15609" width="9" style="69"/>
    <col min="15610" max="15610" width="10" style="69" customWidth="1"/>
    <col min="15611" max="15611" width="3.7109375" style="69" customWidth="1"/>
    <col min="15612" max="15612" width="7.85546875" style="69" customWidth="1"/>
    <col min="15613" max="15613" width="20" style="69" customWidth="1"/>
    <col min="15614" max="15614" width="4.28515625" style="69" customWidth="1"/>
    <col min="15615" max="15615" width="13.140625" style="69" customWidth="1"/>
    <col min="15616" max="15616" width="10.5703125" style="69" bestFit="1" customWidth="1"/>
    <col min="15617" max="15617" width="7.140625" style="69" bestFit="1" customWidth="1"/>
    <col min="15618" max="15618" width="12.7109375" style="69" customWidth="1"/>
    <col min="15619" max="15619" width="9.140625" style="69" customWidth="1"/>
    <col min="15620" max="15620" width="14.7109375" style="69" bestFit="1" customWidth="1"/>
    <col min="15621" max="15622" width="13.140625" style="69" customWidth="1"/>
    <col min="15623" max="15623" width="11.7109375" style="69" customWidth="1"/>
    <col min="15624" max="15624" width="14.85546875" style="69" customWidth="1"/>
    <col min="15625" max="15625" width="11.42578125" style="69" customWidth="1"/>
    <col min="15626" max="15626" width="14.85546875" style="69" customWidth="1"/>
    <col min="15627" max="15627" width="13.28515625" style="69" bestFit="1" customWidth="1"/>
    <col min="15628" max="15628" width="14.85546875" style="69" customWidth="1"/>
    <col min="15629" max="15629" width="16.5703125" style="69" customWidth="1"/>
    <col min="15630" max="15630" width="10.5703125" style="69" customWidth="1"/>
    <col min="15631" max="15631" width="12.28515625" style="69" bestFit="1" customWidth="1"/>
    <col min="15632" max="15865" width="9" style="69"/>
    <col min="15866" max="15866" width="10" style="69" customWidth="1"/>
    <col min="15867" max="15867" width="3.7109375" style="69" customWidth="1"/>
    <col min="15868" max="15868" width="7.85546875" style="69" customWidth="1"/>
    <col min="15869" max="15869" width="20" style="69" customWidth="1"/>
    <col min="15870" max="15870" width="4.28515625" style="69" customWidth="1"/>
    <col min="15871" max="15871" width="13.140625" style="69" customWidth="1"/>
    <col min="15872" max="15872" width="10.5703125" style="69" bestFit="1" customWidth="1"/>
    <col min="15873" max="15873" width="7.140625" style="69" bestFit="1" customWidth="1"/>
    <col min="15874" max="15874" width="12.7109375" style="69" customWidth="1"/>
    <col min="15875" max="15875" width="9.140625" style="69" customWidth="1"/>
    <col min="15876" max="15876" width="14.7109375" style="69" bestFit="1" customWidth="1"/>
    <col min="15877" max="15878" width="13.140625" style="69" customWidth="1"/>
    <col min="15879" max="15879" width="11.7109375" style="69" customWidth="1"/>
    <col min="15880" max="15880" width="14.85546875" style="69" customWidth="1"/>
    <col min="15881" max="15881" width="11.42578125" style="69" customWidth="1"/>
    <col min="15882" max="15882" width="14.85546875" style="69" customWidth="1"/>
    <col min="15883" max="15883" width="13.28515625" style="69" bestFit="1" customWidth="1"/>
    <col min="15884" max="15884" width="14.85546875" style="69" customWidth="1"/>
    <col min="15885" max="15885" width="16.5703125" style="69" customWidth="1"/>
    <col min="15886" max="15886" width="10.5703125" style="69" customWidth="1"/>
    <col min="15887" max="15887" width="12.28515625" style="69" bestFit="1" customWidth="1"/>
    <col min="15888" max="16121" width="9" style="69"/>
    <col min="16122" max="16122" width="10" style="69" customWidth="1"/>
    <col min="16123" max="16123" width="3.7109375" style="69" customWidth="1"/>
    <col min="16124" max="16124" width="7.85546875" style="69" customWidth="1"/>
    <col min="16125" max="16125" width="20" style="69" customWidth="1"/>
    <col min="16126" max="16126" width="4.28515625" style="69" customWidth="1"/>
    <col min="16127" max="16127" width="13.140625" style="69" customWidth="1"/>
    <col min="16128" max="16128" width="10.5703125" style="69" bestFit="1" customWidth="1"/>
    <col min="16129" max="16129" width="7.140625" style="69" bestFit="1" customWidth="1"/>
    <col min="16130" max="16130" width="12.7109375" style="69" customWidth="1"/>
    <col min="16131" max="16131" width="9.140625" style="69" customWidth="1"/>
    <col min="16132" max="16132" width="14.7109375" style="69" bestFit="1" customWidth="1"/>
    <col min="16133" max="16134" width="13.140625" style="69" customWidth="1"/>
    <col min="16135" max="16135" width="11.7109375" style="69" customWidth="1"/>
    <col min="16136" max="16136" width="14.85546875" style="69" customWidth="1"/>
    <col min="16137" max="16137" width="11.42578125" style="69" customWidth="1"/>
    <col min="16138" max="16138" width="14.85546875" style="69" customWidth="1"/>
    <col min="16139" max="16139" width="13.28515625" style="69" bestFit="1" customWidth="1"/>
    <col min="16140" max="16140" width="14.85546875" style="69" customWidth="1"/>
    <col min="16141" max="16141" width="16.5703125" style="69" customWidth="1"/>
    <col min="16142" max="16142" width="10.5703125" style="69" customWidth="1"/>
    <col min="16143" max="16143" width="12.28515625" style="69" bestFit="1" customWidth="1"/>
    <col min="16144" max="16384" width="9" style="69"/>
  </cols>
  <sheetData>
    <row r="1" spans="1:22" x14ac:dyDescent="0.2">
      <c r="A1" s="75" t="s">
        <v>102</v>
      </c>
    </row>
    <row r="2" spans="1:22" x14ac:dyDescent="0.2">
      <c r="A2" s="75" t="s">
        <v>0</v>
      </c>
      <c r="J2" s="97" t="s">
        <v>103</v>
      </c>
      <c r="K2" s="77"/>
      <c r="L2" s="77"/>
      <c r="M2" s="158" t="s">
        <v>104</v>
      </c>
      <c r="N2" s="79"/>
    </row>
    <row r="3" spans="1:22" x14ac:dyDescent="0.2">
      <c r="A3" s="75" t="s">
        <v>260</v>
      </c>
      <c r="J3" s="97"/>
      <c r="K3" s="77"/>
      <c r="L3" s="77"/>
      <c r="M3" s="158"/>
      <c r="N3" s="79"/>
    </row>
    <row r="4" spans="1:22" x14ac:dyDescent="0.2">
      <c r="A4" s="194" t="s">
        <v>113</v>
      </c>
      <c r="B4" s="158" t="s">
        <v>261</v>
      </c>
      <c r="J4" s="194" t="s">
        <v>92</v>
      </c>
      <c r="K4" s="77"/>
      <c r="L4" s="77"/>
      <c r="M4" s="389" t="s">
        <v>263</v>
      </c>
      <c r="N4" s="330"/>
    </row>
    <row r="5" spans="1:22" x14ac:dyDescent="0.2">
      <c r="A5" s="75"/>
      <c r="B5" s="75"/>
    </row>
    <row r="6" spans="1:22" x14ac:dyDescent="0.2">
      <c r="A6" s="75" t="s">
        <v>1</v>
      </c>
      <c r="B6" s="389">
        <v>2012</v>
      </c>
    </row>
    <row r="8" spans="1:22" s="68" customFormat="1" ht="38.25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86" t="s">
        <v>12</v>
      </c>
      <c r="H8" s="186" t="s">
        <v>13</v>
      </c>
      <c r="I8" s="186" t="s">
        <v>108</v>
      </c>
      <c r="J8" s="186" t="s">
        <v>15</v>
      </c>
      <c r="K8" s="170" t="s">
        <v>111</v>
      </c>
      <c r="L8" s="187" t="s">
        <v>110</v>
      </c>
      <c r="M8" s="187" t="s">
        <v>109</v>
      </c>
      <c r="N8" s="187" t="s">
        <v>112</v>
      </c>
      <c r="O8" s="168" t="s">
        <v>101</v>
      </c>
      <c r="P8" s="196"/>
      <c r="Q8" s="196"/>
      <c r="R8" s="196"/>
      <c r="S8" s="196"/>
      <c r="T8" s="196"/>
      <c r="U8" s="196"/>
      <c r="V8" s="196"/>
    </row>
    <row r="9" spans="1:22" ht="13.7" customHeight="1" x14ac:dyDescent="0.2">
      <c r="A9" s="309" t="s">
        <v>262</v>
      </c>
      <c r="B9" s="310">
        <v>41274</v>
      </c>
      <c r="C9" s="311">
        <v>2012</v>
      </c>
      <c r="D9" s="328">
        <v>10</v>
      </c>
      <c r="E9" s="311">
        <f>+C9+D9-1</f>
        <v>2021</v>
      </c>
      <c r="F9" s="329">
        <f>1/D9</f>
        <v>0.1</v>
      </c>
      <c r="G9" s="313"/>
      <c r="H9" s="331">
        <v>15493.24</v>
      </c>
      <c r="I9" s="314">
        <f>+$B$6-C9+1</f>
        <v>1</v>
      </c>
      <c r="J9" s="314">
        <f>IF(E9&gt;=$B$6,+D9-I9,0)</f>
        <v>9</v>
      </c>
      <c r="K9" s="318">
        <f>+H9*F9</f>
        <v>1549.3240000000001</v>
      </c>
      <c r="L9" s="318">
        <f>IF(E9&gt;=$B$6,+K9,0)</f>
        <v>1549.3240000000001</v>
      </c>
      <c r="M9" s="318">
        <f>+K9*I9</f>
        <v>1549.3240000000001</v>
      </c>
      <c r="N9" s="318">
        <f>+H9-M9</f>
        <v>13943.915999999999</v>
      </c>
      <c r="O9" s="310"/>
    </row>
    <row r="10" spans="1:22" ht="13.7" customHeight="1" x14ac:dyDescent="0.2">
      <c r="A10" s="309"/>
      <c r="B10" s="310"/>
      <c r="C10" s="311"/>
      <c r="D10" s="311"/>
      <c r="E10" s="311"/>
      <c r="F10" s="312"/>
      <c r="G10" s="313"/>
      <c r="H10" s="324"/>
      <c r="I10" s="314"/>
      <c r="J10" s="314"/>
      <c r="K10" s="324"/>
      <c r="L10" s="324"/>
      <c r="M10" s="324"/>
      <c r="N10" s="324"/>
      <c r="O10" s="310"/>
    </row>
    <row r="11" spans="1:22" x14ac:dyDescent="0.2">
      <c r="A11" s="309"/>
      <c r="B11" s="310"/>
      <c r="C11" s="311"/>
      <c r="D11" s="311"/>
      <c r="E11" s="311"/>
      <c r="F11" s="311"/>
      <c r="G11" s="315"/>
      <c r="H11" s="324"/>
      <c r="I11" s="316"/>
      <c r="J11" s="314"/>
      <c r="K11" s="324"/>
      <c r="L11" s="324"/>
      <c r="M11" s="324"/>
      <c r="N11" s="324"/>
      <c r="O11" s="310"/>
    </row>
    <row r="12" spans="1:22" x14ac:dyDescent="0.2">
      <c r="A12" s="325" t="s">
        <v>100</v>
      </c>
      <c r="B12" s="311"/>
      <c r="C12" s="311"/>
      <c r="D12" s="311"/>
      <c r="E12" s="311"/>
      <c r="F12" s="311"/>
      <c r="G12" s="315"/>
      <c r="H12" s="223">
        <f>SUM(H9:H11)</f>
        <v>15493.24</v>
      </c>
      <c r="I12" s="241"/>
      <c r="J12" s="261"/>
      <c r="K12" s="223"/>
      <c r="L12" s="230">
        <f>SUM(L9:L11)</f>
        <v>1549.3240000000001</v>
      </c>
      <c r="M12" s="223">
        <f>SUM(M9:M11)</f>
        <v>1549.3240000000001</v>
      </c>
      <c r="N12" s="223">
        <f>SUM(N9:N11)</f>
        <v>13943.915999999999</v>
      </c>
      <c r="O12" s="311"/>
    </row>
    <row r="13" spans="1:22" x14ac:dyDescent="0.2">
      <c r="H13" s="319"/>
      <c r="I13" s="320"/>
      <c r="J13" s="319"/>
      <c r="K13" s="319"/>
      <c r="L13" s="319"/>
      <c r="M13" s="319"/>
      <c r="N13" s="319"/>
    </row>
    <row r="14" spans="1:22" x14ac:dyDescent="0.2">
      <c r="G14" s="100"/>
      <c r="H14" s="225"/>
      <c r="I14" s="320"/>
      <c r="J14" s="248"/>
      <c r="K14" s="248"/>
      <c r="L14" s="321"/>
      <c r="M14" s="321">
        <v>0</v>
      </c>
      <c r="N14" s="321"/>
    </row>
    <row r="15" spans="1:22" x14ac:dyDescent="0.2">
      <c r="G15" s="247"/>
      <c r="H15" s="322"/>
      <c r="I15" s="320"/>
      <c r="J15" s="323"/>
      <c r="K15" s="323"/>
      <c r="L15" s="321"/>
      <c r="M15" s="321"/>
      <c r="N15" s="321"/>
    </row>
    <row r="16" spans="1:22" x14ac:dyDescent="0.2">
      <c r="G16" s="247"/>
      <c r="H16" s="322"/>
      <c r="I16" s="320"/>
      <c r="J16" s="323"/>
      <c r="K16" s="323"/>
      <c r="L16" s="248"/>
      <c r="M16" s="424">
        <f>+M12-M14</f>
        <v>1549.3240000000001</v>
      </c>
      <c r="N16" s="248"/>
    </row>
    <row r="17" spans="7:14" x14ac:dyDescent="0.2">
      <c r="J17" s="308"/>
      <c r="K17" s="308"/>
      <c r="L17" s="294"/>
      <c r="M17" s="294"/>
      <c r="N17" s="294"/>
    </row>
    <row r="18" spans="7:14" x14ac:dyDescent="0.2">
      <c r="J18" s="308"/>
      <c r="K18" s="308"/>
      <c r="L18" s="292"/>
      <c r="M18" s="292"/>
      <c r="N18" s="292"/>
    </row>
    <row r="19" spans="7:14" x14ac:dyDescent="0.2">
      <c r="J19" s="308"/>
      <c r="K19" s="308"/>
      <c r="L19" s="198"/>
      <c r="M19" s="295"/>
      <c r="N19" s="292"/>
    </row>
    <row r="20" spans="7:14" x14ac:dyDescent="0.2">
      <c r="G20" s="378"/>
      <c r="H20" s="214"/>
      <c r="I20" s="380"/>
      <c r="J20" s="308"/>
      <c r="K20" s="308"/>
      <c r="L20" s="121"/>
      <c r="M20" s="202"/>
      <c r="N20" s="292"/>
    </row>
    <row r="21" spans="7:14" x14ac:dyDescent="0.2">
      <c r="J21" s="308"/>
      <c r="K21" s="308"/>
      <c r="L21" s="201"/>
      <c r="M21" s="202"/>
      <c r="N21" s="292"/>
    </row>
    <row r="22" spans="7:14" x14ac:dyDescent="0.2">
      <c r="J22" s="308"/>
      <c r="K22" s="308"/>
      <c r="L22" s="121"/>
      <c r="M22" s="202"/>
      <c r="N22" s="292"/>
    </row>
    <row r="23" spans="7:14" x14ac:dyDescent="0.2">
      <c r="J23" s="308"/>
      <c r="K23" s="308"/>
      <c r="L23" s="201"/>
      <c r="M23" s="202"/>
      <c r="N23" s="292"/>
    </row>
    <row r="24" spans="7:14" x14ac:dyDescent="0.2">
      <c r="J24" s="308"/>
      <c r="K24" s="308"/>
      <c r="L24" s="121"/>
      <c r="M24" s="202"/>
      <c r="N24" s="292"/>
    </row>
    <row r="25" spans="7:14" x14ac:dyDescent="0.2">
      <c r="J25" s="308"/>
      <c r="K25" s="308"/>
      <c r="L25" s="202"/>
      <c r="M25" s="202"/>
      <c r="N25" s="292"/>
    </row>
    <row r="26" spans="7:14" x14ac:dyDescent="0.2">
      <c r="J26" s="308"/>
      <c r="K26" s="308"/>
      <c r="L26" s="308"/>
      <c r="M26" s="308"/>
      <c r="N26" s="308"/>
    </row>
    <row r="27" spans="7:14" x14ac:dyDescent="0.2">
      <c r="J27" s="308"/>
      <c r="K27" s="308"/>
      <c r="L27" s="308"/>
      <c r="M27" s="308"/>
      <c r="N27" s="308"/>
    </row>
    <row r="28" spans="7:14" x14ac:dyDescent="0.2">
      <c r="J28" s="308"/>
      <c r="K28" s="308"/>
      <c r="L28" s="308"/>
      <c r="M28" s="308"/>
      <c r="N28" s="308"/>
    </row>
    <row r="29" spans="7:14" x14ac:dyDescent="0.2">
      <c r="J29" s="308"/>
      <c r="K29" s="308"/>
      <c r="L29" s="308"/>
      <c r="M29" s="308"/>
      <c r="N29" s="308"/>
    </row>
    <row r="30" spans="7:14" x14ac:dyDescent="0.2">
      <c r="J30" s="308"/>
      <c r="K30" s="308"/>
      <c r="L30" s="308"/>
      <c r="M30" s="308"/>
      <c r="N30" s="308"/>
    </row>
    <row r="31" spans="7:14" x14ac:dyDescent="0.2">
      <c r="J31" s="308"/>
      <c r="K31" s="308"/>
      <c r="L31" s="308"/>
      <c r="M31" s="308"/>
      <c r="N31" s="308"/>
    </row>
    <row r="32" spans="7:14" x14ac:dyDescent="0.2">
      <c r="J32" s="308"/>
      <c r="K32" s="308"/>
      <c r="L32" s="308"/>
      <c r="M32" s="308"/>
      <c r="N32" s="308"/>
    </row>
    <row r="33" spans="10:14" x14ac:dyDescent="0.2">
      <c r="J33" s="308"/>
      <c r="K33" s="308"/>
      <c r="L33" s="308"/>
      <c r="M33" s="308"/>
      <c r="N33" s="308"/>
    </row>
    <row r="34" spans="10:14" x14ac:dyDescent="0.2">
      <c r="J34" s="308"/>
      <c r="K34" s="308"/>
      <c r="L34" s="308"/>
      <c r="M34" s="308"/>
      <c r="N34" s="308"/>
    </row>
    <row r="35" spans="10:14" x14ac:dyDescent="0.2">
      <c r="J35" s="308"/>
      <c r="K35" s="308"/>
      <c r="L35" s="308"/>
      <c r="M35" s="308"/>
      <c r="N35" s="308"/>
    </row>
    <row r="36" spans="10:14" x14ac:dyDescent="0.2">
      <c r="J36" s="308"/>
      <c r="K36" s="308"/>
      <c r="L36" s="308"/>
      <c r="M36" s="308"/>
      <c r="N36" s="308"/>
    </row>
    <row r="37" spans="10:14" x14ac:dyDescent="0.2">
      <c r="J37" s="308"/>
      <c r="K37" s="308"/>
      <c r="L37" s="308"/>
      <c r="M37" s="308"/>
      <c r="N37" s="308"/>
    </row>
    <row r="38" spans="10:14" x14ac:dyDescent="0.2">
      <c r="J38" s="308"/>
      <c r="K38" s="308"/>
      <c r="L38" s="308"/>
      <c r="M38" s="308"/>
      <c r="N38" s="308"/>
    </row>
    <row r="39" spans="10:14" x14ac:dyDescent="0.2">
      <c r="J39" s="308"/>
      <c r="K39" s="308"/>
      <c r="L39" s="308"/>
      <c r="M39" s="308"/>
      <c r="N39" s="308"/>
    </row>
    <row r="40" spans="10:14" x14ac:dyDescent="0.2">
      <c r="J40" s="308"/>
      <c r="K40" s="308"/>
      <c r="L40" s="308"/>
      <c r="M40" s="308"/>
      <c r="N40" s="308"/>
    </row>
    <row r="41" spans="10:14" x14ac:dyDescent="0.2">
      <c r="J41" s="308"/>
      <c r="K41" s="308"/>
      <c r="L41" s="308"/>
      <c r="M41" s="308"/>
      <c r="N41" s="308"/>
    </row>
    <row r="42" spans="10:14" x14ac:dyDescent="0.2">
      <c r="J42" s="308"/>
      <c r="K42" s="308"/>
      <c r="L42" s="308"/>
      <c r="M42" s="308"/>
      <c r="N42" s="308"/>
    </row>
    <row r="43" spans="10:14" x14ac:dyDescent="0.2">
      <c r="J43" s="308"/>
      <c r="K43" s="308"/>
      <c r="L43" s="308"/>
      <c r="M43" s="308"/>
      <c r="N43" s="308"/>
    </row>
    <row r="44" spans="10:14" x14ac:dyDescent="0.2">
      <c r="J44" s="308"/>
      <c r="K44" s="308"/>
      <c r="L44" s="308"/>
      <c r="M44" s="308"/>
      <c r="N44" s="308"/>
    </row>
    <row r="45" spans="10:14" x14ac:dyDescent="0.2">
      <c r="J45" s="308"/>
      <c r="K45" s="308"/>
      <c r="L45" s="308"/>
      <c r="M45" s="308"/>
      <c r="N45" s="308"/>
    </row>
    <row r="46" spans="10:14" x14ac:dyDescent="0.2">
      <c r="J46" s="308"/>
      <c r="K46" s="308"/>
      <c r="L46" s="308"/>
      <c r="M46" s="308"/>
      <c r="N46" s="308"/>
    </row>
    <row r="47" spans="10:14" x14ac:dyDescent="0.2">
      <c r="J47" s="308"/>
      <c r="K47" s="308"/>
      <c r="L47" s="308"/>
      <c r="M47" s="308"/>
      <c r="N47" s="308"/>
    </row>
  </sheetData>
  <printOptions horizontalCentered="1"/>
  <pageMargins left="0.39370078740157483" right="0.39370078740157483" top="0.39370078740157483" bottom="0.78740157480314965" header="0" footer="0.59055118110236227"/>
  <pageSetup scale="79" orientation="landscape" r:id="rId1"/>
  <headerFooter>
    <oddFooter>&amp;L&amp;"Calibri,Regular"&amp;D&amp;C&amp;"Calibri,Regular"Page &amp;P of &amp;N&amp;R&amp;"Calibri,Regular"&amp;F
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zoomScaleNormal="100" workbookViewId="0">
      <pane xSplit="1" ySplit="8" topLeftCell="F9" activePane="bottomRight" state="frozen"/>
      <selection activeCell="F11" sqref="F11"/>
      <selection pane="topRight" activeCell="F11" sqref="F11"/>
      <selection pane="bottomLeft" activeCell="F11" sqref="F11"/>
      <selection pane="bottomRight" activeCell="H13" sqref="H13:J17"/>
    </sheetView>
  </sheetViews>
  <sheetFormatPr defaultColWidth="9.140625" defaultRowHeight="12.75" x14ac:dyDescent="0.2"/>
  <cols>
    <col min="1" max="1" width="32.85546875" style="78" customWidth="1"/>
    <col min="2" max="2" width="26.5703125" style="79" customWidth="1"/>
    <col min="3" max="3" width="10.42578125" style="79" bestFit="1" customWidth="1"/>
    <col min="4" max="4" width="9" style="79" customWidth="1"/>
    <col min="5" max="5" width="7" style="79" customWidth="1"/>
    <col min="6" max="6" width="10.7109375" style="79" customWidth="1"/>
    <col min="7" max="7" width="9.140625" style="79"/>
    <col min="8" max="8" width="20" style="80" customWidth="1"/>
    <col min="9" max="9" width="13.140625" style="77" bestFit="1" customWidth="1"/>
    <col min="10" max="10" width="11" style="77" customWidth="1"/>
    <col min="11" max="11" width="9.7109375" style="79" bestFit="1" customWidth="1"/>
    <col min="12" max="12" width="10" style="77" customWidth="1"/>
    <col min="13" max="13" width="10" style="77" bestFit="1" customWidth="1"/>
    <col min="14" max="14" width="11.85546875" style="77" customWidth="1"/>
    <col min="15" max="15" width="11.5703125" style="77" bestFit="1" customWidth="1"/>
    <col min="16" max="16" width="11.85546875" style="77" bestFit="1" customWidth="1"/>
    <col min="17" max="17" width="10.5703125" style="79" customWidth="1"/>
    <col min="18" max="20" width="9.140625" style="77"/>
    <col min="21" max="21" width="11.7109375" style="77" bestFit="1" customWidth="1"/>
    <col min="22" max="16384" width="9.140625" style="77"/>
  </cols>
  <sheetData>
    <row r="1" spans="1:25" x14ac:dyDescent="0.2">
      <c r="A1" s="147" t="s">
        <v>102</v>
      </c>
      <c r="B1" s="76"/>
    </row>
    <row r="2" spans="1:25" x14ac:dyDescent="0.2">
      <c r="A2" s="81" t="s">
        <v>0</v>
      </c>
      <c r="B2" s="76"/>
      <c r="K2" s="97" t="s">
        <v>103</v>
      </c>
      <c r="N2" s="371" t="s">
        <v>104</v>
      </c>
      <c r="O2" s="79"/>
      <c r="P2" s="301"/>
    </row>
    <row r="3" spans="1:25" x14ac:dyDescent="0.2">
      <c r="A3" s="81" t="s">
        <v>264</v>
      </c>
      <c r="B3" s="76"/>
      <c r="K3" s="97"/>
      <c r="N3" s="371"/>
      <c r="O3" s="79"/>
      <c r="P3" s="301"/>
    </row>
    <row r="4" spans="1:25" x14ac:dyDescent="0.2">
      <c r="A4" s="194" t="s">
        <v>113</v>
      </c>
      <c r="B4" s="371" t="s">
        <v>265</v>
      </c>
      <c r="K4" s="194" t="s">
        <v>92</v>
      </c>
      <c r="N4" s="371" t="s">
        <v>266</v>
      </c>
      <c r="O4" s="111"/>
      <c r="P4" s="301"/>
    </row>
    <row r="5" spans="1:25" x14ac:dyDescent="0.2">
      <c r="A5" s="81"/>
      <c r="B5" s="76"/>
    </row>
    <row r="6" spans="1:25" x14ac:dyDescent="0.2">
      <c r="A6" s="81" t="s">
        <v>1</v>
      </c>
      <c r="B6" s="188">
        <v>2012</v>
      </c>
    </row>
    <row r="8" spans="1:25" s="81" customFormat="1" ht="38.25" x14ac:dyDescent="0.2">
      <c r="A8" s="186" t="s">
        <v>5</v>
      </c>
      <c r="B8" s="186" t="s">
        <v>6</v>
      </c>
      <c r="C8" s="186" t="s">
        <v>7</v>
      </c>
      <c r="D8" s="168" t="s">
        <v>106</v>
      </c>
      <c r="E8" s="186" t="s">
        <v>9</v>
      </c>
      <c r="F8" s="168" t="s">
        <v>107</v>
      </c>
      <c r="G8" s="168" t="s">
        <v>105</v>
      </c>
      <c r="H8" s="186" t="s">
        <v>12</v>
      </c>
      <c r="I8" s="186" t="s">
        <v>13</v>
      </c>
      <c r="J8" s="186" t="s">
        <v>291</v>
      </c>
      <c r="K8" s="186" t="s">
        <v>108</v>
      </c>
      <c r="L8" s="186" t="s">
        <v>15</v>
      </c>
      <c r="M8" s="170" t="s">
        <v>111</v>
      </c>
      <c r="N8" s="187" t="s">
        <v>110</v>
      </c>
      <c r="O8" s="187" t="s">
        <v>109</v>
      </c>
      <c r="P8" s="187" t="s">
        <v>112</v>
      </c>
      <c r="Q8" s="168" t="s">
        <v>101</v>
      </c>
      <c r="R8" s="83"/>
      <c r="S8" s="83"/>
      <c r="T8" s="83"/>
      <c r="U8" s="83"/>
      <c r="V8" s="83"/>
      <c r="W8" s="83"/>
      <c r="X8" s="83"/>
      <c r="Y8" s="83"/>
    </row>
    <row r="9" spans="1:25" ht="13.7" customHeight="1" x14ac:dyDescent="0.2">
      <c r="A9" s="204" t="s">
        <v>292</v>
      </c>
      <c r="B9" s="173"/>
      <c r="C9" s="205">
        <v>40909</v>
      </c>
      <c r="D9" s="173">
        <v>2012</v>
      </c>
      <c r="E9" s="173">
        <v>10</v>
      </c>
      <c r="F9" s="173">
        <f t="shared" ref="F9" si="0">+D9+E9-1</f>
        <v>2021</v>
      </c>
      <c r="G9" s="427">
        <v>0.1</v>
      </c>
      <c r="H9" s="172"/>
      <c r="I9" s="221">
        <v>71936.289999999994</v>
      </c>
      <c r="J9" s="220">
        <f>+I9</f>
        <v>71936.289999999994</v>
      </c>
      <c r="K9" s="314">
        <f>+B6-D9+1</f>
        <v>1</v>
      </c>
      <c r="L9" s="314">
        <v>9</v>
      </c>
      <c r="M9" s="318">
        <f>+J9*G9</f>
        <v>7193.6289999999999</v>
      </c>
      <c r="N9" s="318">
        <f>+M9</f>
        <v>7193.6289999999999</v>
      </c>
      <c r="O9" s="318">
        <f>+M9*K9</f>
        <v>7193.6289999999999</v>
      </c>
      <c r="P9" s="318">
        <f>+J9-O9</f>
        <v>64742.660999999993</v>
      </c>
      <c r="Q9" s="334"/>
    </row>
    <row r="10" spans="1:25" ht="13.7" customHeight="1" x14ac:dyDescent="0.2">
      <c r="A10" s="215"/>
      <c r="B10" s="173"/>
      <c r="C10" s="332"/>
      <c r="D10" s="173"/>
      <c r="E10" s="173"/>
      <c r="F10" s="173"/>
      <c r="G10" s="175"/>
      <c r="H10" s="172"/>
      <c r="I10" s="221"/>
      <c r="J10" s="221"/>
      <c r="K10" s="176"/>
      <c r="L10" s="209"/>
      <c r="M10" s="221"/>
      <c r="N10" s="221"/>
      <c r="O10" s="221"/>
      <c r="P10" s="221"/>
      <c r="Q10" s="334"/>
    </row>
    <row r="11" spans="1:25" s="81" customFormat="1" x14ac:dyDescent="0.2">
      <c r="A11" s="149"/>
      <c r="B11" s="212"/>
      <c r="C11" s="212"/>
      <c r="D11" s="212"/>
      <c r="E11" s="212"/>
      <c r="F11" s="212"/>
      <c r="G11" s="212"/>
      <c r="H11" s="82"/>
      <c r="I11" s="223">
        <f>SUM(I9:I10)</f>
        <v>71936.289999999994</v>
      </c>
      <c r="J11" s="223">
        <f>SUM(J9:J10)</f>
        <v>71936.289999999994</v>
      </c>
      <c r="K11" s="224"/>
      <c r="L11" s="223"/>
      <c r="M11" s="223"/>
      <c r="N11" s="335">
        <f>SUM(N9:N10)</f>
        <v>7193.6289999999999</v>
      </c>
      <c r="O11" s="335">
        <f>SUM(O9:O10)</f>
        <v>7193.6289999999999</v>
      </c>
      <c r="P11" s="230">
        <f>+I11-O11</f>
        <v>64742.660999999993</v>
      </c>
      <c r="Q11" s="205"/>
      <c r="S11" s="420">
        <f>SUM(S9:S10)</f>
        <v>0</v>
      </c>
      <c r="U11" s="419">
        <f>SUM(U9:U10)</f>
        <v>0</v>
      </c>
    </row>
    <row r="12" spans="1:25" s="81" customFormat="1" x14ac:dyDescent="0.2">
      <c r="A12" s="93"/>
      <c r="B12" s="92"/>
      <c r="C12" s="92"/>
      <c r="D12" s="92"/>
      <c r="E12" s="92"/>
      <c r="F12" s="92"/>
      <c r="G12" s="92"/>
      <c r="H12" s="83"/>
      <c r="I12" s="225"/>
      <c r="J12" s="225"/>
      <c r="K12" s="258"/>
      <c r="L12" s="250"/>
      <c r="M12" s="250"/>
      <c r="N12" s="250"/>
      <c r="O12" s="250"/>
      <c r="P12" s="250"/>
      <c r="Q12" s="197"/>
    </row>
    <row r="13" spans="1:25" s="81" customFormat="1" x14ac:dyDescent="0.2">
      <c r="A13" s="93"/>
      <c r="B13" s="92"/>
      <c r="C13" s="92"/>
      <c r="D13" s="92"/>
      <c r="E13" s="92"/>
      <c r="F13" s="92"/>
      <c r="G13" s="92"/>
      <c r="I13" s="100"/>
      <c r="J13" s="225"/>
      <c r="K13" s="258"/>
      <c r="L13" s="250"/>
      <c r="M13" s="250"/>
      <c r="N13" s="225"/>
      <c r="O13" s="225">
        <v>0</v>
      </c>
      <c r="P13" s="225"/>
      <c r="Q13" s="197"/>
    </row>
    <row r="14" spans="1:25" s="81" customFormat="1" x14ac:dyDescent="0.2">
      <c r="A14" s="93"/>
      <c r="B14" s="92"/>
      <c r="C14" s="92"/>
      <c r="D14" s="92"/>
      <c r="E14" s="92"/>
      <c r="F14" s="92"/>
      <c r="G14" s="92"/>
      <c r="H14" s="247"/>
      <c r="I14" s="250"/>
      <c r="J14" s="250"/>
      <c r="K14" s="258"/>
      <c r="L14" s="250"/>
      <c r="M14" s="250"/>
      <c r="N14" s="225"/>
      <c r="O14" s="225"/>
      <c r="P14" s="225"/>
      <c r="Q14" s="197"/>
    </row>
    <row r="15" spans="1:25" s="81" customFormat="1" x14ac:dyDescent="0.2">
      <c r="A15" s="93"/>
      <c r="B15" s="92"/>
      <c r="C15" s="92"/>
      <c r="D15" s="92"/>
      <c r="E15" s="92"/>
      <c r="F15" s="92"/>
      <c r="G15" s="92"/>
      <c r="H15" s="247"/>
      <c r="I15" s="247"/>
      <c r="J15" s="225"/>
      <c r="K15" s="258"/>
      <c r="L15" s="250"/>
      <c r="M15" s="250"/>
      <c r="N15" s="225"/>
      <c r="O15" s="377">
        <f>+O11-O13</f>
        <v>7193.6289999999999</v>
      </c>
      <c r="P15" s="225"/>
      <c r="Q15" s="197"/>
    </row>
    <row r="16" spans="1:25" s="81" customFormat="1" x14ac:dyDescent="0.2">
      <c r="A16" s="93"/>
      <c r="B16" s="92"/>
      <c r="C16" s="92"/>
      <c r="D16" s="92"/>
      <c r="E16" s="92"/>
      <c r="F16" s="92"/>
      <c r="G16" s="92"/>
      <c r="H16" s="302"/>
      <c r="I16" s="96"/>
      <c r="J16" s="96"/>
      <c r="K16" s="95"/>
      <c r="N16" s="96"/>
      <c r="O16" s="96"/>
      <c r="P16" s="96"/>
      <c r="Q16" s="197"/>
    </row>
    <row r="17" spans="1:17" s="81" customFormat="1" x14ac:dyDescent="0.2">
      <c r="A17" s="93"/>
      <c r="B17" s="92"/>
      <c r="C17" s="92"/>
      <c r="D17" s="92"/>
      <c r="E17" s="92"/>
      <c r="F17" s="92"/>
      <c r="G17" s="92"/>
      <c r="H17" s="302"/>
      <c r="I17" s="96"/>
      <c r="J17" s="96"/>
      <c r="K17" s="95"/>
      <c r="N17" s="96"/>
      <c r="O17" s="96"/>
      <c r="P17" s="96"/>
      <c r="Q17" s="197"/>
    </row>
    <row r="18" spans="1:17" s="81" customFormat="1" x14ac:dyDescent="0.2">
      <c r="A18" s="93"/>
      <c r="B18" s="92"/>
      <c r="C18" s="92"/>
      <c r="D18" s="92"/>
      <c r="E18" s="92"/>
      <c r="F18" s="92"/>
      <c r="G18" s="92"/>
      <c r="H18" s="423"/>
      <c r="I18" s="99"/>
      <c r="J18" s="99"/>
      <c r="K18" s="95"/>
      <c r="N18" s="96"/>
      <c r="O18" s="96"/>
      <c r="P18" s="96"/>
      <c r="Q18" s="197"/>
    </row>
    <row r="19" spans="1:17" s="81" customFormat="1" x14ac:dyDescent="0.2">
      <c r="A19" s="93"/>
      <c r="B19" s="92"/>
      <c r="C19" s="92"/>
      <c r="D19" s="92"/>
      <c r="E19" s="92"/>
      <c r="F19" s="92"/>
      <c r="G19" s="92"/>
      <c r="H19" s="378"/>
      <c r="I19" s="99"/>
      <c r="J19" s="99"/>
      <c r="K19" s="95"/>
      <c r="N19" s="96"/>
      <c r="O19" s="96"/>
      <c r="P19" s="96"/>
      <c r="Q19" s="197"/>
    </row>
    <row r="20" spans="1:17" s="81" customFormat="1" x14ac:dyDescent="0.2">
      <c r="A20" s="93"/>
      <c r="B20" s="92"/>
      <c r="C20" s="92"/>
      <c r="D20" s="92"/>
      <c r="E20" s="92"/>
      <c r="F20" s="92"/>
      <c r="G20" s="92"/>
      <c r="H20" s="83"/>
      <c r="I20" s="96"/>
      <c r="J20" s="96"/>
      <c r="K20" s="95"/>
      <c r="N20" s="96"/>
      <c r="O20" s="96"/>
      <c r="P20" s="96"/>
      <c r="Q20" s="197"/>
    </row>
    <row r="21" spans="1:17" x14ac:dyDescent="0.2">
      <c r="I21" s="86"/>
      <c r="J21" s="86"/>
      <c r="K21" s="90"/>
    </row>
    <row r="22" spans="1:17" x14ac:dyDescent="0.2">
      <c r="M22" s="135"/>
      <c r="N22" s="198"/>
      <c r="O22" s="199"/>
      <c r="P22" s="135"/>
    </row>
    <row r="23" spans="1:17" x14ac:dyDescent="0.2">
      <c r="M23" s="135"/>
      <c r="N23" s="333"/>
      <c r="O23" s="200"/>
      <c r="P23" s="135"/>
    </row>
    <row r="24" spans="1:17" x14ac:dyDescent="0.2">
      <c r="M24" s="135"/>
      <c r="N24" s="202"/>
      <c r="O24" s="200"/>
      <c r="P24" s="135"/>
    </row>
    <row r="25" spans="1:17" x14ac:dyDescent="0.2">
      <c r="M25" s="135"/>
      <c r="N25" s="333"/>
      <c r="O25" s="200"/>
      <c r="P25" s="135"/>
    </row>
    <row r="26" spans="1:17" x14ac:dyDescent="0.2">
      <c r="M26" s="135"/>
      <c r="N26" s="202"/>
      <c r="O26" s="200"/>
      <c r="P26" s="135"/>
    </row>
    <row r="27" spans="1:17" x14ac:dyDescent="0.2">
      <c r="M27" s="135"/>
      <c r="N27" s="333"/>
      <c r="O27" s="200"/>
      <c r="P27" s="135"/>
    </row>
    <row r="28" spans="1:17" x14ac:dyDescent="0.2">
      <c r="M28" s="135"/>
      <c r="N28" s="202"/>
      <c r="O28" s="202"/>
      <c r="P28" s="135"/>
    </row>
    <row r="29" spans="1:17" x14ac:dyDescent="0.2">
      <c r="M29" s="135"/>
      <c r="N29" s="333"/>
      <c r="O29" s="333"/>
      <c r="P29" s="135"/>
    </row>
    <row r="30" spans="1:17" x14ac:dyDescent="0.2">
      <c r="N30" s="104"/>
      <c r="O30" s="104"/>
    </row>
  </sheetData>
  <phoneticPr fontId="0" type="noConversion"/>
  <printOptions horizontalCentered="1"/>
  <pageMargins left="0.39370078740157483" right="0.39370078740157483" top="0.39370078740157483" bottom="0.78740157480314965" header="0" footer="0.59055118110236227"/>
  <pageSetup scale="40" orientation="landscape" r:id="rId1"/>
  <headerFooter>
    <oddFooter>&amp;L&amp;"Calibri,Regular"&amp;D&amp;C&amp;"Calibri,Regular"Page &amp;P of &amp;N&amp;R&amp;"Calibri,Regular"&amp;F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zoomScaleNormal="100" workbookViewId="0">
      <selection activeCell="A15" sqref="A15:G18"/>
    </sheetView>
  </sheetViews>
  <sheetFormatPr defaultColWidth="9.140625" defaultRowHeight="12.75" x14ac:dyDescent="0.2"/>
  <cols>
    <col min="1" max="1" width="24.42578125" style="165" customWidth="1"/>
    <col min="2" max="2" width="9.140625" style="165" customWidth="1"/>
    <col min="3" max="3" width="8.5703125" style="165" bestFit="1" customWidth="1"/>
    <col min="4" max="4" width="10" style="165" customWidth="1"/>
    <col min="5" max="5" width="9.140625" style="165" customWidth="1"/>
    <col min="6" max="6" width="10.5703125" style="166" customWidth="1"/>
    <col min="7" max="7" width="11" style="111" bestFit="1" customWidth="1"/>
    <col min="8" max="8" width="10.28515625" style="111" bestFit="1" customWidth="1"/>
    <col min="9" max="9" width="11.28515625" style="154" customWidth="1"/>
    <col min="10" max="10" width="11.7109375" style="154" customWidth="1"/>
    <col min="11" max="11" width="10.85546875" style="154" customWidth="1"/>
    <col min="12" max="12" width="11.5703125" style="154" bestFit="1" customWidth="1"/>
    <col min="13" max="13" width="8.42578125" style="111" bestFit="1" customWidth="1"/>
    <col min="14" max="16384" width="9.140625" style="112"/>
  </cols>
  <sheetData>
    <row r="1" spans="1:21" ht="13.7" customHeight="1" x14ac:dyDescent="0.2">
      <c r="A1" s="158" t="s">
        <v>102</v>
      </c>
      <c r="B1" s="158"/>
      <c r="C1" s="158"/>
      <c r="D1" s="158"/>
      <c r="E1" s="158"/>
    </row>
    <row r="2" spans="1:21" ht="13.7" customHeight="1" x14ac:dyDescent="0.2">
      <c r="A2" s="192" t="s">
        <v>0</v>
      </c>
      <c r="B2" s="194"/>
      <c r="C2" s="194"/>
      <c r="D2" s="194"/>
      <c r="E2" s="194"/>
      <c r="I2" s="112"/>
      <c r="J2" s="97" t="s">
        <v>103</v>
      </c>
      <c r="M2" s="155" t="s">
        <v>23</v>
      </c>
    </row>
    <row r="3" spans="1:21" ht="13.7" customHeight="1" x14ac:dyDescent="0.2">
      <c r="A3" s="76" t="s">
        <v>115</v>
      </c>
      <c r="B3" s="76"/>
      <c r="C3" s="76"/>
      <c r="D3" s="76"/>
      <c r="E3" s="76"/>
      <c r="I3" s="112"/>
      <c r="J3" s="97"/>
      <c r="M3" s="155"/>
    </row>
    <row r="4" spans="1:21" ht="13.7" customHeight="1" x14ac:dyDescent="0.2">
      <c r="A4" s="192" t="s">
        <v>113</v>
      </c>
      <c r="B4" s="371" t="s">
        <v>116</v>
      </c>
      <c r="C4" s="155"/>
      <c r="D4" s="155"/>
      <c r="E4" s="155"/>
      <c r="I4" s="112"/>
      <c r="J4" s="97" t="s">
        <v>92</v>
      </c>
      <c r="L4" s="97"/>
      <c r="M4" s="155" t="s">
        <v>23</v>
      </c>
    </row>
    <row r="5" spans="1:21" x14ac:dyDescent="0.2">
      <c r="A5" s="192"/>
      <c r="B5" s="111"/>
      <c r="C5" s="111"/>
      <c r="D5" s="111"/>
      <c r="E5" s="111"/>
    </row>
    <row r="6" spans="1:21" x14ac:dyDescent="0.2">
      <c r="A6" s="192" t="s">
        <v>1</v>
      </c>
      <c r="B6" s="188">
        <v>2012</v>
      </c>
      <c r="C6" s="194"/>
      <c r="D6" s="194"/>
      <c r="E6" s="194"/>
    </row>
    <row r="8" spans="1:21" s="97" customFormat="1" ht="51" x14ac:dyDescent="0.2">
      <c r="A8" s="168" t="s">
        <v>5</v>
      </c>
      <c r="B8" s="168" t="s">
        <v>106</v>
      </c>
      <c r="C8" s="186" t="s">
        <v>9</v>
      </c>
      <c r="D8" s="168" t="s">
        <v>107</v>
      </c>
      <c r="E8" s="168" t="s">
        <v>105</v>
      </c>
      <c r="F8" s="169" t="s">
        <v>13</v>
      </c>
      <c r="G8" s="186" t="s">
        <v>108</v>
      </c>
      <c r="H8" s="168" t="s">
        <v>15</v>
      </c>
      <c r="I8" s="170" t="s">
        <v>111</v>
      </c>
      <c r="J8" s="187" t="s">
        <v>110</v>
      </c>
      <c r="K8" s="187" t="s">
        <v>109</v>
      </c>
      <c r="L8" s="187" t="s">
        <v>112</v>
      </c>
      <c r="M8" s="168" t="s">
        <v>101</v>
      </c>
      <c r="N8" s="123"/>
      <c r="O8" s="123"/>
      <c r="P8" s="123"/>
      <c r="Q8" s="123"/>
      <c r="R8" s="123"/>
      <c r="S8" s="123"/>
      <c r="T8" s="123"/>
      <c r="U8" s="123"/>
    </row>
    <row r="9" spans="1:21" ht="13.7" customHeight="1" x14ac:dyDescent="0.2">
      <c r="A9" s="174" t="s">
        <v>117</v>
      </c>
      <c r="B9" s="172">
        <v>2000</v>
      </c>
      <c r="C9" s="172" t="s">
        <v>245</v>
      </c>
      <c r="D9" s="172" t="s">
        <v>246</v>
      </c>
      <c r="E9" s="172" t="s">
        <v>246</v>
      </c>
      <c r="F9" s="190">
        <v>200</v>
      </c>
      <c r="G9" s="172" t="s">
        <v>246</v>
      </c>
      <c r="H9" s="172" t="s">
        <v>246</v>
      </c>
      <c r="I9" s="172" t="s">
        <v>246</v>
      </c>
      <c r="J9" s="172" t="s">
        <v>246</v>
      </c>
      <c r="K9" s="172" t="s">
        <v>246</v>
      </c>
      <c r="L9" s="305">
        <f>+F9</f>
        <v>200</v>
      </c>
      <c r="M9" s="173"/>
      <c r="O9" s="124"/>
      <c r="P9" s="124"/>
      <c r="Q9" s="124"/>
      <c r="R9" s="124"/>
      <c r="S9" s="124"/>
      <c r="T9" s="124"/>
      <c r="U9" s="124"/>
    </row>
    <row r="10" spans="1:21" ht="13.7" customHeight="1" x14ac:dyDescent="0.2">
      <c r="A10" s="174" t="s">
        <v>118</v>
      </c>
      <c r="B10" s="172">
        <v>2004</v>
      </c>
      <c r="C10" s="172" t="s">
        <v>245</v>
      </c>
      <c r="D10" s="172" t="s">
        <v>246</v>
      </c>
      <c r="E10" s="172" t="s">
        <v>246</v>
      </c>
      <c r="F10" s="177">
        <v>6010.63</v>
      </c>
      <c r="G10" s="172" t="s">
        <v>246</v>
      </c>
      <c r="H10" s="172" t="s">
        <v>246</v>
      </c>
      <c r="I10" s="172" t="s">
        <v>246</v>
      </c>
      <c r="J10" s="172" t="s">
        <v>246</v>
      </c>
      <c r="K10" s="172" t="s">
        <v>246</v>
      </c>
      <c r="L10" s="306">
        <f>+F10</f>
        <v>6010.63</v>
      </c>
      <c r="M10" s="173"/>
      <c r="O10" s="124"/>
      <c r="P10" s="124"/>
      <c r="Q10" s="124"/>
      <c r="R10" s="124"/>
      <c r="S10" s="124"/>
      <c r="T10" s="124"/>
      <c r="U10" s="124"/>
    </row>
    <row r="11" spans="1:21" ht="13.7" customHeight="1" x14ac:dyDescent="0.2">
      <c r="A11" s="174" t="s">
        <v>118</v>
      </c>
      <c r="B11" s="172">
        <v>2006</v>
      </c>
      <c r="C11" s="172" t="s">
        <v>245</v>
      </c>
      <c r="D11" s="172" t="s">
        <v>246</v>
      </c>
      <c r="E11" s="172" t="s">
        <v>246</v>
      </c>
      <c r="F11" s="177">
        <v>523.16</v>
      </c>
      <c r="G11" s="172" t="s">
        <v>246</v>
      </c>
      <c r="H11" s="172" t="s">
        <v>246</v>
      </c>
      <c r="I11" s="172" t="s">
        <v>246</v>
      </c>
      <c r="J11" s="172" t="s">
        <v>246</v>
      </c>
      <c r="K11" s="172" t="s">
        <v>246</v>
      </c>
      <c r="L11" s="306">
        <f>+F11</f>
        <v>523.16</v>
      </c>
      <c r="M11" s="173"/>
      <c r="O11" s="124"/>
      <c r="P11" s="124"/>
      <c r="Q11" s="124"/>
      <c r="R11" s="124"/>
      <c r="S11" s="124"/>
      <c r="T11" s="124"/>
      <c r="U11" s="124"/>
    </row>
    <row r="12" spans="1:21" x14ac:dyDescent="0.2">
      <c r="A12" s="174"/>
      <c r="B12" s="172">
        <v>2012</v>
      </c>
      <c r="C12" s="172"/>
      <c r="D12" s="172"/>
      <c r="E12" s="172"/>
      <c r="F12" s="177">
        <v>904.88</v>
      </c>
      <c r="G12" s="172" t="s">
        <v>246</v>
      </c>
      <c r="H12" s="172" t="s">
        <v>246</v>
      </c>
      <c r="I12" s="172" t="s">
        <v>246</v>
      </c>
      <c r="J12" s="172" t="s">
        <v>246</v>
      </c>
      <c r="K12" s="172" t="s">
        <v>246</v>
      </c>
      <c r="L12" s="306">
        <f>+F12</f>
        <v>904.88</v>
      </c>
      <c r="M12" s="173"/>
    </row>
    <row r="13" spans="1:21" s="97" customFormat="1" ht="13.7" customHeight="1" x14ac:dyDescent="0.2">
      <c r="A13" s="180" t="s">
        <v>100</v>
      </c>
      <c r="B13" s="180"/>
      <c r="C13" s="180"/>
      <c r="D13" s="180"/>
      <c r="E13" s="180"/>
      <c r="F13" s="184">
        <f>SUM(F9:F12)</f>
        <v>7638.67</v>
      </c>
      <c r="G13" s="181"/>
      <c r="H13" s="182"/>
      <c r="I13" s="183"/>
      <c r="J13" s="184"/>
      <c r="K13" s="184"/>
      <c r="L13" s="184">
        <f>SUM(L9:L12)</f>
        <v>7638.67</v>
      </c>
      <c r="M13" s="179"/>
    </row>
    <row r="14" spans="1:21" s="97" customFormat="1" ht="13.7" customHeight="1" x14ac:dyDescent="0.2">
      <c r="A14" s="164"/>
      <c r="B14" s="164"/>
      <c r="C14" s="164"/>
      <c r="D14" s="164"/>
      <c r="E14" s="164"/>
      <c r="F14" s="167"/>
      <c r="G14" s="98"/>
      <c r="H14" s="193"/>
      <c r="I14" s="155"/>
      <c r="J14" s="155"/>
      <c r="K14" s="155"/>
      <c r="L14" s="155"/>
      <c r="M14" s="193"/>
    </row>
    <row r="15" spans="1:21" s="97" customFormat="1" ht="13.7" customHeight="1" x14ac:dyDescent="0.2">
      <c r="A15" s="195"/>
      <c r="B15" s="195"/>
      <c r="C15" s="195"/>
      <c r="D15" s="195"/>
      <c r="E15" s="195"/>
      <c r="F15" s="185"/>
      <c r="G15" s="98"/>
      <c r="H15" s="193"/>
      <c r="I15" s="155"/>
      <c r="J15" s="155"/>
      <c r="K15" s="155"/>
      <c r="L15" s="155"/>
      <c r="M15" s="193"/>
    </row>
    <row r="16" spans="1:21" s="97" customFormat="1" x14ac:dyDescent="0.2">
      <c r="A16" s="195"/>
      <c r="B16" s="195"/>
      <c r="C16" s="195"/>
      <c r="D16" s="195"/>
      <c r="E16" s="195"/>
      <c r="F16" s="167"/>
      <c r="G16" s="98"/>
      <c r="H16" s="193"/>
      <c r="I16" s="155"/>
      <c r="J16" s="155"/>
      <c r="K16" s="155"/>
      <c r="L16" s="155" t="s">
        <v>24</v>
      </c>
      <c r="M16" s="159"/>
      <c r="N16" s="160"/>
      <c r="O16" s="160"/>
    </row>
    <row r="17" spans="1:15" s="97" customFormat="1" x14ac:dyDescent="0.2">
      <c r="A17" s="195"/>
      <c r="B17" s="195"/>
      <c r="C17" s="195"/>
      <c r="D17" s="195"/>
      <c r="E17" s="195"/>
      <c r="F17" s="185"/>
      <c r="G17" s="98"/>
      <c r="H17" s="193"/>
      <c r="I17" s="155"/>
      <c r="J17" s="155"/>
      <c r="K17" s="185"/>
      <c r="L17" s="155"/>
      <c r="M17" s="159"/>
      <c r="N17" s="160"/>
      <c r="O17" s="160"/>
    </row>
    <row r="18" spans="1:15" s="97" customFormat="1" x14ac:dyDescent="0.2">
      <c r="A18" s="122"/>
      <c r="B18" s="122"/>
      <c r="C18" s="122"/>
      <c r="D18" s="122"/>
      <c r="E18" s="122"/>
      <c r="F18" s="167"/>
      <c r="G18" s="98"/>
      <c r="H18" s="193"/>
      <c r="I18" s="155"/>
      <c r="J18" s="155"/>
      <c r="K18" s="155"/>
      <c r="L18" s="155"/>
      <c r="M18" s="159"/>
      <c r="N18" s="160"/>
      <c r="O18" s="160"/>
    </row>
    <row r="19" spans="1:15" s="97" customFormat="1" x14ac:dyDescent="0.2">
      <c r="A19" s="195"/>
      <c r="B19" s="195"/>
      <c r="C19" s="195"/>
      <c r="D19" s="195"/>
      <c r="E19" s="195"/>
      <c r="F19" s="167"/>
      <c r="G19" s="98"/>
      <c r="H19" s="193"/>
      <c r="I19" s="155"/>
      <c r="J19" s="155"/>
      <c r="K19" s="155"/>
      <c r="L19" s="155"/>
      <c r="M19" s="159"/>
      <c r="N19" s="160"/>
      <c r="O19" s="160"/>
    </row>
    <row r="20" spans="1:15" s="97" customFormat="1" x14ac:dyDescent="0.2">
      <c r="A20" s="164"/>
      <c r="B20" s="164"/>
      <c r="C20" s="164"/>
      <c r="D20" s="164"/>
      <c r="E20" s="164"/>
      <c r="F20" s="167"/>
      <c r="G20" s="98"/>
      <c r="H20" s="193"/>
      <c r="I20" s="155"/>
      <c r="J20" s="155"/>
      <c r="K20" s="155"/>
      <c r="L20" s="155"/>
      <c r="M20" s="193"/>
    </row>
    <row r="21" spans="1:15" s="97" customFormat="1" x14ac:dyDescent="0.2">
      <c r="A21" s="164"/>
      <c r="B21" s="164"/>
      <c r="C21" s="164"/>
      <c r="D21" s="164"/>
      <c r="E21" s="164"/>
      <c r="F21" s="167"/>
      <c r="G21" s="98"/>
      <c r="H21" s="193"/>
      <c r="I21" s="155"/>
      <c r="J21" s="155"/>
      <c r="K21" s="155"/>
      <c r="L21" s="155"/>
      <c r="M21" s="161"/>
    </row>
    <row r="22" spans="1:15" s="97" customFormat="1" x14ac:dyDescent="0.2">
      <c r="A22" s="164"/>
      <c r="B22" s="164"/>
      <c r="C22" s="164"/>
      <c r="D22" s="164"/>
      <c r="E22" s="164"/>
      <c r="F22" s="167"/>
      <c r="G22" s="98"/>
      <c r="H22" s="193"/>
      <c r="I22" s="155"/>
      <c r="J22" s="155"/>
      <c r="K22" s="155"/>
      <c r="L22" s="155"/>
      <c r="M22" s="153"/>
    </row>
    <row r="23" spans="1:15" x14ac:dyDescent="0.2">
      <c r="G23" s="125"/>
    </row>
    <row r="29" spans="1:15" x14ac:dyDescent="0.2">
      <c r="J29" s="156"/>
      <c r="K29" s="162"/>
    </row>
    <row r="30" spans="1:15" x14ac:dyDescent="0.2">
      <c r="J30" s="163"/>
      <c r="K30" s="157"/>
    </row>
    <row r="31" spans="1:15" x14ac:dyDescent="0.2">
      <c r="J31" s="157"/>
      <c r="K31" s="157"/>
    </row>
    <row r="32" spans="1:15" x14ac:dyDescent="0.2">
      <c r="J32" s="163"/>
      <c r="K32" s="157"/>
    </row>
    <row r="33" spans="1:13" x14ac:dyDescent="0.2">
      <c r="A33" s="112"/>
      <c r="B33" s="112"/>
      <c r="C33" s="112"/>
      <c r="D33" s="112"/>
      <c r="E33" s="112"/>
      <c r="F33" s="112"/>
      <c r="G33" s="112"/>
      <c r="H33" s="112"/>
      <c r="I33" s="112"/>
      <c r="J33" s="157"/>
      <c r="K33" s="157"/>
      <c r="L33" s="112"/>
      <c r="M33" s="112"/>
    </row>
    <row r="34" spans="1:13" x14ac:dyDescent="0.2">
      <c r="A34" s="112"/>
      <c r="B34" s="112"/>
      <c r="C34" s="112"/>
      <c r="D34" s="112"/>
      <c r="E34" s="112"/>
      <c r="F34" s="112"/>
      <c r="G34" s="112"/>
      <c r="H34" s="112"/>
      <c r="I34" s="112"/>
      <c r="J34" s="163"/>
      <c r="K34" s="157"/>
      <c r="L34" s="112"/>
      <c r="M34" s="112"/>
    </row>
    <row r="35" spans="1:13" x14ac:dyDescent="0.2">
      <c r="A35" s="112"/>
      <c r="B35" s="112"/>
      <c r="C35" s="112"/>
      <c r="D35" s="112"/>
      <c r="E35" s="112"/>
      <c r="F35" s="112"/>
      <c r="G35" s="112"/>
      <c r="H35" s="112"/>
      <c r="I35" s="112"/>
      <c r="J35" s="157"/>
      <c r="K35" s="157"/>
      <c r="L35" s="112"/>
      <c r="M35" s="112"/>
    </row>
  </sheetData>
  <printOptions horizontalCentered="1"/>
  <pageMargins left="0.39370078740157483" right="0.39370078740157483" top="0.39370078740157483" bottom="0.78740157480314965" header="0" footer="0.59055118110236227"/>
  <pageSetup scale="90" orientation="landscape" r:id="rId1"/>
  <headerFooter>
    <oddFooter>&amp;L&amp;"Calibri,Regular"&amp;D&amp;C&amp;"Calibri,Regular"Page &amp;P of &amp;N&amp;R&amp;"Calibri,Regular"&amp;F
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zoomScaleNormal="100" workbookViewId="0">
      <pane xSplit="1" ySplit="8" topLeftCell="B13" activePane="bottomRight" state="frozen"/>
      <selection activeCell="F11" sqref="F11"/>
      <selection pane="topRight" activeCell="F11" sqref="F11"/>
      <selection pane="bottomLeft" activeCell="F11" sqref="F11"/>
      <selection pane="bottomRight" activeCell="H27" sqref="H27:J29"/>
    </sheetView>
  </sheetViews>
  <sheetFormatPr defaultColWidth="9.140625" defaultRowHeight="12.75" x14ac:dyDescent="0.2"/>
  <cols>
    <col min="1" max="1" width="34.42578125" style="78" bestFit="1" customWidth="1"/>
    <col min="2" max="2" width="27" style="78" customWidth="1"/>
    <col min="3" max="3" width="10.42578125" style="79" bestFit="1" customWidth="1"/>
    <col min="4" max="4" width="9" style="79" bestFit="1" customWidth="1"/>
    <col min="5" max="5" width="6.5703125" style="79" customWidth="1"/>
    <col min="6" max="6" width="9.85546875" style="79" bestFit="1" customWidth="1"/>
    <col min="7" max="7" width="9.140625" style="79"/>
    <col min="8" max="8" width="17" style="80" customWidth="1"/>
    <col min="9" max="9" width="13.140625" style="77" bestFit="1" customWidth="1"/>
    <col min="10" max="10" width="11" style="77" customWidth="1"/>
    <col min="11" max="11" width="10.5703125" style="79" customWidth="1"/>
    <col min="12" max="12" width="10" style="77" customWidth="1"/>
    <col min="13" max="13" width="10" style="77" bestFit="1" customWidth="1"/>
    <col min="14" max="14" width="20" style="77" bestFit="1" customWidth="1"/>
    <col min="15" max="15" width="11.28515625" style="77" bestFit="1" customWidth="1"/>
    <col min="16" max="16" width="11.7109375" style="77" bestFit="1" customWidth="1"/>
    <col min="17" max="17" width="10.5703125" style="79" customWidth="1"/>
    <col min="18" max="16384" width="9.140625" style="77"/>
  </cols>
  <sheetData>
    <row r="1" spans="1:25" x14ac:dyDescent="0.2">
      <c r="A1" s="147" t="s">
        <v>102</v>
      </c>
      <c r="B1" s="76"/>
    </row>
    <row r="2" spans="1:25" x14ac:dyDescent="0.2">
      <c r="A2" s="81" t="s">
        <v>0</v>
      </c>
      <c r="B2" s="76"/>
      <c r="K2" s="97" t="s">
        <v>103</v>
      </c>
      <c r="N2" s="371" t="s">
        <v>104</v>
      </c>
      <c r="O2" s="79"/>
    </row>
    <row r="3" spans="1:25" x14ac:dyDescent="0.2">
      <c r="A3" s="81" t="s">
        <v>267</v>
      </c>
      <c r="B3" s="76"/>
      <c r="K3" s="97"/>
      <c r="N3" s="371"/>
      <c r="O3" s="79"/>
    </row>
    <row r="4" spans="1:25" x14ac:dyDescent="0.2">
      <c r="A4" s="194" t="s">
        <v>113</v>
      </c>
      <c r="B4" s="371" t="s">
        <v>268</v>
      </c>
      <c r="K4" s="194" t="s">
        <v>92</v>
      </c>
      <c r="N4" s="371" t="s">
        <v>269</v>
      </c>
      <c r="O4" s="111"/>
    </row>
    <row r="5" spans="1:25" x14ac:dyDescent="0.2">
      <c r="A5" s="81"/>
      <c r="B5" s="76"/>
    </row>
    <row r="6" spans="1:25" x14ac:dyDescent="0.2">
      <c r="A6" s="81" t="s">
        <v>1</v>
      </c>
      <c r="B6" s="188">
        <v>2012</v>
      </c>
    </row>
    <row r="8" spans="1:25" s="81" customFormat="1" ht="51" x14ac:dyDescent="0.2">
      <c r="A8" s="186" t="s">
        <v>5</v>
      </c>
      <c r="B8" s="186" t="s">
        <v>6</v>
      </c>
      <c r="C8" s="186" t="s">
        <v>7</v>
      </c>
      <c r="D8" s="168" t="s">
        <v>106</v>
      </c>
      <c r="E8" s="186" t="s">
        <v>9</v>
      </c>
      <c r="F8" s="168" t="s">
        <v>107</v>
      </c>
      <c r="G8" s="168" t="s">
        <v>105</v>
      </c>
      <c r="H8" s="186" t="s">
        <v>12</v>
      </c>
      <c r="I8" s="186" t="s">
        <v>13</v>
      </c>
      <c r="J8" s="186" t="s">
        <v>291</v>
      </c>
      <c r="K8" s="186" t="s">
        <v>108</v>
      </c>
      <c r="L8" s="186" t="s">
        <v>15</v>
      </c>
      <c r="M8" s="170" t="s">
        <v>111</v>
      </c>
      <c r="N8" s="187" t="s">
        <v>110</v>
      </c>
      <c r="O8" s="187" t="s">
        <v>109</v>
      </c>
      <c r="P8" s="187" t="s">
        <v>112</v>
      </c>
      <c r="Q8" s="168" t="s">
        <v>101</v>
      </c>
      <c r="R8" s="83"/>
      <c r="S8" s="83"/>
      <c r="T8" s="83"/>
      <c r="U8" s="83"/>
      <c r="V8" s="83"/>
      <c r="W8" s="83"/>
      <c r="X8" s="83"/>
      <c r="Y8" s="83"/>
    </row>
    <row r="9" spans="1:25" x14ac:dyDescent="0.2">
      <c r="A9" s="203"/>
      <c r="B9" s="203"/>
      <c r="C9" s="205"/>
      <c r="D9" s="206"/>
      <c r="E9" s="206"/>
      <c r="F9" s="206"/>
      <c r="G9" s="207"/>
      <c r="H9" s="206"/>
      <c r="I9" s="220"/>
      <c r="J9" s="220">
        <v>9586.2000000000007</v>
      </c>
      <c r="K9" s="209">
        <f t="shared" ref="K9:K11" si="0">IF(+I9&gt;0,IF(+$B$6-D9+1&gt;E9,E9,+$B$6-D9+1),0)</f>
        <v>0</v>
      </c>
      <c r="L9" s="209">
        <f t="shared" ref="L9:L11" si="1">IF(F9&gt;=$B$6,+E9-K9,0)</f>
        <v>0</v>
      </c>
      <c r="M9" s="220">
        <f t="shared" ref="M9:M13" si="2">ROUND(+I9*G9,2)</f>
        <v>0</v>
      </c>
      <c r="N9" s="220">
        <f t="shared" ref="N9:N15" si="3">IF(F9&gt;=$B$6,+M9,0)</f>
        <v>0</v>
      </c>
      <c r="O9" s="220">
        <f t="shared" ref="O9:O22" si="4">+M9*K9</f>
        <v>0</v>
      </c>
      <c r="P9" s="220">
        <f t="shared" ref="P9:P11" si="5">+I9-O9</f>
        <v>0</v>
      </c>
      <c r="Q9" s="205"/>
    </row>
    <row r="10" spans="1:25" ht="27.75" customHeight="1" x14ac:dyDescent="0.2">
      <c r="A10" s="203"/>
      <c r="B10" s="203"/>
      <c r="C10" s="205"/>
      <c r="D10" s="206"/>
      <c r="E10" s="206"/>
      <c r="F10" s="206"/>
      <c r="G10" s="207"/>
      <c r="H10" s="206"/>
      <c r="I10" s="220"/>
      <c r="J10" s="220">
        <v>23805</v>
      </c>
      <c r="K10" s="209">
        <f t="shared" si="0"/>
        <v>0</v>
      </c>
      <c r="L10" s="209">
        <f t="shared" si="1"/>
        <v>0</v>
      </c>
      <c r="M10" s="220">
        <f t="shared" si="2"/>
        <v>0</v>
      </c>
      <c r="N10" s="220">
        <f t="shared" si="3"/>
        <v>0</v>
      </c>
      <c r="O10" s="220">
        <f t="shared" si="4"/>
        <v>0</v>
      </c>
      <c r="P10" s="220">
        <f t="shared" si="5"/>
        <v>0</v>
      </c>
      <c r="Q10" s="205"/>
    </row>
    <row r="11" spans="1:25" x14ac:dyDescent="0.2">
      <c r="A11" s="204"/>
      <c r="B11" s="203"/>
      <c r="C11" s="205"/>
      <c r="D11" s="206"/>
      <c r="E11" s="206"/>
      <c r="F11" s="206"/>
      <c r="G11" s="207"/>
      <c r="H11" s="206"/>
      <c r="I11" s="220"/>
      <c r="J11" s="220">
        <v>1623</v>
      </c>
      <c r="K11" s="209">
        <f t="shared" si="0"/>
        <v>0</v>
      </c>
      <c r="L11" s="209">
        <f t="shared" si="1"/>
        <v>0</v>
      </c>
      <c r="M11" s="220">
        <f>ROUND(+I11*G11,2)</f>
        <v>0</v>
      </c>
      <c r="N11" s="220">
        <f t="shared" si="3"/>
        <v>0</v>
      </c>
      <c r="O11" s="220">
        <f t="shared" si="4"/>
        <v>0</v>
      </c>
      <c r="P11" s="220">
        <f t="shared" si="5"/>
        <v>0</v>
      </c>
      <c r="Q11" s="205"/>
    </row>
    <row r="12" spans="1:25" ht="13.7" customHeight="1" x14ac:dyDescent="0.2">
      <c r="A12" s="203"/>
      <c r="B12" s="203"/>
      <c r="C12" s="205"/>
      <c r="D12" s="206"/>
      <c r="E12" s="206"/>
      <c r="F12" s="206"/>
      <c r="G12" s="207"/>
      <c r="H12" s="206"/>
      <c r="I12" s="220"/>
      <c r="J12" s="220">
        <v>1835.6899999999998</v>
      </c>
      <c r="K12" s="209">
        <f t="shared" ref="K12" si="6">IF(+I12&gt;0,IF(+$B$6-D12+1&gt;E12,E12,+$B$6-D12+1),0)</f>
        <v>0</v>
      </c>
      <c r="L12" s="209">
        <f t="shared" ref="L12:L22" si="7">IF(F12&gt;=$B$6,+E12-K12,0)</f>
        <v>0</v>
      </c>
      <c r="M12" s="220">
        <f t="shared" si="2"/>
        <v>0</v>
      </c>
      <c r="N12" s="220">
        <f t="shared" si="3"/>
        <v>0</v>
      </c>
      <c r="O12" s="220">
        <f t="shared" si="4"/>
        <v>0</v>
      </c>
      <c r="P12" s="220">
        <f t="shared" ref="P12:P22" si="8">+I12-O12</f>
        <v>0</v>
      </c>
      <c r="Q12" s="205"/>
    </row>
    <row r="13" spans="1:25" ht="13.7" customHeight="1" x14ac:dyDescent="0.2">
      <c r="A13" s="203" t="s">
        <v>319</v>
      </c>
      <c r="B13" s="203"/>
      <c r="C13" s="205">
        <v>40543</v>
      </c>
      <c r="D13" s="206">
        <v>2010</v>
      </c>
      <c r="E13" s="206">
        <v>5</v>
      </c>
      <c r="F13" s="206">
        <f t="shared" ref="F13:F14" si="9">+D13+E13-1</f>
        <v>2014</v>
      </c>
      <c r="G13" s="207">
        <f t="shared" ref="G13:G14" si="10">IF(E13&gt;0,1/E13,0)</f>
        <v>0.2</v>
      </c>
      <c r="H13" s="206" t="s">
        <v>318</v>
      </c>
      <c r="I13" s="220">
        <v>16624</v>
      </c>
      <c r="J13" s="220">
        <v>-4853.2800000000007</v>
      </c>
      <c r="K13" s="209">
        <v>3</v>
      </c>
      <c r="L13" s="209">
        <f t="shared" si="7"/>
        <v>2</v>
      </c>
      <c r="M13" s="220">
        <f t="shared" si="2"/>
        <v>3324.8</v>
      </c>
      <c r="N13" s="220">
        <f t="shared" si="3"/>
        <v>3324.8</v>
      </c>
      <c r="O13" s="220">
        <f t="shared" si="4"/>
        <v>9974.4000000000015</v>
      </c>
      <c r="P13" s="220">
        <f t="shared" si="8"/>
        <v>6649.5999999999985</v>
      </c>
      <c r="Q13" s="205"/>
    </row>
    <row r="14" spans="1:25" ht="13.7" customHeight="1" x14ac:dyDescent="0.2">
      <c r="A14" s="215" t="s">
        <v>319</v>
      </c>
      <c r="B14" s="215"/>
      <c r="C14" s="205">
        <v>40908</v>
      </c>
      <c r="D14" s="173">
        <v>2011</v>
      </c>
      <c r="E14" s="179">
        <v>5</v>
      </c>
      <c r="F14" s="173">
        <f t="shared" si="9"/>
        <v>2015</v>
      </c>
      <c r="G14" s="175">
        <f t="shared" si="10"/>
        <v>0.2</v>
      </c>
      <c r="H14" s="173" t="s">
        <v>318</v>
      </c>
      <c r="I14" s="221">
        <v>31851.200000000001</v>
      </c>
      <c r="J14" s="220">
        <v>5992</v>
      </c>
      <c r="K14" s="209">
        <v>2</v>
      </c>
      <c r="L14" s="209">
        <f t="shared" si="7"/>
        <v>3</v>
      </c>
      <c r="M14" s="338">
        <f t="shared" ref="M14:M22" si="11">ROUND(+I14*G14,2)</f>
        <v>6370.24</v>
      </c>
      <c r="N14" s="338">
        <f t="shared" si="3"/>
        <v>6370.24</v>
      </c>
      <c r="O14" s="340">
        <f t="shared" si="4"/>
        <v>12740.48</v>
      </c>
      <c r="P14" s="340">
        <f t="shared" si="8"/>
        <v>19110.72</v>
      </c>
      <c r="Q14" s="191"/>
    </row>
    <row r="15" spans="1:25" x14ac:dyDescent="0.2">
      <c r="A15" s="215" t="s">
        <v>320</v>
      </c>
      <c r="B15" s="215"/>
      <c r="C15" s="205">
        <v>41274</v>
      </c>
      <c r="D15" s="173">
        <v>2012</v>
      </c>
      <c r="E15" s="179">
        <v>5</v>
      </c>
      <c r="F15" s="173">
        <f t="shared" ref="F15" si="12">+D15+E15-1</f>
        <v>2016</v>
      </c>
      <c r="G15" s="175">
        <f t="shared" ref="G15:G22" si="13">IF(E15&gt;0,1/E15,0)</f>
        <v>0.2</v>
      </c>
      <c r="H15" s="173"/>
      <c r="I15" s="221">
        <v>88318.35</v>
      </c>
      <c r="J15" s="220">
        <v>7100</v>
      </c>
      <c r="K15" s="209">
        <v>1</v>
      </c>
      <c r="L15" s="209">
        <f t="shared" si="7"/>
        <v>4</v>
      </c>
      <c r="M15" s="338">
        <f t="shared" si="11"/>
        <v>17663.669999999998</v>
      </c>
      <c r="N15" s="338">
        <f t="shared" si="3"/>
        <v>17663.669999999998</v>
      </c>
      <c r="O15" s="340">
        <f t="shared" si="4"/>
        <v>17663.669999999998</v>
      </c>
      <c r="P15" s="340">
        <f t="shared" si="8"/>
        <v>70654.680000000008</v>
      </c>
      <c r="Q15" s="191"/>
    </row>
    <row r="16" spans="1:25" ht="13.7" customHeight="1" x14ac:dyDescent="0.2">
      <c r="A16" s="215"/>
      <c r="B16" s="215"/>
      <c r="C16" s="205"/>
      <c r="D16" s="173"/>
      <c r="E16" s="179"/>
      <c r="F16" s="173"/>
      <c r="G16" s="175">
        <f t="shared" si="13"/>
        <v>0</v>
      </c>
      <c r="H16" s="173"/>
      <c r="I16" s="221"/>
      <c r="J16" s="220">
        <v>3980</v>
      </c>
      <c r="K16" s="209">
        <v>1</v>
      </c>
      <c r="L16" s="209">
        <f t="shared" si="7"/>
        <v>0</v>
      </c>
      <c r="M16" s="338">
        <f t="shared" si="11"/>
        <v>0</v>
      </c>
      <c r="N16" s="338">
        <f t="shared" ref="N16:N22" si="14">IF(F16&gt;=$B$6,+M16,0)</f>
        <v>0</v>
      </c>
      <c r="O16" s="340">
        <f t="shared" si="4"/>
        <v>0</v>
      </c>
      <c r="P16" s="340">
        <f t="shared" si="8"/>
        <v>0</v>
      </c>
      <c r="Q16" s="191"/>
    </row>
    <row r="17" spans="1:19" x14ac:dyDescent="0.2">
      <c r="A17" s="215"/>
      <c r="B17" s="215"/>
      <c r="C17" s="205"/>
      <c r="D17" s="173"/>
      <c r="E17" s="179"/>
      <c r="F17" s="173"/>
      <c r="G17" s="175">
        <f t="shared" si="13"/>
        <v>0</v>
      </c>
      <c r="H17" s="173"/>
      <c r="I17" s="221"/>
      <c r="J17" s="220">
        <v>876</v>
      </c>
      <c r="K17" s="209">
        <v>1</v>
      </c>
      <c r="L17" s="209">
        <f t="shared" si="7"/>
        <v>0</v>
      </c>
      <c r="M17" s="338">
        <f t="shared" si="11"/>
        <v>0</v>
      </c>
      <c r="N17" s="338">
        <f t="shared" si="14"/>
        <v>0</v>
      </c>
      <c r="O17" s="340">
        <f t="shared" si="4"/>
        <v>0</v>
      </c>
      <c r="P17" s="340">
        <f t="shared" si="8"/>
        <v>0</v>
      </c>
      <c r="Q17" s="191"/>
    </row>
    <row r="18" spans="1:19" x14ac:dyDescent="0.2">
      <c r="A18" s="215"/>
      <c r="B18" s="215"/>
      <c r="C18" s="205"/>
      <c r="D18" s="173"/>
      <c r="E18" s="179"/>
      <c r="F18" s="173"/>
      <c r="G18" s="175">
        <f t="shared" si="13"/>
        <v>0</v>
      </c>
      <c r="H18" s="173"/>
      <c r="I18" s="221"/>
      <c r="J18" s="220">
        <v>750.61</v>
      </c>
      <c r="K18" s="209">
        <v>1</v>
      </c>
      <c r="L18" s="209">
        <f t="shared" si="7"/>
        <v>0</v>
      </c>
      <c r="M18" s="338">
        <f t="shared" si="11"/>
        <v>0</v>
      </c>
      <c r="N18" s="338">
        <f t="shared" si="14"/>
        <v>0</v>
      </c>
      <c r="O18" s="340">
        <f t="shared" si="4"/>
        <v>0</v>
      </c>
      <c r="P18" s="340">
        <f t="shared" si="8"/>
        <v>0</v>
      </c>
      <c r="Q18" s="191"/>
    </row>
    <row r="19" spans="1:19" ht="13.7" customHeight="1" x14ac:dyDescent="0.2">
      <c r="A19" s="215"/>
      <c r="B19" s="215"/>
      <c r="C19" s="205"/>
      <c r="D19" s="173"/>
      <c r="E19" s="179"/>
      <c r="F19" s="173"/>
      <c r="G19" s="175">
        <f t="shared" si="13"/>
        <v>0</v>
      </c>
      <c r="H19" s="173"/>
      <c r="I19" s="221"/>
      <c r="J19" s="220">
        <v>1404</v>
      </c>
      <c r="K19" s="209">
        <v>1</v>
      </c>
      <c r="L19" s="209">
        <f t="shared" si="7"/>
        <v>0</v>
      </c>
      <c r="M19" s="338">
        <f t="shared" si="11"/>
        <v>0</v>
      </c>
      <c r="N19" s="338">
        <f t="shared" si="14"/>
        <v>0</v>
      </c>
      <c r="O19" s="340">
        <f t="shared" si="4"/>
        <v>0</v>
      </c>
      <c r="P19" s="340">
        <f t="shared" si="8"/>
        <v>0</v>
      </c>
      <c r="Q19" s="191"/>
    </row>
    <row r="20" spans="1:19" x14ac:dyDescent="0.2">
      <c r="A20" s="215"/>
      <c r="B20" s="215"/>
      <c r="C20" s="205"/>
      <c r="D20" s="173"/>
      <c r="E20" s="179"/>
      <c r="F20" s="173"/>
      <c r="G20" s="175">
        <f t="shared" si="13"/>
        <v>0</v>
      </c>
      <c r="H20" s="173"/>
      <c r="I20" s="221"/>
      <c r="J20" s="220">
        <v>832.97</v>
      </c>
      <c r="K20" s="209">
        <v>1</v>
      </c>
      <c r="L20" s="209">
        <f t="shared" si="7"/>
        <v>0</v>
      </c>
      <c r="M20" s="338">
        <f t="shared" si="11"/>
        <v>0</v>
      </c>
      <c r="N20" s="338">
        <f t="shared" si="14"/>
        <v>0</v>
      </c>
      <c r="O20" s="340">
        <f t="shared" si="4"/>
        <v>0</v>
      </c>
      <c r="P20" s="340">
        <f t="shared" si="8"/>
        <v>0</v>
      </c>
      <c r="Q20" s="191"/>
    </row>
    <row r="21" spans="1:19" ht="13.7" customHeight="1" x14ac:dyDescent="0.2">
      <c r="A21" s="215"/>
      <c r="B21" s="215"/>
      <c r="C21" s="205"/>
      <c r="D21" s="173"/>
      <c r="E21" s="179"/>
      <c r="F21" s="173"/>
      <c r="G21" s="175">
        <f t="shared" si="13"/>
        <v>0</v>
      </c>
      <c r="H21" s="173"/>
      <c r="I21" s="221"/>
      <c r="J21" s="220">
        <v>2400</v>
      </c>
      <c r="K21" s="209">
        <v>1</v>
      </c>
      <c r="L21" s="209">
        <f t="shared" si="7"/>
        <v>0</v>
      </c>
      <c r="M21" s="338">
        <f t="shared" si="11"/>
        <v>0</v>
      </c>
      <c r="N21" s="338">
        <f t="shared" si="14"/>
        <v>0</v>
      </c>
      <c r="O21" s="340">
        <f t="shared" si="4"/>
        <v>0</v>
      </c>
      <c r="P21" s="340">
        <f t="shared" si="8"/>
        <v>0</v>
      </c>
      <c r="Q21" s="191"/>
    </row>
    <row r="22" spans="1:19" x14ac:dyDescent="0.2">
      <c r="A22" s="215"/>
      <c r="B22" s="215"/>
      <c r="C22" s="205"/>
      <c r="D22" s="173"/>
      <c r="E22" s="179"/>
      <c r="F22" s="173"/>
      <c r="G22" s="175">
        <f t="shared" si="13"/>
        <v>0</v>
      </c>
      <c r="H22" s="173"/>
      <c r="I22" s="221"/>
      <c r="J22" s="220">
        <v>1370.8799999999999</v>
      </c>
      <c r="K22" s="209">
        <v>1</v>
      </c>
      <c r="L22" s="209">
        <f t="shared" si="7"/>
        <v>0</v>
      </c>
      <c r="M22" s="338">
        <f t="shared" si="11"/>
        <v>0</v>
      </c>
      <c r="N22" s="338">
        <f t="shared" si="14"/>
        <v>0</v>
      </c>
      <c r="O22" s="340">
        <f t="shared" si="4"/>
        <v>0</v>
      </c>
      <c r="P22" s="340">
        <f t="shared" si="8"/>
        <v>0</v>
      </c>
      <c r="Q22" s="191"/>
    </row>
    <row r="23" spans="1:19" x14ac:dyDescent="0.2">
      <c r="A23" s="204"/>
      <c r="B23" s="215"/>
      <c r="C23" s="205"/>
      <c r="D23" s="173"/>
      <c r="E23" s="179"/>
      <c r="F23" s="173"/>
      <c r="G23" s="175"/>
      <c r="H23" s="173"/>
      <c r="I23" s="221"/>
      <c r="J23" s="220"/>
      <c r="K23" s="209"/>
      <c r="L23" s="209"/>
      <c r="M23" s="338"/>
      <c r="N23" s="338"/>
      <c r="O23" s="340">
        <v>0</v>
      </c>
      <c r="P23" s="340"/>
      <c r="Q23" s="191"/>
      <c r="S23" s="77">
        <f>-O23/5</f>
        <v>0</v>
      </c>
    </row>
    <row r="24" spans="1:19" x14ac:dyDescent="0.2">
      <c r="A24" s="204"/>
      <c r="B24" s="149"/>
      <c r="C24" s="205"/>
      <c r="D24" s="206"/>
      <c r="E24" s="206"/>
      <c r="F24" s="206"/>
      <c r="G24" s="207"/>
      <c r="H24" s="336"/>
      <c r="I24" s="220"/>
      <c r="J24" s="220"/>
      <c r="K24" s="209"/>
      <c r="L24" s="209"/>
      <c r="M24" s="220"/>
      <c r="N24" s="220"/>
      <c r="O24" s="220"/>
      <c r="P24" s="220"/>
      <c r="Q24" s="205"/>
    </row>
    <row r="25" spans="1:19" s="81" customFormat="1" x14ac:dyDescent="0.2">
      <c r="A25" s="149" t="s">
        <v>100</v>
      </c>
      <c r="B25" s="149"/>
      <c r="C25" s="212"/>
      <c r="D25" s="212"/>
      <c r="E25" s="212"/>
      <c r="F25" s="212"/>
      <c r="G25" s="212"/>
      <c r="H25" s="337"/>
      <c r="I25" s="223">
        <f>SUM(I9:I24)</f>
        <v>136793.54999999999</v>
      </c>
      <c r="J25" s="223">
        <f>SUM(J9:J24)</f>
        <v>56703.07</v>
      </c>
      <c r="K25" s="224"/>
      <c r="L25" s="223"/>
      <c r="M25" s="223" t="s">
        <v>24</v>
      </c>
      <c r="N25" s="230">
        <f>SUM(N9:N24)</f>
        <v>27358.71</v>
      </c>
      <c r="O25" s="223">
        <f>SUM(O9:O24)</f>
        <v>40378.550000000003</v>
      </c>
      <c r="P25" s="230">
        <f>SUM(P9:P24)</f>
        <v>96415</v>
      </c>
      <c r="Q25" s="212"/>
    </row>
    <row r="26" spans="1:19" s="81" customFormat="1" x14ac:dyDescent="0.2">
      <c r="A26" s="93"/>
      <c r="B26" s="93"/>
      <c r="C26" s="92"/>
      <c r="D26" s="92"/>
      <c r="E26" s="92"/>
      <c r="F26" s="92"/>
      <c r="G26" s="92"/>
      <c r="H26" s="83"/>
      <c r="I26" s="225"/>
      <c r="J26" s="225"/>
      <c r="K26" s="226"/>
      <c r="L26" s="225"/>
      <c r="M26" s="225"/>
      <c r="N26" s="225"/>
      <c r="O26" s="225"/>
      <c r="P26" s="225"/>
      <c r="Q26" s="92"/>
    </row>
    <row r="27" spans="1:19" s="81" customFormat="1" x14ac:dyDescent="0.2">
      <c r="A27" s="93"/>
      <c r="B27" s="93"/>
      <c r="C27" s="92"/>
      <c r="D27" s="92"/>
      <c r="E27" s="92"/>
      <c r="F27" s="92"/>
      <c r="G27" s="92"/>
      <c r="I27" s="100"/>
      <c r="J27" s="225"/>
      <c r="K27" s="226"/>
      <c r="L27" s="225"/>
      <c r="M27" s="225"/>
      <c r="N27" s="225"/>
      <c r="O27" s="225">
        <v>0</v>
      </c>
      <c r="P27" s="225"/>
      <c r="Q27" s="92"/>
    </row>
    <row r="28" spans="1:19" s="81" customFormat="1" x14ac:dyDescent="0.2">
      <c r="A28" s="93"/>
      <c r="B28" s="93"/>
      <c r="C28" s="92"/>
      <c r="D28" s="92"/>
      <c r="E28" s="92"/>
      <c r="F28" s="92"/>
      <c r="G28" s="92"/>
      <c r="I28" s="247"/>
      <c r="J28" s="225"/>
      <c r="K28" s="226"/>
      <c r="L28" s="225"/>
      <c r="M28" s="225"/>
      <c r="N28" s="225"/>
      <c r="O28" s="225"/>
      <c r="P28" s="225"/>
      <c r="Q28" s="92"/>
    </row>
    <row r="29" spans="1:19" s="81" customFormat="1" x14ac:dyDescent="0.2">
      <c r="A29" s="93"/>
      <c r="B29" s="93"/>
      <c r="C29" s="92"/>
      <c r="D29" s="92"/>
      <c r="E29" s="92"/>
      <c r="F29" s="92"/>
      <c r="G29" s="92"/>
      <c r="I29" s="247"/>
      <c r="J29" s="225"/>
      <c r="K29" s="226"/>
      <c r="L29" s="225"/>
      <c r="M29" s="225"/>
      <c r="N29" s="225"/>
      <c r="O29" s="225">
        <f>+O25-O27</f>
        <v>40378.550000000003</v>
      </c>
      <c r="P29" s="225"/>
      <c r="Q29" s="92"/>
    </row>
    <row r="30" spans="1:19" x14ac:dyDescent="0.2">
      <c r="H30" s="302"/>
      <c r="I30" s="86"/>
      <c r="J30" s="86"/>
      <c r="K30" s="90"/>
      <c r="N30" s="112"/>
      <c r="O30" s="116" t="s">
        <v>24</v>
      </c>
    </row>
    <row r="31" spans="1:19" x14ac:dyDescent="0.2">
      <c r="H31" s="302"/>
      <c r="I31" s="86"/>
      <c r="J31" s="86"/>
      <c r="K31" s="90"/>
      <c r="N31" s="112"/>
      <c r="O31" s="116"/>
      <c r="Q31" s="151"/>
    </row>
    <row r="32" spans="1:19" x14ac:dyDescent="0.2">
      <c r="H32" s="302"/>
      <c r="I32" s="86"/>
      <c r="J32" s="86"/>
      <c r="K32" s="90"/>
      <c r="N32" s="112"/>
      <c r="O32" s="116"/>
    </row>
    <row r="33" spans="1:17" x14ac:dyDescent="0.2">
      <c r="G33" s="378"/>
      <c r="H33" s="378"/>
      <c r="I33" s="425"/>
      <c r="J33" s="116"/>
      <c r="K33" s="90"/>
      <c r="N33" s="112"/>
      <c r="O33" s="116"/>
    </row>
    <row r="34" spans="1:17" x14ac:dyDescent="0.2">
      <c r="I34" s="86"/>
      <c r="J34" s="86"/>
      <c r="K34" s="90"/>
      <c r="N34" s="112"/>
      <c r="O34" s="116"/>
    </row>
    <row r="35" spans="1:17" x14ac:dyDescent="0.2">
      <c r="O35" s="86"/>
    </row>
    <row r="36" spans="1:17" x14ac:dyDescent="0.2">
      <c r="A36" s="113"/>
      <c r="B36" s="113"/>
      <c r="C36" s="133"/>
      <c r="D36" s="111"/>
      <c r="E36" s="111"/>
      <c r="F36" s="111"/>
      <c r="G36" s="114"/>
      <c r="H36" s="115"/>
      <c r="I36" s="116"/>
      <c r="J36" s="116"/>
      <c r="K36" s="117"/>
      <c r="L36" s="118"/>
      <c r="M36" s="116"/>
      <c r="N36" s="198"/>
      <c r="O36" s="199"/>
      <c r="P36" s="86"/>
    </row>
    <row r="37" spans="1:17" x14ac:dyDescent="0.2">
      <c r="N37" s="135"/>
      <c r="O37" s="200"/>
    </row>
    <row r="38" spans="1:17" x14ac:dyDescent="0.2">
      <c r="N38" s="201"/>
      <c r="O38" s="200"/>
    </row>
    <row r="39" spans="1:17" x14ac:dyDescent="0.2">
      <c r="N39" s="135"/>
      <c r="O39" s="200"/>
    </row>
    <row r="40" spans="1:17" x14ac:dyDescent="0.2">
      <c r="N40" s="201"/>
      <c r="O40" s="200"/>
    </row>
    <row r="41" spans="1:17" x14ac:dyDescent="0.2">
      <c r="N41" s="135"/>
      <c r="O41" s="200"/>
    </row>
    <row r="42" spans="1:17" x14ac:dyDescent="0.2">
      <c r="N42" s="202"/>
      <c r="O42" s="202"/>
    </row>
    <row r="43" spans="1:17" x14ac:dyDescent="0.2">
      <c r="A43" s="77"/>
      <c r="B43" s="77"/>
      <c r="C43" s="77"/>
      <c r="D43" s="77"/>
      <c r="E43" s="77"/>
      <c r="F43" s="77"/>
      <c r="G43" s="77"/>
      <c r="H43" s="77"/>
      <c r="K43" s="77"/>
      <c r="N43" s="135"/>
      <c r="O43" s="135"/>
      <c r="Q43" s="77"/>
    </row>
    <row r="44" spans="1:17" x14ac:dyDescent="0.2">
      <c r="A44" s="77"/>
      <c r="B44" s="77"/>
      <c r="C44" s="77"/>
      <c r="D44" s="77"/>
      <c r="E44" s="77"/>
      <c r="F44" s="77"/>
      <c r="G44" s="77"/>
      <c r="H44" s="77"/>
      <c r="K44" s="77"/>
      <c r="N44" s="135"/>
      <c r="O44" s="135"/>
      <c r="Q44" s="77"/>
    </row>
  </sheetData>
  <phoneticPr fontId="0" type="noConversion"/>
  <printOptions horizontalCentered="1"/>
  <pageMargins left="0.39370078740157483" right="0.39370078740157483" top="0.39370078740157483" bottom="0.78740157480314965" header="0" footer="0.59055118110236227"/>
  <pageSetup scale="97" orientation="landscape" r:id="rId1"/>
  <headerFooter>
    <oddFooter>&amp;L&amp;"Calibri,Regular"&amp;D&amp;C&amp;"Calibri,Regular"Page &amp;P of &amp;N&amp;R&amp;"Calibri,Regular"&amp;F
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"/>
  <sheetViews>
    <sheetView zoomScale="75" workbookViewId="0">
      <selection activeCell="I42" sqref="I42"/>
    </sheetView>
  </sheetViews>
  <sheetFormatPr defaultColWidth="9.140625" defaultRowHeight="12.75" x14ac:dyDescent="0.2"/>
  <cols>
    <col min="1" max="2" width="10" style="4" customWidth="1"/>
    <col min="3" max="3" width="9.140625" style="2"/>
    <col min="4" max="4" width="24" style="3" customWidth="1"/>
    <col min="5" max="5" width="12.85546875" style="4" customWidth="1"/>
    <col min="6" max="7" width="13.140625" style="4" customWidth="1"/>
    <col min="8" max="8" width="9.140625" style="4"/>
    <col min="9" max="9" width="12.85546875" style="4" customWidth="1"/>
    <col min="10" max="10" width="9.140625" style="4"/>
    <col min="11" max="11" width="20" style="5" customWidth="1"/>
    <col min="12" max="12" width="13.140625" style="2" customWidth="1"/>
    <col min="13" max="13" width="13.140625" style="4" customWidth="1"/>
    <col min="14" max="14" width="11.7109375" style="2" customWidth="1"/>
    <col min="15" max="15" width="14.85546875" style="2" customWidth="1"/>
    <col min="16" max="16" width="11.42578125" style="4" customWidth="1"/>
    <col min="17" max="17" width="14.85546875" style="2" customWidth="1"/>
    <col min="18" max="18" width="15.42578125" style="4" customWidth="1"/>
    <col min="19" max="19" width="14.85546875" style="2" customWidth="1"/>
    <col min="20" max="20" width="16.5703125" style="2" customWidth="1"/>
    <col min="21" max="21" width="10.5703125" style="4" customWidth="1"/>
    <col min="22" max="16384" width="9.140625" style="2"/>
  </cols>
  <sheetData>
    <row r="1" spans="1:29" ht="13.5" thickTop="1" x14ac:dyDescent="0.2">
      <c r="A1" s="1" t="s">
        <v>74</v>
      </c>
      <c r="B1" s="11"/>
      <c r="C1" s="12"/>
      <c r="D1" s="13"/>
      <c r="E1" s="14"/>
      <c r="F1" s="14"/>
      <c r="G1" s="14"/>
      <c r="H1" s="14"/>
      <c r="I1" s="14"/>
      <c r="J1" s="14"/>
      <c r="K1" s="15"/>
      <c r="L1" s="12"/>
      <c r="M1" s="14"/>
      <c r="N1" s="12"/>
      <c r="O1" s="12"/>
      <c r="P1" s="14"/>
      <c r="Q1" s="12"/>
      <c r="R1" s="14"/>
      <c r="S1" s="12"/>
      <c r="T1" s="12"/>
      <c r="U1" s="16"/>
    </row>
    <row r="2" spans="1:29" x14ac:dyDescent="0.2">
      <c r="A2" s="17" t="s">
        <v>66</v>
      </c>
      <c r="B2" s="18"/>
      <c r="C2" s="9"/>
      <c r="D2" s="19"/>
      <c r="E2" s="10"/>
      <c r="F2" s="10"/>
      <c r="G2" s="10"/>
      <c r="H2" s="10"/>
      <c r="I2" s="10"/>
      <c r="J2" s="10"/>
      <c r="K2" s="20"/>
      <c r="L2" s="9"/>
      <c r="M2" s="10"/>
      <c r="N2" s="9"/>
      <c r="O2" s="9"/>
      <c r="P2" s="10"/>
      <c r="Q2" s="9"/>
      <c r="R2" s="10"/>
      <c r="S2" s="9"/>
      <c r="T2" s="9"/>
      <c r="U2" s="21"/>
    </row>
    <row r="3" spans="1:29" x14ac:dyDescent="0.2">
      <c r="A3" s="17"/>
      <c r="B3" s="18"/>
      <c r="C3" s="9"/>
      <c r="D3" s="19"/>
      <c r="E3" s="10"/>
      <c r="F3" s="10"/>
      <c r="G3" s="10"/>
      <c r="H3" s="10"/>
      <c r="I3" s="10"/>
      <c r="J3" s="10"/>
      <c r="K3" s="20"/>
      <c r="L3" s="9"/>
      <c r="M3" s="10"/>
      <c r="N3" s="9"/>
      <c r="O3" s="9"/>
      <c r="P3" s="10"/>
      <c r="Q3" s="9"/>
      <c r="R3" s="10"/>
      <c r="S3" s="9"/>
      <c r="T3" s="9"/>
      <c r="U3" s="21"/>
    </row>
    <row r="4" spans="1:29" x14ac:dyDescent="0.2">
      <c r="A4" s="17" t="s">
        <v>1</v>
      </c>
      <c r="B4" s="18"/>
      <c r="C4" s="22">
        <v>2008</v>
      </c>
      <c r="D4" s="19"/>
      <c r="E4" s="10"/>
      <c r="F4" s="10"/>
      <c r="G4" s="10"/>
      <c r="H4" s="10"/>
      <c r="I4" s="10"/>
      <c r="J4" s="10"/>
      <c r="K4" s="20"/>
      <c r="L4" s="9"/>
      <c r="M4" s="10"/>
      <c r="N4" s="9"/>
      <c r="O4" s="9"/>
      <c r="P4" s="10"/>
      <c r="Q4" s="9"/>
      <c r="R4" s="10"/>
      <c r="S4" s="9"/>
      <c r="T4" s="9"/>
      <c r="U4" s="21"/>
    </row>
    <row r="5" spans="1:29" x14ac:dyDescent="0.2">
      <c r="A5" s="23"/>
      <c r="B5" s="10"/>
      <c r="C5" s="9"/>
      <c r="D5" s="19"/>
      <c r="E5" s="10"/>
      <c r="F5" s="10"/>
      <c r="G5" s="10"/>
      <c r="H5" s="10"/>
      <c r="I5" s="10"/>
      <c r="J5" s="10"/>
      <c r="K5" s="20"/>
      <c r="L5" s="9"/>
      <c r="M5" s="10"/>
      <c r="N5" s="9"/>
      <c r="O5" s="9"/>
      <c r="P5" s="10"/>
      <c r="Q5" s="9"/>
      <c r="R5" s="10"/>
      <c r="S5" s="9"/>
      <c r="T5" s="9"/>
      <c r="U5" s="21"/>
    </row>
    <row r="6" spans="1:29" s="6" customFormat="1" ht="38.25" x14ac:dyDescent="0.2">
      <c r="A6" s="24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15</v>
      </c>
      <c r="O6" s="7" t="s">
        <v>16</v>
      </c>
      <c r="P6" s="7" t="s">
        <v>17</v>
      </c>
      <c r="Q6" s="7" t="s">
        <v>18</v>
      </c>
      <c r="R6" s="7" t="s">
        <v>19</v>
      </c>
      <c r="S6" s="7" t="s">
        <v>20</v>
      </c>
      <c r="T6" s="7" t="s">
        <v>21</v>
      </c>
      <c r="U6" s="25" t="s">
        <v>22</v>
      </c>
      <c r="V6" s="8"/>
      <c r="W6" s="8"/>
      <c r="X6" s="8"/>
      <c r="Y6" s="8"/>
      <c r="Z6" s="8"/>
      <c r="AA6" s="8"/>
      <c r="AB6" s="8"/>
      <c r="AC6" s="8"/>
    </row>
    <row r="7" spans="1:29" x14ac:dyDescent="0.2">
      <c r="A7" s="23"/>
      <c r="B7" s="10"/>
      <c r="C7" s="9"/>
      <c r="D7" s="19"/>
      <c r="E7" s="10"/>
      <c r="F7" s="10" t="s">
        <v>67</v>
      </c>
      <c r="G7" s="10">
        <v>1999</v>
      </c>
      <c r="H7" s="10">
        <v>3</v>
      </c>
      <c r="I7" s="10">
        <f>+G7+H7-1</f>
        <v>2001</v>
      </c>
      <c r="J7" s="26">
        <f>IF(H7&gt;0,1/H7,0)</f>
        <v>0.33333333333333331</v>
      </c>
      <c r="K7" s="27"/>
      <c r="L7" s="28">
        <v>244542.76</v>
      </c>
      <c r="M7" s="29">
        <f t="shared" ref="M7:M19" si="0">IF(+L7&gt;0,IF(+$C$4-G7+1&gt;H7,H7,+$C$4-G7+1),0)</f>
        <v>3</v>
      </c>
      <c r="N7" s="30">
        <f t="shared" ref="N7:N19" si="1">IF(I7&gt;=$C$4,+H7-M7,0)</f>
        <v>0</v>
      </c>
      <c r="O7" s="28">
        <f t="shared" ref="O7:O19" si="2">+L7*J7</f>
        <v>81514.253333333327</v>
      </c>
      <c r="P7" s="31"/>
      <c r="Q7" s="28">
        <f>IF(I7&gt;=$C$4,+O7,0)</f>
        <v>0</v>
      </c>
      <c r="R7" s="29"/>
      <c r="S7" s="28">
        <f>+O7*M7</f>
        <v>244542.75999999998</v>
      </c>
      <c r="T7" s="28">
        <f t="shared" ref="T7:T19" si="3">+L7-S7</f>
        <v>0</v>
      </c>
      <c r="U7" s="21">
        <v>2006</v>
      </c>
    </row>
    <row r="8" spans="1:29" x14ac:dyDescent="0.2">
      <c r="A8" s="23" t="s">
        <v>68</v>
      </c>
      <c r="B8" s="10"/>
      <c r="C8" s="9"/>
      <c r="D8" s="32"/>
      <c r="E8" s="20"/>
      <c r="F8" s="10" t="s">
        <v>25</v>
      </c>
      <c r="G8" s="10">
        <v>2000</v>
      </c>
      <c r="H8" s="10">
        <v>3</v>
      </c>
      <c r="I8" s="10">
        <f>+G8+H8-1</f>
        <v>2002</v>
      </c>
      <c r="J8" s="26">
        <f>IF(H8&gt;0,1/H8,0)</f>
        <v>0.33333333333333331</v>
      </c>
      <c r="K8" s="33"/>
      <c r="L8" s="28">
        <v>17114.32</v>
      </c>
      <c r="M8" s="29">
        <f t="shared" si="0"/>
        <v>3</v>
      </c>
      <c r="N8" s="30">
        <f t="shared" si="1"/>
        <v>0</v>
      </c>
      <c r="O8" s="28">
        <f t="shared" si="2"/>
        <v>5704.7733333333326</v>
      </c>
      <c r="P8" s="31">
        <v>9133</v>
      </c>
      <c r="Q8" s="28">
        <f>IF(I8&gt;=$C$4,+O8,0)</f>
        <v>0</v>
      </c>
      <c r="R8" s="29">
        <v>481</v>
      </c>
      <c r="S8" s="28">
        <f>+O8*M8</f>
        <v>17114.32</v>
      </c>
      <c r="T8" s="28">
        <f t="shared" si="3"/>
        <v>0</v>
      </c>
      <c r="U8" s="21">
        <v>2006</v>
      </c>
    </row>
    <row r="9" spans="1:29" x14ac:dyDescent="0.2">
      <c r="A9" s="23"/>
      <c r="B9" s="10"/>
      <c r="C9" s="9"/>
      <c r="D9" s="32">
        <v>2001</v>
      </c>
      <c r="E9" s="10"/>
      <c r="F9" s="10" t="s">
        <v>69</v>
      </c>
      <c r="G9" s="10">
        <v>2001</v>
      </c>
      <c r="H9" s="10">
        <v>3</v>
      </c>
      <c r="I9" s="10">
        <f>+G9+H9-1</f>
        <v>2003</v>
      </c>
      <c r="J9" s="26">
        <f>IF(H9&gt;0,1/H9,0)</f>
        <v>0.33333333333333331</v>
      </c>
      <c r="K9" s="27"/>
      <c r="L9" s="28">
        <v>5645.04</v>
      </c>
      <c r="M9" s="29">
        <f t="shared" si="0"/>
        <v>3</v>
      </c>
      <c r="N9" s="30">
        <f t="shared" si="1"/>
        <v>0</v>
      </c>
      <c r="O9" s="28">
        <f t="shared" si="2"/>
        <v>1881.6799999999998</v>
      </c>
      <c r="P9" s="31"/>
      <c r="Q9" s="28">
        <f>IF(I9&gt;=$C$4,+O9,0)</f>
        <v>0</v>
      </c>
      <c r="R9" s="29"/>
      <c r="S9" s="54">
        <f>+O9*M9</f>
        <v>5645.0399999999991</v>
      </c>
      <c r="T9" s="28">
        <f t="shared" si="3"/>
        <v>0</v>
      </c>
      <c r="U9" s="21">
        <v>2006</v>
      </c>
    </row>
    <row r="10" spans="1:29" x14ac:dyDescent="0.2">
      <c r="A10" s="23"/>
      <c r="B10" s="10"/>
      <c r="C10" s="9"/>
      <c r="D10" s="32"/>
      <c r="E10" s="10"/>
      <c r="F10" s="34">
        <v>37326</v>
      </c>
      <c r="G10" s="10">
        <v>2002</v>
      </c>
      <c r="H10" s="10">
        <v>3</v>
      </c>
      <c r="I10" s="10">
        <v>2004</v>
      </c>
      <c r="J10" s="26">
        <v>0.33300000000000002</v>
      </c>
      <c r="K10" s="33" t="s">
        <v>70</v>
      </c>
      <c r="L10" s="28">
        <v>3213</v>
      </c>
      <c r="M10" s="29">
        <f t="shared" si="0"/>
        <v>3</v>
      </c>
      <c r="N10" s="30">
        <f t="shared" si="1"/>
        <v>0</v>
      </c>
      <c r="O10" s="28">
        <f t="shared" si="2"/>
        <v>1069.9290000000001</v>
      </c>
      <c r="P10" s="31"/>
      <c r="Q10" s="28">
        <v>3.21</v>
      </c>
      <c r="R10" s="29"/>
      <c r="S10" s="54">
        <f>+O10*M10+Q10</f>
        <v>3212.9970000000003</v>
      </c>
      <c r="T10" s="28">
        <f>+L10-S10</f>
        <v>2.9999999997016857E-3</v>
      </c>
      <c r="U10" s="21">
        <v>2006</v>
      </c>
    </row>
    <row r="11" spans="1:29" x14ac:dyDescent="0.2">
      <c r="A11" s="23"/>
      <c r="B11" s="10"/>
      <c r="C11" s="9"/>
      <c r="D11" s="19"/>
      <c r="E11" s="10"/>
      <c r="F11" s="35">
        <v>37477</v>
      </c>
      <c r="G11" s="10">
        <v>2002</v>
      </c>
      <c r="H11" s="10">
        <v>3</v>
      </c>
      <c r="I11" s="10">
        <v>2004</v>
      </c>
      <c r="J11" s="26">
        <v>0.33300000000000002</v>
      </c>
      <c r="K11" s="33" t="s">
        <v>71</v>
      </c>
      <c r="L11" s="28">
        <v>3218</v>
      </c>
      <c r="M11" s="29">
        <f t="shared" si="0"/>
        <v>3</v>
      </c>
      <c r="N11" s="30">
        <f t="shared" si="1"/>
        <v>0</v>
      </c>
      <c r="O11" s="28">
        <f t="shared" si="2"/>
        <v>1071.5940000000001</v>
      </c>
      <c r="P11" s="31"/>
      <c r="Q11" s="28">
        <v>3.22</v>
      </c>
      <c r="R11" s="29"/>
      <c r="S11" s="54">
        <f>+O11*M11+Q11</f>
        <v>3218.002</v>
      </c>
      <c r="T11" s="28">
        <f t="shared" si="3"/>
        <v>-1.9999999999527063E-3</v>
      </c>
      <c r="U11" s="21">
        <v>2006</v>
      </c>
    </row>
    <row r="12" spans="1:29" x14ac:dyDescent="0.2">
      <c r="A12" s="23"/>
      <c r="B12" s="10"/>
      <c r="C12" s="9"/>
      <c r="D12" s="19"/>
      <c r="E12" s="10"/>
      <c r="F12" s="35">
        <v>37334</v>
      </c>
      <c r="G12" s="10">
        <v>2002</v>
      </c>
      <c r="H12" s="10">
        <v>3</v>
      </c>
      <c r="I12" s="10">
        <v>2004</v>
      </c>
      <c r="J12" s="26">
        <v>0.33300000000000002</v>
      </c>
      <c r="K12" s="33" t="s">
        <v>72</v>
      </c>
      <c r="L12" s="28">
        <v>12960</v>
      </c>
      <c r="M12" s="29">
        <f t="shared" si="0"/>
        <v>3</v>
      </c>
      <c r="N12" s="30">
        <f t="shared" si="1"/>
        <v>0</v>
      </c>
      <c r="O12" s="28">
        <f t="shared" si="2"/>
        <v>4315.68</v>
      </c>
      <c r="P12" s="31"/>
      <c r="Q12" s="28">
        <v>12.96</v>
      </c>
      <c r="R12" s="29"/>
      <c r="S12" s="54">
        <f>+O12*M12+Q12</f>
        <v>12960</v>
      </c>
      <c r="T12" s="28">
        <f t="shared" si="3"/>
        <v>0</v>
      </c>
      <c r="U12" s="21">
        <v>2006</v>
      </c>
    </row>
    <row r="13" spans="1:29" x14ac:dyDescent="0.2">
      <c r="A13" s="23"/>
      <c r="B13" s="10"/>
      <c r="C13" s="9"/>
      <c r="D13" s="19"/>
      <c r="E13" s="10"/>
      <c r="F13" s="10"/>
      <c r="G13" s="10"/>
      <c r="H13" s="10"/>
      <c r="I13" s="10"/>
      <c r="J13" s="26"/>
      <c r="K13" s="27"/>
      <c r="L13" s="28"/>
      <c r="M13" s="29"/>
      <c r="N13" s="30"/>
      <c r="O13" s="28"/>
      <c r="P13" s="31"/>
      <c r="Q13" s="28"/>
      <c r="R13" s="29"/>
      <c r="S13" s="28"/>
      <c r="T13" s="28"/>
      <c r="U13" s="21"/>
    </row>
    <row r="14" spans="1:29" x14ac:dyDescent="0.2">
      <c r="A14" s="23"/>
      <c r="B14" s="10"/>
      <c r="C14" s="9"/>
      <c r="D14" s="19" t="s">
        <v>75</v>
      </c>
      <c r="E14" s="10"/>
      <c r="F14" s="55" t="s">
        <v>79</v>
      </c>
      <c r="G14" s="10">
        <v>2003</v>
      </c>
      <c r="H14" s="10">
        <v>3</v>
      </c>
      <c r="I14" s="10">
        <v>2005</v>
      </c>
      <c r="J14" s="26">
        <v>0.33300000000000002</v>
      </c>
      <c r="K14" s="33" t="s">
        <v>28</v>
      </c>
      <c r="L14" s="28">
        <v>1018.24</v>
      </c>
      <c r="M14" s="29">
        <f t="shared" si="0"/>
        <v>3</v>
      </c>
      <c r="N14" s="30">
        <f t="shared" si="1"/>
        <v>0</v>
      </c>
      <c r="O14" s="28">
        <f t="shared" si="2"/>
        <v>339.07392000000004</v>
      </c>
      <c r="P14" s="31"/>
      <c r="Q14" s="28">
        <v>1.02</v>
      </c>
      <c r="R14" s="29"/>
      <c r="S14" s="54">
        <f>+O14*M14+Q14</f>
        <v>1018.2417600000001</v>
      </c>
      <c r="T14" s="28">
        <f t="shared" si="3"/>
        <v>-1.7600000001039007E-3</v>
      </c>
      <c r="U14" s="21">
        <v>2006</v>
      </c>
    </row>
    <row r="15" spans="1:29" x14ac:dyDescent="0.2">
      <c r="A15" s="23"/>
      <c r="B15" s="10"/>
      <c r="C15" s="9"/>
      <c r="D15" s="19"/>
      <c r="E15" s="10"/>
      <c r="F15" s="55" t="s">
        <v>78</v>
      </c>
      <c r="G15" s="10">
        <v>2003</v>
      </c>
      <c r="H15" s="10">
        <v>3</v>
      </c>
      <c r="I15" s="10">
        <v>2005</v>
      </c>
      <c r="J15" s="26">
        <v>0.33300000000000002</v>
      </c>
      <c r="K15" s="33" t="s">
        <v>76</v>
      </c>
      <c r="L15" s="28">
        <v>1670.02</v>
      </c>
      <c r="M15" s="29">
        <f t="shared" si="0"/>
        <v>3</v>
      </c>
      <c r="N15" s="30">
        <f t="shared" si="1"/>
        <v>0</v>
      </c>
      <c r="O15" s="28">
        <f t="shared" si="2"/>
        <v>556.11666000000002</v>
      </c>
      <c r="P15" s="31"/>
      <c r="Q15" s="28">
        <v>1.67</v>
      </c>
      <c r="R15" s="29"/>
      <c r="S15" s="54">
        <f>+O15*M15+Q15</f>
        <v>1670.01998</v>
      </c>
      <c r="T15" s="28">
        <f t="shared" si="3"/>
        <v>1.9999999949504854E-5</v>
      </c>
      <c r="U15" s="21">
        <v>2006</v>
      </c>
    </row>
    <row r="16" spans="1:29" x14ac:dyDescent="0.2">
      <c r="A16" s="23"/>
      <c r="B16" s="10"/>
      <c r="C16" s="9"/>
      <c r="D16" s="19"/>
      <c r="E16" s="10"/>
      <c r="F16" s="10"/>
      <c r="G16" s="10"/>
      <c r="H16" s="10"/>
      <c r="I16" s="10"/>
      <c r="J16" s="10" t="s">
        <v>24</v>
      </c>
      <c r="K16" s="20" t="s">
        <v>77</v>
      </c>
      <c r="L16" s="28"/>
      <c r="M16" s="36"/>
      <c r="N16" s="9"/>
      <c r="O16" s="9"/>
      <c r="P16" s="31"/>
      <c r="Q16" s="9"/>
      <c r="R16" s="10"/>
      <c r="S16" s="9"/>
      <c r="T16" s="9"/>
      <c r="U16" s="21"/>
    </row>
    <row r="17" spans="1:21" x14ac:dyDescent="0.2">
      <c r="A17" s="23"/>
      <c r="B17" s="10"/>
      <c r="C17" s="9"/>
      <c r="D17" s="19" t="s">
        <v>75</v>
      </c>
      <c r="E17" s="10"/>
      <c r="F17" s="55" t="s">
        <v>80</v>
      </c>
      <c r="G17" s="10">
        <v>2003</v>
      </c>
      <c r="H17" s="10">
        <v>3</v>
      </c>
      <c r="I17" s="10">
        <v>2005</v>
      </c>
      <c r="J17" s="26">
        <v>0.33300000000000002</v>
      </c>
      <c r="K17" s="20" t="s">
        <v>70</v>
      </c>
      <c r="L17" s="28">
        <v>820.8</v>
      </c>
      <c r="M17" s="29">
        <f t="shared" si="0"/>
        <v>3</v>
      </c>
      <c r="N17" s="30">
        <f t="shared" si="1"/>
        <v>0</v>
      </c>
      <c r="O17" s="28">
        <f t="shared" si="2"/>
        <v>273.32639999999998</v>
      </c>
      <c r="P17" s="31"/>
      <c r="Q17" s="28">
        <v>0.82</v>
      </c>
      <c r="R17" s="10"/>
      <c r="S17" s="54">
        <f>+O17*M17+Q17</f>
        <v>820.79920000000004</v>
      </c>
      <c r="T17" s="28">
        <f t="shared" si="3"/>
        <v>7.9999999991287041E-4</v>
      </c>
      <c r="U17" s="21">
        <v>2006</v>
      </c>
    </row>
    <row r="18" spans="1:21" x14ac:dyDescent="0.2">
      <c r="A18" s="23"/>
      <c r="B18" s="10"/>
      <c r="C18" s="9"/>
      <c r="D18" s="19"/>
      <c r="E18" s="10"/>
      <c r="F18" s="10"/>
      <c r="G18" s="10"/>
      <c r="H18" s="10"/>
      <c r="I18" s="10"/>
      <c r="J18" s="10"/>
      <c r="K18" s="20"/>
      <c r="L18" s="28"/>
      <c r="M18" s="36"/>
      <c r="N18" s="9"/>
      <c r="O18" s="9"/>
      <c r="P18" s="31"/>
      <c r="Q18" s="9"/>
      <c r="R18" s="10"/>
      <c r="S18" s="9"/>
      <c r="T18" s="9"/>
      <c r="U18" s="21"/>
    </row>
    <row r="19" spans="1:21" x14ac:dyDescent="0.2">
      <c r="A19" s="23"/>
      <c r="B19" s="10"/>
      <c r="C19" s="9"/>
      <c r="D19" s="19"/>
      <c r="E19" s="10"/>
      <c r="F19" s="57" t="s">
        <v>82</v>
      </c>
      <c r="G19" s="10">
        <v>2004</v>
      </c>
      <c r="H19" s="10">
        <v>3</v>
      </c>
      <c r="I19" s="10">
        <f>+G19+H19-1</f>
        <v>2006</v>
      </c>
      <c r="J19" s="26">
        <v>0.33300000000000002</v>
      </c>
      <c r="K19" s="20"/>
      <c r="L19" s="28">
        <v>13910.4</v>
      </c>
      <c r="M19" s="29">
        <f t="shared" si="0"/>
        <v>3</v>
      </c>
      <c r="N19" s="30">
        <f t="shared" si="1"/>
        <v>0</v>
      </c>
      <c r="O19" s="28">
        <f t="shared" si="2"/>
        <v>4632.1632</v>
      </c>
      <c r="P19" s="31"/>
      <c r="Q19" s="28">
        <f>IF(I19&gt;=$C$4,+O19,0)+13.91</f>
        <v>13.91</v>
      </c>
      <c r="R19" s="10"/>
      <c r="S19" s="28">
        <f>+O19*M19+13.91</f>
        <v>13910.399600000001</v>
      </c>
      <c r="T19" s="28">
        <f t="shared" si="3"/>
        <v>3.9999999899009708E-4</v>
      </c>
      <c r="U19" s="21">
        <v>2006</v>
      </c>
    </row>
    <row r="20" spans="1:21" x14ac:dyDescent="0.2">
      <c r="A20" s="23" t="s">
        <v>86</v>
      </c>
      <c r="B20" s="10"/>
      <c r="C20" s="9"/>
      <c r="D20" s="19"/>
      <c r="E20" s="10"/>
      <c r="F20" s="65">
        <v>38656</v>
      </c>
      <c r="G20" s="10">
        <v>2005</v>
      </c>
      <c r="H20" s="10">
        <v>3</v>
      </c>
      <c r="I20" s="10">
        <v>2006</v>
      </c>
      <c r="J20" s="26">
        <v>0.33300000000000002</v>
      </c>
      <c r="K20" s="20"/>
      <c r="L20" s="28">
        <v>2158.92</v>
      </c>
      <c r="M20" s="29">
        <f>IF(+L20&gt;0,IF(+$C$4-G20+1&gt;H20,H20,+$C$4-G20+1),0)+1</f>
        <v>4</v>
      </c>
      <c r="N20" s="30">
        <f>IF(I20&gt;=$C$4,+H20-M20,0)</f>
        <v>0</v>
      </c>
      <c r="O20" s="28">
        <f>+L20*J20</f>
        <v>718.92036000000007</v>
      </c>
      <c r="P20" s="31"/>
      <c r="Q20" s="28">
        <f>IF(I20&gt;=$C$4,+O20,0)*2</f>
        <v>0</v>
      </c>
      <c r="R20" s="10"/>
      <c r="S20" s="28">
        <f>+O20*M20+2.16</f>
        <v>2877.8414400000001</v>
      </c>
      <c r="T20" s="28">
        <f>+L20-S20</f>
        <v>-718.92144000000008</v>
      </c>
      <c r="U20" s="21">
        <v>2006</v>
      </c>
    </row>
    <row r="21" spans="1:21" x14ac:dyDescent="0.2">
      <c r="A21" s="67" t="s">
        <v>88</v>
      </c>
      <c r="B21" s="10"/>
      <c r="C21" s="9"/>
      <c r="D21" s="19"/>
      <c r="E21" s="10"/>
      <c r="F21" s="57"/>
      <c r="G21" s="10"/>
      <c r="H21" s="10"/>
      <c r="I21" s="10"/>
      <c r="J21" s="26"/>
      <c r="K21" s="20"/>
      <c r="L21" s="28">
        <v>-306271.5</v>
      </c>
      <c r="M21" s="36"/>
      <c r="N21" s="9"/>
      <c r="O21" s="9"/>
      <c r="P21" s="31"/>
      <c r="Q21" s="9"/>
      <c r="R21" s="10"/>
      <c r="S21" s="9">
        <v>-306271.5</v>
      </c>
      <c r="T21" s="9"/>
      <c r="U21" s="21"/>
    </row>
    <row r="22" spans="1:21" s="6" customFormat="1" x14ac:dyDescent="0.2">
      <c r="A22" s="37" t="s">
        <v>26</v>
      </c>
      <c r="B22" s="38"/>
      <c r="C22" s="22"/>
      <c r="D22" s="32"/>
      <c r="E22" s="38"/>
      <c r="G22" s="38"/>
      <c r="H22" s="38"/>
      <c r="I22" s="38"/>
      <c r="J22" s="38"/>
      <c r="K22" s="39"/>
      <c r="L22" s="40">
        <f>SUM(L7:L21)</f>
        <v>0</v>
      </c>
      <c r="M22" s="41"/>
      <c r="N22" s="22"/>
      <c r="O22" s="22"/>
      <c r="P22" s="42"/>
      <c r="Q22" s="63">
        <f>SUM(Q7:Q20)</f>
        <v>36.81</v>
      </c>
      <c r="R22" s="41"/>
      <c r="S22" s="63">
        <f>SUM(S7:S21)</f>
        <v>718.92097999993712</v>
      </c>
      <c r="T22" s="40">
        <f>+L22-S22</f>
        <v>-718.92097999993712</v>
      </c>
      <c r="U22" s="43"/>
    </row>
    <row r="23" spans="1:21" s="6" customFormat="1" x14ac:dyDescent="0.2">
      <c r="A23" s="37"/>
      <c r="B23" s="38"/>
      <c r="C23" s="22"/>
      <c r="D23" s="32"/>
      <c r="E23" s="38"/>
      <c r="F23" s="38"/>
      <c r="G23" s="38"/>
      <c r="H23" s="38"/>
      <c r="I23" s="38"/>
      <c r="J23" s="38"/>
      <c r="K23" s="39"/>
      <c r="L23" s="40"/>
      <c r="M23" s="41"/>
      <c r="N23" s="22"/>
      <c r="O23" s="22"/>
      <c r="P23" s="42"/>
      <c r="Q23" s="22"/>
      <c r="R23" s="38"/>
      <c r="S23" s="22"/>
      <c r="T23" s="22"/>
      <c r="U23" s="43"/>
    </row>
    <row r="24" spans="1:21" s="6" customFormat="1" x14ac:dyDescent="0.2">
      <c r="A24" s="66" t="s">
        <v>86</v>
      </c>
      <c r="B24" s="38"/>
      <c r="C24" s="22"/>
      <c r="D24" s="32" t="s">
        <v>73</v>
      </c>
      <c r="E24" s="38"/>
      <c r="F24" s="38"/>
      <c r="G24" s="38"/>
      <c r="H24" s="38"/>
      <c r="I24" s="38"/>
      <c r="J24" s="38"/>
      <c r="K24" s="39"/>
      <c r="L24" s="40">
        <v>0</v>
      </c>
      <c r="M24" s="41"/>
      <c r="N24" s="22"/>
      <c r="O24" s="22"/>
      <c r="P24" s="42"/>
      <c r="Q24" s="40">
        <v>6108.99</v>
      </c>
      <c r="R24" s="41" t="s">
        <v>97</v>
      </c>
      <c r="S24" s="40">
        <v>0</v>
      </c>
      <c r="T24" s="40">
        <v>0</v>
      </c>
      <c r="U24" s="43"/>
    </row>
    <row r="25" spans="1:21" s="6" customFormat="1" x14ac:dyDescent="0.2">
      <c r="A25" s="37"/>
      <c r="B25" s="38"/>
      <c r="C25" s="22"/>
      <c r="D25" s="32"/>
      <c r="E25" s="38"/>
      <c r="F25" s="38"/>
      <c r="G25" s="38"/>
      <c r="H25" s="38"/>
      <c r="I25" s="38"/>
      <c r="J25" s="38"/>
      <c r="K25" s="39"/>
      <c r="L25" s="40"/>
      <c r="M25" s="41"/>
      <c r="N25" s="22"/>
      <c r="O25" s="22"/>
      <c r="P25" s="42"/>
      <c r="Q25" s="22"/>
      <c r="R25" s="38"/>
      <c r="S25" s="22"/>
      <c r="T25" s="22"/>
      <c r="U25" s="43"/>
    </row>
    <row r="26" spans="1:21" s="6" customFormat="1" x14ac:dyDescent="0.2">
      <c r="A26" s="37" t="s">
        <v>27</v>
      </c>
      <c r="B26" s="38"/>
      <c r="C26" s="22"/>
      <c r="D26" s="32"/>
      <c r="E26" s="38"/>
      <c r="F26" s="38"/>
      <c r="G26" s="38"/>
      <c r="H26" s="38"/>
      <c r="I26" s="38"/>
      <c r="J26" s="38"/>
      <c r="K26" s="39"/>
      <c r="L26" s="40">
        <f>+L22-L24</f>
        <v>0</v>
      </c>
      <c r="M26" s="41"/>
      <c r="N26" s="22" t="s">
        <v>24</v>
      </c>
      <c r="O26" s="22"/>
      <c r="P26" s="42"/>
      <c r="Q26" s="40">
        <f>+Q22-Q24</f>
        <v>-6072.1799999999994</v>
      </c>
      <c r="R26" s="41"/>
      <c r="S26" s="40">
        <f>+S22-S24</f>
        <v>718.92097999993712</v>
      </c>
      <c r="T26" s="40">
        <f>+T22-T24</f>
        <v>-718.92097999993712</v>
      </c>
      <c r="U26" s="43"/>
    </row>
    <row r="27" spans="1:21" ht="13.5" thickBot="1" x14ac:dyDescent="0.25">
      <c r="A27" s="44"/>
      <c r="B27" s="45"/>
      <c r="C27" s="46"/>
      <c r="D27" s="47"/>
      <c r="E27" s="45"/>
      <c r="F27" s="45"/>
      <c r="G27" s="45"/>
      <c r="H27" s="45"/>
      <c r="I27" s="45"/>
      <c r="J27" s="45"/>
      <c r="K27" s="48"/>
      <c r="L27" s="49"/>
      <c r="M27" s="50"/>
      <c r="N27" s="46"/>
      <c r="O27" s="46"/>
      <c r="P27" s="51"/>
      <c r="Q27" s="46"/>
      <c r="R27" s="45"/>
      <c r="S27" s="46"/>
      <c r="T27" s="46"/>
      <c r="U27" s="52"/>
    </row>
    <row r="28" spans="1:21" ht="13.5" thickTop="1" x14ac:dyDescent="0.2"/>
    <row r="31" spans="1:21" x14ac:dyDescent="0.2">
      <c r="Q31" s="64" t="s">
        <v>85</v>
      </c>
      <c r="R31" s="2"/>
      <c r="S31" s="58" t="s">
        <v>84</v>
      </c>
    </row>
    <row r="32" spans="1:21" x14ac:dyDescent="0.2">
      <c r="R32" s="59" t="s">
        <v>87</v>
      </c>
      <c r="S32" s="60">
        <v>300162.51</v>
      </c>
    </row>
    <row r="33" spans="17:19" x14ac:dyDescent="0.2">
      <c r="Q33" s="53">
        <v>6108.99</v>
      </c>
      <c r="R33" s="59">
        <v>2006</v>
      </c>
      <c r="S33" s="60">
        <f>6108.99+S21</f>
        <v>-300162.51</v>
      </c>
    </row>
    <row r="34" spans="17:19" x14ac:dyDescent="0.2">
      <c r="R34" s="59"/>
      <c r="S34" s="60">
        <f>SUM(S32:S33)</f>
        <v>0</v>
      </c>
    </row>
    <row r="35" spans="17:19" x14ac:dyDescent="0.2">
      <c r="Q35" s="53">
        <f>+S35</f>
        <v>0</v>
      </c>
      <c r="R35" s="59" t="s">
        <v>83</v>
      </c>
      <c r="S35" s="60"/>
    </row>
    <row r="36" spans="17:19" x14ac:dyDescent="0.2">
      <c r="R36" s="59"/>
      <c r="S36" s="60"/>
    </row>
    <row r="37" spans="17:19" x14ac:dyDescent="0.2">
      <c r="Q37" s="56">
        <f>SUM(Q33:Q35)</f>
        <v>6108.99</v>
      </c>
      <c r="R37" s="61"/>
      <c r="S37" s="62">
        <f>SUM(S34:S35)</f>
        <v>0</v>
      </c>
    </row>
  </sheetData>
  <phoneticPr fontId="0" type="noConversion"/>
  <printOptions horizontalCentered="1" verticalCentered="1" gridLines="1"/>
  <pageMargins left="0.25" right="0.25" top="0.25" bottom="0.25" header="0.5" footer="0.5"/>
  <pageSetup scale="48" orientation="landscape" r:id="rId1"/>
  <headerFooter alignWithMargins="0">
    <oddHeader>&amp;L&amp;D      &amp;T&amp;C&amp;F&amp;R&amp;A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opLeftCell="B1" workbookViewId="0">
      <selection activeCell="F23" sqref="F23"/>
    </sheetView>
  </sheetViews>
  <sheetFormatPr defaultColWidth="9.140625" defaultRowHeight="12.75" x14ac:dyDescent="0.2"/>
  <cols>
    <col min="1" max="1" width="34.42578125" style="78" bestFit="1" customWidth="1"/>
    <col min="2" max="2" width="14.42578125" style="78" customWidth="1"/>
    <col min="3" max="3" width="10.28515625" style="79" bestFit="1" customWidth="1"/>
    <col min="4" max="4" width="9" style="79" bestFit="1" customWidth="1"/>
    <col min="5" max="5" width="6.5703125" style="79" customWidth="1"/>
    <col min="6" max="6" width="9.85546875" style="79" bestFit="1" customWidth="1"/>
    <col min="7" max="7" width="7.7109375" style="79" customWidth="1"/>
    <col min="8" max="8" width="21.42578125" style="80" customWidth="1"/>
    <col min="9" max="9" width="12" style="77" bestFit="1" customWidth="1"/>
    <col min="10" max="10" width="10.5703125" style="79" customWidth="1"/>
    <col min="11" max="11" width="10" style="77" customWidth="1"/>
    <col min="12" max="12" width="11" style="77" bestFit="1" customWidth="1"/>
    <col min="13" max="13" width="20" style="77" bestFit="1" customWidth="1"/>
    <col min="14" max="14" width="11.140625" style="77" bestFit="1" customWidth="1"/>
    <col min="15" max="15" width="11.7109375" style="77" bestFit="1" customWidth="1"/>
    <col min="16" max="16" width="10.5703125" style="79" customWidth="1"/>
    <col min="17" max="16384" width="9.140625" style="77"/>
  </cols>
  <sheetData>
    <row r="1" spans="1:24" x14ac:dyDescent="0.2">
      <c r="A1" s="147" t="s">
        <v>102</v>
      </c>
      <c r="B1" s="76"/>
    </row>
    <row r="2" spans="1:24" x14ac:dyDescent="0.2">
      <c r="A2" s="81" t="s">
        <v>0</v>
      </c>
      <c r="B2" s="76"/>
      <c r="J2" s="97" t="s">
        <v>103</v>
      </c>
      <c r="M2" s="371" t="s">
        <v>104</v>
      </c>
      <c r="N2" s="79"/>
    </row>
    <row r="3" spans="1:24" x14ac:dyDescent="0.2">
      <c r="A3" s="81" t="s">
        <v>73</v>
      </c>
      <c r="B3" s="76"/>
      <c r="J3" s="97"/>
      <c r="M3" s="371"/>
      <c r="N3" s="79"/>
    </row>
    <row r="4" spans="1:24" x14ac:dyDescent="0.2">
      <c r="A4" s="194" t="s">
        <v>113</v>
      </c>
      <c r="B4" s="371" t="s">
        <v>270</v>
      </c>
      <c r="J4" s="194" t="s">
        <v>92</v>
      </c>
      <c r="M4" s="371" t="s">
        <v>271</v>
      </c>
      <c r="N4" s="111"/>
    </row>
    <row r="5" spans="1:24" x14ac:dyDescent="0.2">
      <c r="A5" s="81"/>
      <c r="B5" s="76"/>
    </row>
    <row r="6" spans="1:24" x14ac:dyDescent="0.2">
      <c r="A6" s="81" t="s">
        <v>1</v>
      </c>
      <c r="B6" s="188">
        <v>2012</v>
      </c>
    </row>
    <row r="8" spans="1:24" s="81" customFormat="1" ht="51" x14ac:dyDescent="0.2">
      <c r="A8" s="186" t="s">
        <v>5</v>
      </c>
      <c r="B8" s="186" t="s">
        <v>6</v>
      </c>
      <c r="C8" s="186" t="s">
        <v>7</v>
      </c>
      <c r="D8" s="168" t="s">
        <v>106</v>
      </c>
      <c r="E8" s="186" t="s">
        <v>9</v>
      </c>
      <c r="F8" s="168" t="s">
        <v>107</v>
      </c>
      <c r="G8" s="168" t="s">
        <v>105</v>
      </c>
      <c r="H8" s="186" t="s">
        <v>12</v>
      </c>
      <c r="I8" s="186" t="s">
        <v>13</v>
      </c>
      <c r="J8" s="186" t="s">
        <v>108</v>
      </c>
      <c r="K8" s="186" t="s">
        <v>15</v>
      </c>
      <c r="L8" s="170" t="s">
        <v>111</v>
      </c>
      <c r="M8" s="187" t="s">
        <v>110</v>
      </c>
      <c r="N8" s="187" t="s">
        <v>109</v>
      </c>
      <c r="O8" s="187" t="s">
        <v>112</v>
      </c>
      <c r="P8" s="168" t="s">
        <v>101</v>
      </c>
      <c r="Q8" s="83"/>
      <c r="R8" s="83"/>
      <c r="S8" s="83"/>
      <c r="T8" s="83"/>
      <c r="U8" s="83"/>
      <c r="V8" s="83"/>
      <c r="W8" s="83"/>
      <c r="X8" s="83"/>
    </row>
    <row r="9" spans="1:24" x14ac:dyDescent="0.2">
      <c r="A9" s="215" t="s">
        <v>319</v>
      </c>
      <c r="B9" s="215"/>
      <c r="C9" s="205"/>
      <c r="D9" s="173">
        <v>2010</v>
      </c>
      <c r="E9" s="343">
        <v>5</v>
      </c>
      <c r="F9" s="173">
        <f t="shared" ref="F9:F11" si="0">+D9+E9-1</f>
        <v>2014</v>
      </c>
      <c r="G9" s="342">
        <f t="shared" ref="G9:G11" si="1">IF(E9&gt;0,1/E9,0)</f>
        <v>0.2</v>
      </c>
      <c r="H9" s="173"/>
      <c r="I9" s="376">
        <v>81444</v>
      </c>
      <c r="J9" s="209">
        <v>3</v>
      </c>
      <c r="K9" s="209">
        <f>IF(F9&gt;=$B$6,+E9-J9,0)</f>
        <v>2</v>
      </c>
      <c r="L9" s="261">
        <f>ROUND(+I9*G9,2)</f>
        <v>16288.8</v>
      </c>
      <c r="M9" s="261">
        <f>IF(F9&gt;=$B$6,+L9,0)</f>
        <v>16288.8</v>
      </c>
      <c r="N9" s="261">
        <f>+L9*J9</f>
        <v>48866.399999999994</v>
      </c>
      <c r="O9" s="261">
        <f>+I9-N9</f>
        <v>32577.600000000006</v>
      </c>
      <c r="P9" s="205"/>
    </row>
    <row r="10" spans="1:24" x14ac:dyDescent="0.2">
      <c r="A10" s="215" t="s">
        <v>319</v>
      </c>
      <c r="B10" s="215"/>
      <c r="C10" s="205"/>
      <c r="D10" s="173">
        <v>2011</v>
      </c>
      <c r="E10" s="179">
        <v>5</v>
      </c>
      <c r="F10" s="173">
        <f t="shared" si="0"/>
        <v>2015</v>
      </c>
      <c r="G10" s="342">
        <f t="shared" si="1"/>
        <v>0.2</v>
      </c>
      <c r="H10" s="173"/>
      <c r="I10" s="221">
        <v>27259</v>
      </c>
      <c r="J10" s="209">
        <v>2</v>
      </c>
      <c r="K10" s="209">
        <f>IF(F10&gt;=$B$6,+E10-J10,0)</f>
        <v>3</v>
      </c>
      <c r="L10" s="261">
        <f>ROUND(+I10*G10,2)</f>
        <v>5451.8</v>
      </c>
      <c r="M10" s="261">
        <f>IF(F10&gt;=$B$6,+L10,0)</f>
        <v>5451.8</v>
      </c>
      <c r="N10" s="261">
        <f>+L10*J10</f>
        <v>10903.6</v>
      </c>
      <c r="O10" s="261">
        <f>+I10-N10</f>
        <v>16355.4</v>
      </c>
      <c r="P10" s="205"/>
    </row>
    <row r="11" spans="1:24" x14ac:dyDescent="0.2">
      <c r="A11" s="215"/>
      <c r="B11" s="215"/>
      <c r="C11" s="205"/>
      <c r="D11" s="173">
        <v>2012</v>
      </c>
      <c r="E11" s="179">
        <v>5</v>
      </c>
      <c r="F11" s="173">
        <f t="shared" si="0"/>
        <v>2016</v>
      </c>
      <c r="G11" s="342">
        <f t="shared" si="1"/>
        <v>0.2</v>
      </c>
      <c r="H11" s="173"/>
      <c r="I11" s="221">
        <v>14263.23</v>
      </c>
      <c r="J11" s="209">
        <v>1</v>
      </c>
      <c r="K11" s="209">
        <f>IF(F11&gt;=$B$6,+E11-J11,0)</f>
        <v>4</v>
      </c>
      <c r="L11" s="261">
        <f>ROUND(+I11*G11,2)</f>
        <v>2852.65</v>
      </c>
      <c r="M11" s="261">
        <f>IF(F11&gt;=$B$6,+L11,0)</f>
        <v>2852.65</v>
      </c>
      <c r="N11" s="261">
        <f>+L11*J11</f>
        <v>2852.65</v>
      </c>
      <c r="O11" s="261">
        <f>+I11-N11</f>
        <v>11410.58</v>
      </c>
      <c r="P11" s="205"/>
    </row>
    <row r="12" spans="1:24" ht="25.5" x14ac:dyDescent="0.2">
      <c r="A12" s="215"/>
      <c r="B12" s="215" t="s">
        <v>321</v>
      </c>
      <c r="C12" s="205"/>
      <c r="D12" s="173">
        <v>2012</v>
      </c>
      <c r="E12" s="179">
        <v>10</v>
      </c>
      <c r="F12" s="173">
        <f t="shared" ref="F12" si="2">+D12+E12-1</f>
        <v>2021</v>
      </c>
      <c r="G12" s="342">
        <f t="shared" ref="G12" si="3">IF(E12&gt;0,1/E12,0)</f>
        <v>0.1</v>
      </c>
      <c r="H12" s="173"/>
      <c r="I12" s="221">
        <v>353134.18</v>
      </c>
      <c r="J12" s="209">
        <v>1</v>
      </c>
      <c r="K12" s="209">
        <f>IF(F12&gt;=$B$6,+E12-J12,0)</f>
        <v>9</v>
      </c>
      <c r="L12" s="261">
        <f>ROUND(+I12*G12,2)</f>
        <v>35313.42</v>
      </c>
      <c r="M12" s="261">
        <f>IF(F12&gt;=$B$6,+L12,0)</f>
        <v>35313.42</v>
      </c>
      <c r="N12" s="261">
        <f>+L12*J12</f>
        <v>35313.42</v>
      </c>
      <c r="O12" s="261">
        <f>+I12-N12</f>
        <v>317820.76</v>
      </c>
      <c r="P12" s="205"/>
    </row>
    <row r="13" spans="1:24" x14ac:dyDescent="0.2">
      <c r="A13" s="204"/>
      <c r="B13" s="149"/>
      <c r="C13" s="205"/>
      <c r="D13" s="206"/>
      <c r="E13" s="206"/>
      <c r="F13" s="206"/>
      <c r="G13" s="207"/>
      <c r="H13" s="336"/>
      <c r="I13" s="220"/>
      <c r="J13" s="209"/>
      <c r="K13" s="209"/>
      <c r="L13" s="220"/>
      <c r="M13" s="220"/>
      <c r="N13" s="220"/>
      <c r="O13" s="220"/>
      <c r="P13" s="205"/>
    </row>
    <row r="14" spans="1:24" s="81" customFormat="1" x14ac:dyDescent="0.2">
      <c r="A14" s="149" t="s">
        <v>100</v>
      </c>
      <c r="B14" s="149"/>
      <c r="C14" s="212"/>
      <c r="D14" s="212"/>
      <c r="E14" s="212"/>
      <c r="F14" s="212"/>
      <c r="G14" s="212"/>
      <c r="H14" s="337"/>
      <c r="I14" s="223">
        <f>SUM(I9:I13)</f>
        <v>476100.41</v>
      </c>
      <c r="J14" s="224"/>
      <c r="K14" s="223"/>
      <c r="L14" s="223" t="s">
        <v>24</v>
      </c>
      <c r="M14" s="230">
        <f>SUM(M9:M13)</f>
        <v>59906.67</v>
      </c>
      <c r="N14" s="223">
        <f>SUM(N9:N13)</f>
        <v>97936.069999999992</v>
      </c>
      <c r="O14" s="223">
        <f>SUM(O9:O13)</f>
        <v>378164.34</v>
      </c>
      <c r="P14" s="212"/>
    </row>
    <row r="15" spans="1:24" s="81" customFormat="1" x14ac:dyDescent="0.2">
      <c r="A15" s="93"/>
      <c r="B15" s="93"/>
      <c r="C15" s="92"/>
      <c r="D15" s="92"/>
      <c r="E15" s="92"/>
      <c r="F15" s="92"/>
      <c r="G15" s="92"/>
      <c r="H15" s="83"/>
      <c r="I15" s="225"/>
      <c r="J15" s="226"/>
      <c r="K15" s="225"/>
      <c r="L15" s="225"/>
      <c r="M15" s="225"/>
      <c r="N15" s="225"/>
      <c r="O15" s="225"/>
      <c r="P15" s="92"/>
    </row>
    <row r="16" spans="1:24" s="81" customFormat="1" x14ac:dyDescent="0.2">
      <c r="A16" s="93"/>
      <c r="B16" s="93"/>
      <c r="C16" s="92"/>
      <c r="D16" s="92"/>
      <c r="E16" s="92"/>
      <c r="F16" s="92"/>
      <c r="G16" s="92"/>
      <c r="H16" s="341"/>
      <c r="I16" s="225"/>
      <c r="J16" s="226"/>
      <c r="K16" s="225"/>
      <c r="L16" s="225">
        <f>SUM(L9:L15)</f>
        <v>59906.67</v>
      </c>
      <c r="M16" s="225"/>
      <c r="N16" s="225">
        <v>0</v>
      </c>
      <c r="O16" s="225"/>
      <c r="P16" s="92"/>
    </row>
    <row r="17" spans="1:16" s="81" customFormat="1" x14ac:dyDescent="0.2">
      <c r="A17" s="93"/>
      <c r="B17" s="93"/>
      <c r="C17" s="92"/>
      <c r="D17" s="92"/>
      <c r="E17" s="92"/>
      <c r="F17" s="92"/>
      <c r="G17" s="92"/>
      <c r="H17" s="92"/>
      <c r="I17" s="225"/>
      <c r="J17" s="226"/>
      <c r="K17" s="225"/>
      <c r="L17" s="225"/>
      <c r="M17" s="225"/>
      <c r="N17" s="225"/>
      <c r="O17" s="225"/>
      <c r="P17" s="92"/>
    </row>
    <row r="18" spans="1:16" s="81" customFormat="1" x14ac:dyDescent="0.2">
      <c r="A18" s="93"/>
      <c r="B18" s="93"/>
      <c r="C18" s="92"/>
      <c r="D18" s="92"/>
      <c r="E18" s="92"/>
      <c r="F18" s="92"/>
      <c r="G18" s="92"/>
      <c r="H18" s="92"/>
      <c r="I18" s="225"/>
      <c r="J18" s="226"/>
      <c r="K18" s="225"/>
      <c r="L18" s="225"/>
      <c r="M18" s="225"/>
      <c r="N18" s="225">
        <f>+N14-N16</f>
        <v>97936.069999999992</v>
      </c>
      <c r="O18" s="225"/>
      <c r="P18" s="92"/>
    </row>
    <row r="19" spans="1:16" x14ac:dyDescent="0.2">
      <c r="H19" s="302"/>
      <c r="I19" s="86"/>
      <c r="J19" s="90"/>
      <c r="M19" s="112"/>
      <c r="N19" s="116" t="s">
        <v>24</v>
      </c>
    </row>
    <row r="20" spans="1:16" x14ac:dyDescent="0.2">
      <c r="H20" s="302"/>
      <c r="I20" s="86"/>
      <c r="J20" s="90"/>
      <c r="M20" s="112"/>
      <c r="N20" s="116"/>
      <c r="P20" s="151"/>
    </row>
    <row r="21" spans="1:16" x14ac:dyDescent="0.2">
      <c r="H21" s="302"/>
      <c r="I21" s="86"/>
      <c r="J21" s="90"/>
      <c r="M21" s="112"/>
      <c r="N21" s="116"/>
    </row>
    <row r="22" spans="1:16" x14ac:dyDescent="0.2">
      <c r="H22" s="378"/>
      <c r="I22" s="116"/>
      <c r="J22" s="125"/>
      <c r="M22" s="112"/>
      <c r="N22" s="116"/>
    </row>
    <row r="23" spans="1:16" x14ac:dyDescent="0.2">
      <c r="I23" s="86"/>
      <c r="J23" s="90"/>
      <c r="M23" s="112"/>
      <c r="N23" s="116"/>
    </row>
    <row r="24" spans="1:16" x14ac:dyDescent="0.2">
      <c r="N24" s="86"/>
    </row>
    <row r="25" spans="1:16" x14ac:dyDescent="0.2">
      <c r="A25" s="113"/>
      <c r="B25" s="113"/>
      <c r="C25" s="133"/>
      <c r="D25" s="111"/>
      <c r="E25" s="111"/>
      <c r="F25" s="111"/>
      <c r="G25" s="114"/>
      <c r="H25" s="115"/>
      <c r="I25" s="116"/>
      <c r="J25" s="117"/>
      <c r="K25" s="118"/>
      <c r="L25" s="116"/>
      <c r="M25" s="198"/>
      <c r="N25" s="199"/>
      <c r="O25" s="86"/>
    </row>
    <row r="26" spans="1:16" x14ac:dyDescent="0.2">
      <c r="M26" s="135"/>
      <c r="N26" s="200"/>
    </row>
    <row r="27" spans="1:16" x14ac:dyDescent="0.2">
      <c r="M27" s="201"/>
      <c r="N27" s="200"/>
    </row>
    <row r="28" spans="1:16" x14ac:dyDescent="0.2">
      <c r="M28" s="135"/>
      <c r="N28" s="200"/>
    </row>
    <row r="29" spans="1:16" x14ac:dyDescent="0.2">
      <c r="M29" s="201"/>
      <c r="N29" s="200"/>
    </row>
    <row r="30" spans="1:16" x14ac:dyDescent="0.2">
      <c r="M30" s="135"/>
      <c r="N30" s="200"/>
    </row>
    <row r="31" spans="1:16" x14ac:dyDescent="0.2">
      <c r="M31" s="202"/>
      <c r="N31" s="202"/>
    </row>
    <row r="32" spans="1:16" x14ac:dyDescent="0.2">
      <c r="A32" s="77"/>
      <c r="B32" s="77"/>
      <c r="C32" s="77"/>
      <c r="D32" s="77"/>
      <c r="E32" s="77"/>
      <c r="F32" s="77"/>
      <c r="G32" s="77"/>
      <c r="H32" s="77"/>
      <c r="J32" s="77"/>
      <c r="M32" s="135"/>
      <c r="N32" s="135"/>
      <c r="P32" s="77"/>
    </row>
    <row r="33" spans="1:16" x14ac:dyDescent="0.2">
      <c r="A33" s="77"/>
      <c r="B33" s="77"/>
      <c r="C33" s="77"/>
      <c r="D33" s="77"/>
      <c r="E33" s="77"/>
      <c r="F33" s="77"/>
      <c r="G33" s="77"/>
      <c r="H33" s="77"/>
      <c r="J33" s="77"/>
      <c r="M33" s="135"/>
      <c r="N33" s="135"/>
      <c r="P33" s="77"/>
    </row>
  </sheetData>
  <printOptions horizontalCentered="1"/>
  <pageMargins left="0.39370078740157483" right="0.39370078740157483" top="0.39370078740157483" bottom="0.78740157480314965" header="0" footer="0.59055118110236227"/>
  <pageSetup scale="67" orientation="landscape" r:id="rId1"/>
  <headerFooter>
    <oddFooter>&amp;L&amp;"Calibri,Regular"&amp;D&amp;C&amp;"Calibri,Regular"Page &amp;P of &amp;N&amp;R&amp;"Calibri,Regular"&amp;F
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7"/>
  <sheetViews>
    <sheetView workbookViewId="0">
      <pane xSplit="1" ySplit="11" topLeftCell="B12" activePane="bottomRight" state="frozen"/>
      <selection activeCell="F7" sqref="F7"/>
      <selection pane="topRight" activeCell="F7" sqref="F7"/>
      <selection pane="bottomLeft" activeCell="F7" sqref="F7"/>
      <selection pane="bottomRight" activeCell="A13" sqref="A13"/>
    </sheetView>
  </sheetViews>
  <sheetFormatPr defaultRowHeight="15" x14ac:dyDescent="0.25"/>
  <cols>
    <col min="1" max="1" width="6.42578125" style="428" customWidth="1"/>
    <col min="2" max="2" width="10.140625" style="430" customWidth="1"/>
    <col min="3" max="3" width="11.5703125" style="430" bestFit="1" customWidth="1"/>
    <col min="4" max="4" width="12.42578125" style="430" bestFit="1" customWidth="1"/>
    <col min="5" max="5" width="10.5703125" style="430" bestFit="1" customWidth="1"/>
    <col min="6" max="6" width="19.7109375" style="430" bestFit="1" customWidth="1"/>
    <col min="7" max="7" width="9.5703125" style="430" bestFit="1" customWidth="1"/>
    <col min="8" max="9" width="10.5703125" style="430" bestFit="1" customWidth="1"/>
    <col min="10" max="11" width="9.5703125" style="430" bestFit="1" customWidth="1"/>
    <col min="12" max="12" width="10.5703125" style="430" bestFit="1" customWidth="1"/>
    <col min="13" max="13" width="11.5703125" style="430" bestFit="1" customWidth="1"/>
    <col min="14" max="14" width="10.5703125" style="430" bestFit="1" customWidth="1"/>
    <col min="15" max="15" width="11.5703125" style="430" bestFit="1" customWidth="1"/>
    <col min="16" max="18" width="10.5703125" style="430" bestFit="1" customWidth="1"/>
    <col min="19" max="19" width="9.5703125" style="430" bestFit="1" customWidth="1"/>
    <col min="20" max="20" width="3.5703125" style="430" customWidth="1"/>
    <col min="21" max="21" width="13.28515625" style="430" bestFit="1" customWidth="1"/>
    <col min="22" max="22" width="9.140625" style="430"/>
    <col min="23" max="23" width="13.28515625" style="430" bestFit="1" customWidth="1"/>
    <col min="24" max="24" width="11.5703125" style="430" bestFit="1" customWidth="1"/>
    <col min="25" max="16384" width="9.140625" style="430"/>
  </cols>
  <sheetData>
    <row r="1" spans="1:31" x14ac:dyDescent="0.25">
      <c r="A1" s="428" t="s">
        <v>322</v>
      </c>
      <c r="B1" s="429"/>
      <c r="C1" s="429"/>
    </row>
    <row r="2" spans="1:31" x14ac:dyDescent="0.25">
      <c r="A2" s="428" t="s">
        <v>323</v>
      </c>
      <c r="B2" s="431" t="s">
        <v>324</v>
      </c>
    </row>
    <row r="4" spans="1:31" x14ac:dyDescent="0.25">
      <c r="A4" s="428">
        <v>2011</v>
      </c>
      <c r="B4" s="430" t="s">
        <v>310</v>
      </c>
      <c r="C4" s="432">
        <v>676000</v>
      </c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</row>
    <row r="5" spans="1:31" x14ac:dyDescent="0.25">
      <c r="A5" s="428">
        <v>2011</v>
      </c>
      <c r="B5" s="430" t="s">
        <v>308</v>
      </c>
      <c r="C5" s="432">
        <v>0</v>
      </c>
      <c r="D5" s="432" t="s">
        <v>325</v>
      </c>
      <c r="E5" s="433">
        <v>5</v>
      </c>
      <c r="F5" s="432" t="s">
        <v>326</v>
      </c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4"/>
      <c r="X5" s="432"/>
      <c r="Y5" s="432"/>
      <c r="Z5" s="432"/>
      <c r="AA5" s="432"/>
      <c r="AB5" s="432"/>
      <c r="AC5" s="432"/>
      <c r="AD5" s="432"/>
      <c r="AE5" s="432"/>
    </row>
    <row r="6" spans="1:31" x14ac:dyDescent="0.25">
      <c r="A6" s="428" t="s">
        <v>327</v>
      </c>
      <c r="C6" s="432">
        <f>+C4-C5</f>
        <v>676000</v>
      </c>
      <c r="D6" s="432" t="s">
        <v>328</v>
      </c>
      <c r="E6" s="433">
        <v>6</v>
      </c>
      <c r="F6" s="432">
        <f>+C6/E6</f>
        <v>112666.66666666667</v>
      </c>
      <c r="G6" s="432"/>
      <c r="H6" s="432"/>
      <c r="I6" s="432" t="s">
        <v>329</v>
      </c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4"/>
      <c r="X6" s="432"/>
      <c r="Y6" s="432"/>
      <c r="Z6" s="432"/>
      <c r="AA6" s="432"/>
      <c r="AB6" s="432"/>
      <c r="AC6" s="432"/>
      <c r="AD6" s="432"/>
      <c r="AE6" s="432"/>
    </row>
    <row r="7" spans="1:31" x14ac:dyDescent="0.25"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4"/>
      <c r="X7" s="432"/>
      <c r="Y7" s="432"/>
      <c r="Z7" s="432"/>
      <c r="AA7" s="432"/>
      <c r="AB7" s="432"/>
      <c r="AC7" s="432"/>
      <c r="AD7" s="432"/>
      <c r="AE7" s="432"/>
    </row>
    <row r="8" spans="1:31" x14ac:dyDescent="0.25">
      <c r="A8" s="428" t="s">
        <v>330</v>
      </c>
      <c r="B8" s="435">
        <v>1963</v>
      </c>
      <c r="C8" s="435">
        <v>1968</v>
      </c>
      <c r="D8" s="435">
        <v>1980</v>
      </c>
      <c r="E8" s="435">
        <v>1987</v>
      </c>
      <c r="F8" s="435">
        <v>1993</v>
      </c>
      <c r="G8" s="435">
        <v>1995</v>
      </c>
      <c r="H8" s="435">
        <v>1998</v>
      </c>
      <c r="I8" s="435">
        <v>2001</v>
      </c>
      <c r="J8" s="435">
        <v>2002</v>
      </c>
      <c r="K8" s="435">
        <v>2002</v>
      </c>
      <c r="L8" s="435">
        <v>2004</v>
      </c>
      <c r="M8" s="435">
        <v>2008</v>
      </c>
      <c r="N8" s="435">
        <v>2010</v>
      </c>
      <c r="O8" s="435">
        <v>2011</v>
      </c>
      <c r="P8" s="435">
        <v>2011</v>
      </c>
      <c r="Q8" s="435">
        <v>2011</v>
      </c>
      <c r="R8" s="435">
        <v>2011</v>
      </c>
      <c r="S8" s="435">
        <v>2012</v>
      </c>
      <c r="T8" s="436"/>
      <c r="U8" s="437" t="s">
        <v>100</v>
      </c>
      <c r="V8" s="436"/>
      <c r="W8" s="434"/>
      <c r="X8" s="436"/>
      <c r="Y8" s="436"/>
      <c r="Z8" s="436"/>
      <c r="AA8" s="436"/>
      <c r="AB8" s="432"/>
      <c r="AC8" s="432"/>
      <c r="AD8" s="432"/>
      <c r="AE8" s="432"/>
    </row>
    <row r="9" spans="1:31" x14ac:dyDescent="0.25">
      <c r="A9" s="428" t="s">
        <v>331</v>
      </c>
      <c r="B9" s="436">
        <v>5</v>
      </c>
      <c r="C9" s="436">
        <v>1</v>
      </c>
      <c r="D9" s="436">
        <v>10</v>
      </c>
      <c r="E9" s="436">
        <v>10</v>
      </c>
      <c r="F9" s="436">
        <v>1</v>
      </c>
      <c r="G9" s="436">
        <v>5</v>
      </c>
      <c r="H9" s="436">
        <v>1</v>
      </c>
      <c r="I9" s="436">
        <v>5</v>
      </c>
      <c r="J9" s="436">
        <v>1</v>
      </c>
      <c r="K9" s="436">
        <v>10</v>
      </c>
      <c r="L9" s="436">
        <v>2</v>
      </c>
      <c r="M9" s="436">
        <v>8</v>
      </c>
      <c r="N9" s="436">
        <v>5</v>
      </c>
      <c r="O9" s="436">
        <v>14</v>
      </c>
      <c r="P9" s="436">
        <v>9</v>
      </c>
      <c r="Q9" s="436">
        <v>9</v>
      </c>
      <c r="R9" s="436">
        <v>9</v>
      </c>
      <c r="S9" s="436">
        <v>1</v>
      </c>
      <c r="T9" s="436"/>
      <c r="U9" s="436"/>
      <c r="V9" s="436"/>
      <c r="W9" s="434"/>
      <c r="X9" s="436"/>
      <c r="Y9" s="436"/>
      <c r="Z9" s="436"/>
      <c r="AA9" s="436"/>
      <c r="AB9" s="432"/>
      <c r="AC9" s="432"/>
      <c r="AD9" s="432"/>
      <c r="AE9" s="432"/>
    </row>
    <row r="10" spans="1:31" x14ac:dyDescent="0.25">
      <c r="A10" s="428" t="s">
        <v>4</v>
      </c>
      <c r="B10" s="437">
        <v>9556</v>
      </c>
      <c r="C10" s="437" t="s">
        <v>332</v>
      </c>
      <c r="D10" s="437" t="s">
        <v>99</v>
      </c>
      <c r="E10" s="437" t="s">
        <v>306</v>
      </c>
      <c r="F10" s="437">
        <v>9119</v>
      </c>
      <c r="G10" s="437">
        <v>9558</v>
      </c>
      <c r="H10" s="437">
        <v>9105</v>
      </c>
      <c r="I10" s="437">
        <v>9102</v>
      </c>
      <c r="J10" s="437">
        <v>9209</v>
      </c>
      <c r="K10" s="437" t="s">
        <v>307</v>
      </c>
      <c r="L10" s="437">
        <v>9213</v>
      </c>
      <c r="M10" s="437">
        <v>9103</v>
      </c>
      <c r="N10" s="437">
        <v>9208</v>
      </c>
      <c r="O10" s="437">
        <v>9101</v>
      </c>
      <c r="P10" s="437">
        <v>9214</v>
      </c>
      <c r="Q10" s="437">
        <v>9215</v>
      </c>
      <c r="R10" s="437">
        <v>9228</v>
      </c>
      <c r="S10" s="437">
        <v>9119</v>
      </c>
      <c r="T10" s="436"/>
      <c r="U10" s="436"/>
      <c r="V10" s="436"/>
      <c r="W10" s="434"/>
      <c r="X10" s="436"/>
      <c r="Y10" s="436"/>
      <c r="Z10" s="436"/>
      <c r="AA10" s="436"/>
      <c r="AB10" s="432"/>
      <c r="AC10" s="432"/>
      <c r="AD10" s="432"/>
      <c r="AE10" s="432"/>
    </row>
    <row r="11" spans="1:31" s="444" customFormat="1" ht="28.5" customHeight="1" x14ac:dyDescent="0.25">
      <c r="A11" s="438" t="s">
        <v>333</v>
      </c>
      <c r="B11" s="439" t="s">
        <v>334</v>
      </c>
      <c r="C11" s="439" t="s">
        <v>334</v>
      </c>
      <c r="D11" s="439" t="s">
        <v>334</v>
      </c>
      <c r="E11" s="439" t="s">
        <v>334</v>
      </c>
      <c r="F11" s="439" t="s">
        <v>335</v>
      </c>
      <c r="G11" s="439" t="s">
        <v>334</v>
      </c>
      <c r="H11" s="439" t="s">
        <v>335</v>
      </c>
      <c r="I11" s="439" t="s">
        <v>335</v>
      </c>
      <c r="J11" s="439" t="s">
        <v>335</v>
      </c>
      <c r="K11" s="439" t="s">
        <v>334</v>
      </c>
      <c r="L11" s="439" t="s">
        <v>335</v>
      </c>
      <c r="M11" s="439" t="s">
        <v>335</v>
      </c>
      <c r="N11" s="439" t="s">
        <v>335</v>
      </c>
      <c r="O11" s="439" t="s">
        <v>335</v>
      </c>
      <c r="P11" s="439" t="s">
        <v>335</v>
      </c>
      <c r="Q11" s="439" t="s">
        <v>335</v>
      </c>
      <c r="R11" s="439" t="s">
        <v>335</v>
      </c>
      <c r="S11" s="440" t="s">
        <v>336</v>
      </c>
      <c r="T11" s="441"/>
      <c r="U11" s="441"/>
      <c r="V11" s="441"/>
      <c r="W11" s="442"/>
      <c r="X11" s="441"/>
      <c r="Y11" s="441"/>
      <c r="Z11" s="441"/>
      <c r="AA11" s="441"/>
      <c r="AB11" s="443"/>
      <c r="AC11" s="443"/>
      <c r="AD11" s="443"/>
      <c r="AE11" s="443"/>
    </row>
    <row r="12" spans="1:31" x14ac:dyDescent="0.25">
      <c r="A12" s="428" t="s">
        <v>100</v>
      </c>
      <c r="B12" s="432">
        <v>4000</v>
      </c>
      <c r="C12" s="432">
        <v>2500</v>
      </c>
      <c r="D12" s="432">
        <v>25000</v>
      </c>
      <c r="E12" s="432">
        <v>30000</v>
      </c>
      <c r="F12" s="432">
        <v>21000</v>
      </c>
      <c r="G12" s="432">
        <v>2500</v>
      </c>
      <c r="H12" s="432">
        <v>26000</v>
      </c>
      <c r="I12" s="432">
        <v>38000</v>
      </c>
      <c r="J12" s="432">
        <v>7500</v>
      </c>
      <c r="K12" s="432">
        <v>8000</v>
      </c>
      <c r="L12" s="432">
        <v>28000</v>
      </c>
      <c r="M12" s="432">
        <v>125000</v>
      </c>
      <c r="N12" s="432">
        <v>19500</v>
      </c>
      <c r="O12" s="432">
        <v>250000</v>
      </c>
      <c r="P12" s="432">
        <v>25000</v>
      </c>
      <c r="Q12" s="432">
        <v>32000</v>
      </c>
      <c r="R12" s="432">
        <v>32000</v>
      </c>
      <c r="S12" s="445">
        <v>3340</v>
      </c>
      <c r="T12" s="432"/>
      <c r="U12" s="432">
        <f>SUM(B12:T12)</f>
        <v>679340</v>
      </c>
      <c r="V12" s="432"/>
      <c r="W12" s="434"/>
      <c r="X12" s="432"/>
      <c r="Y12" s="432"/>
      <c r="Z12" s="432"/>
      <c r="AA12" s="432"/>
      <c r="AB12" s="432"/>
      <c r="AC12" s="432"/>
      <c r="AD12" s="432"/>
      <c r="AE12" s="432"/>
    </row>
    <row r="13" spans="1:31" x14ac:dyDescent="0.25">
      <c r="B13" s="432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4"/>
      <c r="X13" s="432"/>
      <c r="Y13" s="432"/>
      <c r="Z13" s="432"/>
      <c r="AA13" s="432"/>
      <c r="AB13" s="432"/>
      <c r="AC13" s="432"/>
      <c r="AD13" s="432"/>
      <c r="AE13" s="432"/>
    </row>
    <row r="14" spans="1:31" x14ac:dyDescent="0.25">
      <c r="A14" s="428">
        <v>2012</v>
      </c>
      <c r="B14" s="432">
        <f t="shared" ref="B14:N22" si="0">+B$12/B$9</f>
        <v>800</v>
      </c>
      <c r="C14" s="432">
        <f t="shared" si="0"/>
        <v>2500</v>
      </c>
      <c r="D14" s="432">
        <f t="shared" si="0"/>
        <v>2500</v>
      </c>
      <c r="E14" s="432">
        <f t="shared" si="0"/>
        <v>3000</v>
      </c>
      <c r="F14" s="432">
        <f t="shared" si="0"/>
        <v>21000</v>
      </c>
      <c r="G14" s="432">
        <f t="shared" si="0"/>
        <v>500</v>
      </c>
      <c r="H14" s="432">
        <f t="shared" si="0"/>
        <v>26000</v>
      </c>
      <c r="I14" s="432">
        <f t="shared" si="0"/>
        <v>7600</v>
      </c>
      <c r="J14" s="432">
        <f t="shared" si="0"/>
        <v>7500</v>
      </c>
      <c r="K14" s="432">
        <f t="shared" si="0"/>
        <v>800</v>
      </c>
      <c r="L14" s="432">
        <f t="shared" si="0"/>
        <v>14000</v>
      </c>
      <c r="M14" s="432">
        <f t="shared" si="0"/>
        <v>15625</v>
      </c>
      <c r="N14" s="432">
        <f t="shared" si="0"/>
        <v>3900</v>
      </c>
      <c r="O14" s="432">
        <f>ROUND((O$12/O$9),2)</f>
        <v>17857.14</v>
      </c>
      <c r="P14" s="432">
        <f t="shared" ref="P14:R21" si="1">ROUND((P$12/P$9),2)</f>
        <v>2777.78</v>
      </c>
      <c r="Q14" s="432">
        <f t="shared" si="1"/>
        <v>3555.56</v>
      </c>
      <c r="R14" s="432">
        <f t="shared" si="1"/>
        <v>3555.56</v>
      </c>
      <c r="S14" s="432">
        <f>+S$12/S$9</f>
        <v>3340</v>
      </c>
      <c r="T14" s="432"/>
      <c r="U14" s="432">
        <f t="shared" ref="U14:U45" si="2">SUM(B14:T14)</f>
        <v>136811.04</v>
      </c>
      <c r="V14" s="432"/>
      <c r="W14" s="434"/>
      <c r="X14" s="432"/>
      <c r="Y14" s="432"/>
      <c r="Z14" s="432"/>
      <c r="AA14" s="432"/>
      <c r="AB14" s="432"/>
      <c r="AC14" s="432"/>
      <c r="AD14" s="432"/>
      <c r="AE14" s="432"/>
    </row>
    <row r="15" spans="1:31" x14ac:dyDescent="0.25">
      <c r="A15" s="428">
        <v>2013</v>
      </c>
      <c r="B15" s="432">
        <f>+B$12/B$9</f>
        <v>800</v>
      </c>
      <c r="C15" s="432">
        <v>0</v>
      </c>
      <c r="D15" s="432">
        <f t="shared" si="0"/>
        <v>2500</v>
      </c>
      <c r="E15" s="432">
        <f t="shared" si="0"/>
        <v>3000</v>
      </c>
      <c r="F15" s="432">
        <v>0</v>
      </c>
      <c r="G15" s="432">
        <f>+G$12/G$9</f>
        <v>500</v>
      </c>
      <c r="H15" s="432">
        <v>0</v>
      </c>
      <c r="I15" s="432">
        <v>0</v>
      </c>
      <c r="J15" s="432">
        <v>0</v>
      </c>
      <c r="K15" s="432">
        <f>+K$12/K$9</f>
        <v>800</v>
      </c>
      <c r="L15" s="432">
        <f>+L$12/L$9</f>
        <v>14000</v>
      </c>
      <c r="M15" s="432">
        <f>+M$12/M$9</f>
        <v>15625</v>
      </c>
      <c r="N15" s="432">
        <f>+N$12/N$9</f>
        <v>3900</v>
      </c>
      <c r="O15" s="432">
        <f t="shared" ref="O15:O26" si="3">ROUND((O$12/O$9),2)</f>
        <v>17857.14</v>
      </c>
      <c r="P15" s="432">
        <f t="shared" si="1"/>
        <v>2777.78</v>
      </c>
      <c r="Q15" s="432">
        <f t="shared" si="1"/>
        <v>3555.56</v>
      </c>
      <c r="R15" s="432">
        <f t="shared" si="1"/>
        <v>3555.56</v>
      </c>
      <c r="S15" s="432"/>
      <c r="T15" s="432"/>
      <c r="U15" s="432">
        <f t="shared" si="2"/>
        <v>68871.039999999994</v>
      </c>
      <c r="V15" s="432"/>
      <c r="W15" s="446"/>
      <c r="X15" s="432"/>
      <c r="Y15" s="432"/>
      <c r="Z15" s="432"/>
      <c r="AA15" s="432"/>
      <c r="AB15" s="432"/>
      <c r="AC15" s="432"/>
      <c r="AD15" s="432"/>
      <c r="AE15" s="432"/>
    </row>
    <row r="16" spans="1:31" x14ac:dyDescent="0.25">
      <c r="A16" s="428">
        <v>2014</v>
      </c>
      <c r="B16" s="432">
        <f>+B$12/B$9</f>
        <v>800</v>
      </c>
      <c r="C16" s="432">
        <v>0</v>
      </c>
      <c r="D16" s="432">
        <f t="shared" si="0"/>
        <v>2500</v>
      </c>
      <c r="E16" s="432">
        <f t="shared" si="0"/>
        <v>3000</v>
      </c>
      <c r="F16" s="432">
        <v>0</v>
      </c>
      <c r="G16" s="432">
        <f>+G$12/G$9</f>
        <v>500</v>
      </c>
      <c r="H16" s="432">
        <v>0</v>
      </c>
      <c r="I16" s="432">
        <v>0</v>
      </c>
      <c r="J16" s="432">
        <v>0</v>
      </c>
      <c r="K16" s="432">
        <f t="shared" ref="K16:K22" si="4">+K$12/K$9</f>
        <v>800</v>
      </c>
      <c r="L16" s="432">
        <v>0</v>
      </c>
      <c r="M16" s="432">
        <f>+M$12/M$9</f>
        <v>15625</v>
      </c>
      <c r="N16" s="432">
        <f>+N$12/N$9</f>
        <v>3900</v>
      </c>
      <c r="O16" s="432">
        <f t="shared" si="3"/>
        <v>17857.14</v>
      </c>
      <c r="P16" s="432">
        <f t="shared" si="1"/>
        <v>2777.78</v>
      </c>
      <c r="Q16" s="432">
        <f t="shared" si="1"/>
        <v>3555.56</v>
      </c>
      <c r="R16" s="432">
        <f t="shared" si="1"/>
        <v>3555.56</v>
      </c>
      <c r="S16" s="432"/>
      <c r="T16" s="432"/>
      <c r="U16" s="432">
        <f t="shared" si="2"/>
        <v>54871.039999999994</v>
      </c>
      <c r="V16" s="432"/>
      <c r="W16" s="446"/>
      <c r="X16" s="432"/>
      <c r="Y16" s="432"/>
      <c r="Z16" s="432"/>
      <c r="AA16" s="432"/>
      <c r="AB16" s="432"/>
      <c r="AC16" s="432"/>
      <c r="AD16" s="432"/>
      <c r="AE16" s="432"/>
    </row>
    <row r="17" spans="1:31" x14ac:dyDescent="0.25">
      <c r="A17" s="428">
        <f>+A16+1</f>
        <v>2015</v>
      </c>
      <c r="B17" s="432">
        <f>+B$12/B$9</f>
        <v>800</v>
      </c>
      <c r="C17" s="432">
        <v>0</v>
      </c>
      <c r="D17" s="432">
        <f t="shared" si="0"/>
        <v>2500</v>
      </c>
      <c r="E17" s="432">
        <f t="shared" si="0"/>
        <v>3000</v>
      </c>
      <c r="F17" s="432">
        <v>0</v>
      </c>
      <c r="G17" s="432">
        <f>+G$12/G$9</f>
        <v>500</v>
      </c>
      <c r="H17" s="432">
        <v>0</v>
      </c>
      <c r="I17" s="432">
        <v>0</v>
      </c>
      <c r="J17" s="432">
        <v>0</v>
      </c>
      <c r="K17" s="432">
        <f t="shared" si="4"/>
        <v>800</v>
      </c>
      <c r="L17" s="432">
        <v>0</v>
      </c>
      <c r="M17" s="432">
        <f>+M$12/M$9</f>
        <v>15625</v>
      </c>
      <c r="N17" s="432">
        <f>+N$12/N$9</f>
        <v>3900</v>
      </c>
      <c r="O17" s="432">
        <f t="shared" si="3"/>
        <v>17857.14</v>
      </c>
      <c r="P17" s="432">
        <f t="shared" si="1"/>
        <v>2777.78</v>
      </c>
      <c r="Q17" s="432">
        <f t="shared" si="1"/>
        <v>3555.56</v>
      </c>
      <c r="R17" s="432">
        <f t="shared" si="1"/>
        <v>3555.56</v>
      </c>
      <c r="S17" s="432"/>
      <c r="T17" s="432"/>
      <c r="U17" s="432">
        <f t="shared" si="2"/>
        <v>54871.039999999994</v>
      </c>
      <c r="V17" s="432"/>
      <c r="W17" s="446"/>
      <c r="X17" s="432"/>
      <c r="Y17" s="432"/>
      <c r="Z17" s="432"/>
      <c r="AA17" s="432"/>
      <c r="AB17" s="432"/>
      <c r="AC17" s="432"/>
      <c r="AD17" s="432"/>
      <c r="AE17" s="432"/>
    </row>
    <row r="18" spans="1:31" x14ac:dyDescent="0.25">
      <c r="A18" s="428">
        <f t="shared" ref="A18:A42" si="5">+A17+1</f>
        <v>2016</v>
      </c>
      <c r="B18" s="432">
        <f>+B12-SUM(B14:B17)</f>
        <v>800</v>
      </c>
      <c r="C18" s="432">
        <v>0</v>
      </c>
      <c r="D18" s="432">
        <f t="shared" si="0"/>
        <v>2500</v>
      </c>
      <c r="E18" s="432">
        <f t="shared" si="0"/>
        <v>3000</v>
      </c>
      <c r="F18" s="432">
        <v>0</v>
      </c>
      <c r="G18" s="432">
        <f>G12-SUM(G14:G17)</f>
        <v>500</v>
      </c>
      <c r="H18" s="432">
        <v>0</v>
      </c>
      <c r="I18" s="432">
        <v>0</v>
      </c>
      <c r="J18" s="432">
        <v>0</v>
      </c>
      <c r="K18" s="432">
        <f t="shared" si="4"/>
        <v>800</v>
      </c>
      <c r="L18" s="432">
        <v>0</v>
      </c>
      <c r="M18" s="432">
        <f>+M$12/M$9</f>
        <v>15625</v>
      </c>
      <c r="N18" s="432">
        <f>N12-SUM(N14:N17)</f>
        <v>3900</v>
      </c>
      <c r="O18" s="432">
        <f t="shared" si="3"/>
        <v>17857.14</v>
      </c>
      <c r="P18" s="432">
        <f t="shared" si="1"/>
        <v>2777.78</v>
      </c>
      <c r="Q18" s="432">
        <f t="shared" si="1"/>
        <v>3555.56</v>
      </c>
      <c r="R18" s="432">
        <f t="shared" si="1"/>
        <v>3555.56</v>
      </c>
      <c r="S18" s="432"/>
      <c r="T18" s="432"/>
      <c r="U18" s="432">
        <f t="shared" si="2"/>
        <v>54871.039999999994</v>
      </c>
      <c r="V18" s="432"/>
      <c r="W18" s="446"/>
      <c r="X18" s="432"/>
      <c r="Y18" s="432"/>
      <c r="Z18" s="432"/>
      <c r="AA18" s="432"/>
      <c r="AB18" s="432"/>
      <c r="AC18" s="432"/>
      <c r="AD18" s="432"/>
      <c r="AE18" s="432"/>
    </row>
    <row r="19" spans="1:31" x14ac:dyDescent="0.25">
      <c r="A19" s="428">
        <f t="shared" si="5"/>
        <v>2017</v>
      </c>
      <c r="B19" s="432">
        <v>0</v>
      </c>
      <c r="C19" s="432">
        <v>0</v>
      </c>
      <c r="D19" s="432">
        <f t="shared" si="0"/>
        <v>2500</v>
      </c>
      <c r="E19" s="432">
        <f t="shared" si="0"/>
        <v>3000</v>
      </c>
      <c r="F19" s="432">
        <v>0</v>
      </c>
      <c r="G19" s="432">
        <v>0</v>
      </c>
      <c r="H19" s="432">
        <v>0</v>
      </c>
      <c r="I19" s="432">
        <v>0</v>
      </c>
      <c r="J19" s="432">
        <v>0</v>
      </c>
      <c r="K19" s="432">
        <f t="shared" si="4"/>
        <v>800</v>
      </c>
      <c r="L19" s="432">
        <v>0</v>
      </c>
      <c r="M19" s="432">
        <f>+M$12/M$9</f>
        <v>15625</v>
      </c>
      <c r="N19" s="432">
        <v>0</v>
      </c>
      <c r="O19" s="432">
        <f t="shared" si="3"/>
        <v>17857.14</v>
      </c>
      <c r="P19" s="432">
        <f t="shared" si="1"/>
        <v>2777.78</v>
      </c>
      <c r="Q19" s="432">
        <f t="shared" si="1"/>
        <v>3555.56</v>
      </c>
      <c r="R19" s="432">
        <f t="shared" si="1"/>
        <v>3555.56</v>
      </c>
      <c r="S19" s="432"/>
      <c r="T19" s="432"/>
      <c r="U19" s="432">
        <f t="shared" si="2"/>
        <v>49671.039999999994</v>
      </c>
      <c r="V19" s="432"/>
      <c r="W19" s="446"/>
      <c r="X19" s="432"/>
      <c r="Y19" s="432"/>
      <c r="Z19" s="432"/>
      <c r="AA19" s="432"/>
      <c r="AB19" s="432"/>
      <c r="AC19" s="432"/>
      <c r="AD19" s="432"/>
      <c r="AE19" s="432"/>
    </row>
    <row r="20" spans="1:31" x14ac:dyDescent="0.25">
      <c r="A20" s="428">
        <f t="shared" si="5"/>
        <v>2018</v>
      </c>
      <c r="B20" s="432">
        <v>0</v>
      </c>
      <c r="C20" s="432">
        <v>0</v>
      </c>
      <c r="D20" s="432">
        <f t="shared" si="0"/>
        <v>2500</v>
      </c>
      <c r="E20" s="432">
        <f t="shared" si="0"/>
        <v>3000</v>
      </c>
      <c r="F20" s="432">
        <v>0</v>
      </c>
      <c r="G20" s="432">
        <v>0</v>
      </c>
      <c r="H20" s="432">
        <v>0</v>
      </c>
      <c r="I20" s="432">
        <v>0</v>
      </c>
      <c r="J20" s="432">
        <v>0</v>
      </c>
      <c r="K20" s="432">
        <f t="shared" si="4"/>
        <v>800</v>
      </c>
      <c r="L20" s="432">
        <v>0</v>
      </c>
      <c r="M20" s="432">
        <f>+M$12/M$9</f>
        <v>15625</v>
      </c>
      <c r="N20" s="432">
        <v>0</v>
      </c>
      <c r="O20" s="432">
        <f t="shared" si="3"/>
        <v>17857.14</v>
      </c>
      <c r="P20" s="432">
        <f t="shared" si="1"/>
        <v>2777.78</v>
      </c>
      <c r="Q20" s="432">
        <f t="shared" si="1"/>
        <v>3555.56</v>
      </c>
      <c r="R20" s="432">
        <f t="shared" si="1"/>
        <v>3555.56</v>
      </c>
      <c r="S20" s="432"/>
      <c r="T20" s="432"/>
      <c r="U20" s="432">
        <f t="shared" si="2"/>
        <v>49671.039999999994</v>
      </c>
      <c r="V20" s="432"/>
      <c r="W20" s="446"/>
      <c r="X20" s="432"/>
      <c r="Y20" s="432"/>
      <c r="Z20" s="432"/>
      <c r="AA20" s="432"/>
      <c r="AB20" s="432"/>
      <c r="AC20" s="432"/>
      <c r="AD20" s="432"/>
      <c r="AE20" s="432"/>
    </row>
    <row r="21" spans="1:31" x14ac:dyDescent="0.25">
      <c r="A21" s="428">
        <f t="shared" si="5"/>
        <v>2019</v>
      </c>
      <c r="B21" s="432">
        <v>0</v>
      </c>
      <c r="C21" s="432">
        <v>0</v>
      </c>
      <c r="D21" s="432">
        <f t="shared" si="0"/>
        <v>2500</v>
      </c>
      <c r="E21" s="432">
        <f t="shared" si="0"/>
        <v>3000</v>
      </c>
      <c r="F21" s="432">
        <v>0</v>
      </c>
      <c r="G21" s="432">
        <v>0</v>
      </c>
      <c r="H21" s="432">
        <v>0</v>
      </c>
      <c r="I21" s="432">
        <v>0</v>
      </c>
      <c r="J21" s="432">
        <v>0</v>
      </c>
      <c r="K21" s="432">
        <f t="shared" si="4"/>
        <v>800</v>
      </c>
      <c r="L21" s="432">
        <v>0</v>
      </c>
      <c r="M21" s="432">
        <f>M12-SUM(M14:M20)</f>
        <v>15625</v>
      </c>
      <c r="N21" s="432">
        <v>0</v>
      </c>
      <c r="O21" s="432">
        <f t="shared" si="3"/>
        <v>17857.14</v>
      </c>
      <c r="P21" s="432">
        <f t="shared" si="1"/>
        <v>2777.78</v>
      </c>
      <c r="Q21" s="432">
        <f t="shared" si="1"/>
        <v>3555.56</v>
      </c>
      <c r="R21" s="432">
        <f t="shared" si="1"/>
        <v>3555.56</v>
      </c>
      <c r="S21" s="432"/>
      <c r="T21" s="432"/>
      <c r="U21" s="432">
        <f t="shared" si="2"/>
        <v>49671.039999999994</v>
      </c>
      <c r="V21" s="432"/>
      <c r="W21" s="446"/>
      <c r="X21" s="432"/>
      <c r="Y21" s="432"/>
      <c r="Z21" s="432"/>
      <c r="AA21" s="432"/>
      <c r="AB21" s="432"/>
      <c r="AC21" s="432"/>
      <c r="AD21" s="432"/>
      <c r="AE21" s="432"/>
    </row>
    <row r="22" spans="1:31" x14ac:dyDescent="0.25">
      <c r="A22" s="428">
        <f t="shared" si="5"/>
        <v>2020</v>
      </c>
      <c r="B22" s="432">
        <v>0</v>
      </c>
      <c r="C22" s="432">
        <v>0</v>
      </c>
      <c r="D22" s="432">
        <f t="shared" si="0"/>
        <v>2500</v>
      </c>
      <c r="E22" s="432">
        <f t="shared" si="0"/>
        <v>3000</v>
      </c>
      <c r="F22" s="432">
        <v>0</v>
      </c>
      <c r="G22" s="432">
        <v>0</v>
      </c>
      <c r="H22" s="432">
        <v>0</v>
      </c>
      <c r="I22" s="432">
        <v>0</v>
      </c>
      <c r="J22" s="432">
        <v>0</v>
      </c>
      <c r="K22" s="432">
        <f t="shared" si="4"/>
        <v>800</v>
      </c>
      <c r="L22" s="432">
        <v>0</v>
      </c>
      <c r="M22" s="432">
        <v>0</v>
      </c>
      <c r="N22" s="432">
        <v>0</v>
      </c>
      <c r="O22" s="432">
        <f t="shared" si="3"/>
        <v>17857.14</v>
      </c>
      <c r="P22" s="432">
        <f>P12-SUM(P14:P21)</f>
        <v>2777.760000000002</v>
      </c>
      <c r="Q22" s="432">
        <f>Q12-SUM(Q14:Q21)</f>
        <v>3555.5199999999968</v>
      </c>
      <c r="R22" s="432">
        <f>R12-SUM(R14:R21)</f>
        <v>3555.5199999999968</v>
      </c>
      <c r="S22" s="432"/>
      <c r="T22" s="432"/>
      <c r="U22" s="432">
        <f t="shared" si="2"/>
        <v>34045.939999999995</v>
      </c>
      <c r="V22" s="432"/>
      <c r="W22" s="432"/>
      <c r="X22" s="432"/>
      <c r="Y22" s="432"/>
      <c r="Z22" s="432"/>
      <c r="AA22" s="432"/>
      <c r="AB22" s="432"/>
      <c r="AC22" s="432"/>
      <c r="AD22" s="432"/>
      <c r="AE22" s="432"/>
    </row>
    <row r="23" spans="1:31" x14ac:dyDescent="0.25">
      <c r="A23" s="428">
        <f t="shared" si="5"/>
        <v>2021</v>
      </c>
      <c r="B23" s="432">
        <v>0</v>
      </c>
      <c r="C23" s="432">
        <v>0</v>
      </c>
      <c r="D23" s="432">
        <f>D12-SUM(D14:D22)</f>
        <v>2500</v>
      </c>
      <c r="E23" s="432">
        <f>E12-SUM(E14:E22)</f>
        <v>3000</v>
      </c>
      <c r="F23" s="432">
        <v>0</v>
      </c>
      <c r="G23" s="432">
        <v>0</v>
      </c>
      <c r="H23" s="432">
        <v>0</v>
      </c>
      <c r="I23" s="432">
        <v>0</v>
      </c>
      <c r="J23" s="432">
        <v>0</v>
      </c>
      <c r="K23" s="432">
        <f>K12-SUM(K14:K22)</f>
        <v>800</v>
      </c>
      <c r="L23" s="432">
        <v>0</v>
      </c>
      <c r="M23" s="432">
        <v>0</v>
      </c>
      <c r="N23" s="432">
        <v>0</v>
      </c>
      <c r="O23" s="432">
        <f t="shared" si="3"/>
        <v>17857.14</v>
      </c>
      <c r="P23" s="432">
        <v>0</v>
      </c>
      <c r="Q23" s="432">
        <v>0</v>
      </c>
      <c r="R23" s="432">
        <v>0</v>
      </c>
      <c r="S23" s="432"/>
      <c r="T23" s="432"/>
      <c r="U23" s="432">
        <f t="shared" si="2"/>
        <v>24157.14</v>
      </c>
      <c r="V23" s="432"/>
      <c r="W23" s="432"/>
      <c r="X23" s="432"/>
      <c r="Y23" s="432"/>
      <c r="Z23" s="432"/>
      <c r="AA23" s="432"/>
      <c r="AB23" s="432"/>
      <c r="AC23" s="432"/>
      <c r="AD23" s="432"/>
      <c r="AE23" s="432"/>
    </row>
    <row r="24" spans="1:31" x14ac:dyDescent="0.25">
      <c r="A24" s="428">
        <f t="shared" si="5"/>
        <v>2022</v>
      </c>
      <c r="B24" s="432">
        <v>0</v>
      </c>
      <c r="C24" s="432">
        <v>0</v>
      </c>
      <c r="D24" s="432">
        <v>0</v>
      </c>
      <c r="E24" s="432">
        <v>0</v>
      </c>
      <c r="F24" s="432">
        <v>0</v>
      </c>
      <c r="G24" s="432">
        <v>0</v>
      </c>
      <c r="H24" s="432">
        <v>0</v>
      </c>
      <c r="I24" s="432">
        <v>0</v>
      </c>
      <c r="J24" s="432">
        <v>0</v>
      </c>
      <c r="K24" s="432">
        <v>0</v>
      </c>
      <c r="L24" s="432">
        <v>0</v>
      </c>
      <c r="M24" s="432">
        <v>0</v>
      </c>
      <c r="N24" s="432">
        <v>0</v>
      </c>
      <c r="O24" s="432">
        <f t="shared" si="3"/>
        <v>17857.14</v>
      </c>
      <c r="P24" s="432">
        <v>0</v>
      </c>
      <c r="Q24" s="432">
        <v>0</v>
      </c>
      <c r="R24" s="432">
        <v>0</v>
      </c>
      <c r="S24" s="432"/>
      <c r="T24" s="432"/>
      <c r="U24" s="432">
        <f t="shared" si="2"/>
        <v>17857.14</v>
      </c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</row>
    <row r="25" spans="1:31" x14ac:dyDescent="0.25">
      <c r="A25" s="428">
        <f t="shared" si="5"/>
        <v>2023</v>
      </c>
      <c r="B25" s="432">
        <v>0</v>
      </c>
      <c r="C25" s="432">
        <v>0</v>
      </c>
      <c r="D25" s="432">
        <v>0</v>
      </c>
      <c r="E25" s="432">
        <v>0</v>
      </c>
      <c r="F25" s="432">
        <v>0</v>
      </c>
      <c r="G25" s="432">
        <v>0</v>
      </c>
      <c r="H25" s="432">
        <v>0</v>
      </c>
      <c r="I25" s="432">
        <v>0</v>
      </c>
      <c r="J25" s="432">
        <v>0</v>
      </c>
      <c r="K25" s="432">
        <v>0</v>
      </c>
      <c r="L25" s="432">
        <v>0</v>
      </c>
      <c r="M25" s="432">
        <v>0</v>
      </c>
      <c r="N25" s="432">
        <v>0</v>
      </c>
      <c r="O25" s="432">
        <f t="shared" si="3"/>
        <v>17857.14</v>
      </c>
      <c r="P25" s="432">
        <v>0</v>
      </c>
      <c r="Q25" s="432">
        <v>0</v>
      </c>
      <c r="R25" s="432">
        <v>0</v>
      </c>
      <c r="S25" s="432"/>
      <c r="T25" s="432"/>
      <c r="U25" s="432">
        <f t="shared" si="2"/>
        <v>17857.14</v>
      </c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</row>
    <row r="26" spans="1:31" x14ac:dyDescent="0.25">
      <c r="A26" s="428">
        <f t="shared" si="5"/>
        <v>2024</v>
      </c>
      <c r="B26" s="432">
        <v>0</v>
      </c>
      <c r="C26" s="432">
        <v>0</v>
      </c>
      <c r="D26" s="432">
        <v>0</v>
      </c>
      <c r="E26" s="432">
        <v>0</v>
      </c>
      <c r="F26" s="432">
        <v>0</v>
      </c>
      <c r="G26" s="432">
        <v>0</v>
      </c>
      <c r="H26" s="432">
        <v>0</v>
      </c>
      <c r="I26" s="432">
        <v>0</v>
      </c>
      <c r="J26" s="432">
        <v>0</v>
      </c>
      <c r="K26" s="432">
        <v>0</v>
      </c>
      <c r="L26" s="432">
        <v>0</v>
      </c>
      <c r="M26" s="432">
        <v>0</v>
      </c>
      <c r="N26" s="432">
        <v>0</v>
      </c>
      <c r="O26" s="432">
        <f t="shared" si="3"/>
        <v>17857.14</v>
      </c>
      <c r="P26" s="432">
        <v>0</v>
      </c>
      <c r="Q26" s="432">
        <v>0</v>
      </c>
      <c r="R26" s="432">
        <v>0</v>
      </c>
      <c r="S26" s="432"/>
      <c r="T26" s="432"/>
      <c r="U26" s="432">
        <f t="shared" si="2"/>
        <v>17857.14</v>
      </c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</row>
    <row r="27" spans="1:31" x14ac:dyDescent="0.25">
      <c r="A27" s="428">
        <f t="shared" si="5"/>
        <v>2025</v>
      </c>
      <c r="B27" s="432">
        <v>0</v>
      </c>
      <c r="C27" s="432">
        <v>0</v>
      </c>
      <c r="D27" s="432">
        <v>0</v>
      </c>
      <c r="E27" s="432">
        <v>0</v>
      </c>
      <c r="F27" s="432">
        <v>0</v>
      </c>
      <c r="G27" s="432">
        <v>0</v>
      </c>
      <c r="H27" s="432">
        <v>0</v>
      </c>
      <c r="I27" s="432">
        <v>0</v>
      </c>
      <c r="J27" s="432">
        <v>0</v>
      </c>
      <c r="K27" s="432">
        <v>0</v>
      </c>
      <c r="L27" s="432">
        <v>0</v>
      </c>
      <c r="M27" s="432">
        <v>0</v>
      </c>
      <c r="N27" s="432">
        <v>0</v>
      </c>
      <c r="O27" s="432">
        <f>O12-SUM(O14:O26)</f>
        <v>17857.179999999935</v>
      </c>
      <c r="P27" s="432">
        <v>0</v>
      </c>
      <c r="Q27" s="432">
        <v>0</v>
      </c>
      <c r="R27" s="432">
        <v>0</v>
      </c>
      <c r="S27" s="432"/>
      <c r="T27" s="432"/>
      <c r="U27" s="432">
        <f t="shared" si="2"/>
        <v>17857.179999999935</v>
      </c>
      <c r="V27" s="432"/>
      <c r="W27" s="432"/>
      <c r="X27" s="432"/>
      <c r="Y27" s="432"/>
      <c r="Z27" s="432"/>
      <c r="AA27" s="432"/>
      <c r="AB27" s="432"/>
      <c r="AC27" s="432"/>
      <c r="AD27" s="432"/>
      <c r="AE27" s="432"/>
    </row>
    <row r="28" spans="1:31" x14ac:dyDescent="0.25">
      <c r="A28" s="428">
        <f t="shared" si="5"/>
        <v>2026</v>
      </c>
      <c r="B28" s="432">
        <v>0</v>
      </c>
      <c r="C28" s="432">
        <v>0</v>
      </c>
      <c r="D28" s="432">
        <v>0</v>
      </c>
      <c r="E28" s="432">
        <v>0</v>
      </c>
      <c r="F28" s="432">
        <v>0</v>
      </c>
      <c r="G28" s="432">
        <v>0</v>
      </c>
      <c r="H28" s="432">
        <v>0</v>
      </c>
      <c r="I28" s="432">
        <v>0</v>
      </c>
      <c r="J28" s="432">
        <v>0</v>
      </c>
      <c r="K28" s="432">
        <v>0</v>
      </c>
      <c r="L28" s="432">
        <v>0</v>
      </c>
      <c r="M28" s="432">
        <v>0</v>
      </c>
      <c r="N28" s="432">
        <v>0</v>
      </c>
      <c r="O28" s="432">
        <v>0</v>
      </c>
      <c r="P28" s="432">
        <v>0</v>
      </c>
      <c r="Q28" s="432">
        <v>0</v>
      </c>
      <c r="R28" s="432">
        <v>0</v>
      </c>
      <c r="S28" s="432"/>
      <c r="T28" s="432"/>
      <c r="U28" s="432">
        <f t="shared" si="2"/>
        <v>0</v>
      </c>
      <c r="V28" s="432"/>
      <c r="W28" s="432"/>
      <c r="X28" s="432"/>
      <c r="Y28" s="432"/>
      <c r="Z28" s="432"/>
      <c r="AA28" s="432"/>
      <c r="AB28" s="432"/>
      <c r="AC28" s="432"/>
      <c r="AD28" s="432"/>
      <c r="AE28" s="432"/>
    </row>
    <row r="29" spans="1:31" x14ac:dyDescent="0.25">
      <c r="A29" s="428">
        <f t="shared" si="5"/>
        <v>2027</v>
      </c>
      <c r="B29" s="432">
        <v>0</v>
      </c>
      <c r="C29" s="432">
        <v>0</v>
      </c>
      <c r="D29" s="432">
        <v>0</v>
      </c>
      <c r="E29" s="432">
        <v>0</v>
      </c>
      <c r="F29" s="432">
        <v>0</v>
      </c>
      <c r="G29" s="432">
        <v>0</v>
      </c>
      <c r="H29" s="432">
        <v>0</v>
      </c>
      <c r="I29" s="432">
        <v>0</v>
      </c>
      <c r="J29" s="432">
        <v>0</v>
      </c>
      <c r="K29" s="432">
        <v>0</v>
      </c>
      <c r="L29" s="432">
        <v>0</v>
      </c>
      <c r="M29" s="432">
        <v>0</v>
      </c>
      <c r="N29" s="432">
        <v>0</v>
      </c>
      <c r="O29" s="432">
        <v>0</v>
      </c>
      <c r="P29" s="432">
        <v>0</v>
      </c>
      <c r="Q29" s="432">
        <v>0</v>
      </c>
      <c r="R29" s="432">
        <v>0</v>
      </c>
      <c r="S29" s="432"/>
      <c r="T29" s="432"/>
      <c r="U29" s="432">
        <f t="shared" si="2"/>
        <v>0</v>
      </c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</row>
    <row r="30" spans="1:31" x14ac:dyDescent="0.25">
      <c r="A30" s="428">
        <f t="shared" si="5"/>
        <v>2028</v>
      </c>
      <c r="B30" s="432">
        <v>0</v>
      </c>
      <c r="C30" s="432">
        <v>0</v>
      </c>
      <c r="D30" s="432">
        <v>0</v>
      </c>
      <c r="E30" s="432">
        <v>0</v>
      </c>
      <c r="F30" s="432">
        <v>0</v>
      </c>
      <c r="G30" s="432">
        <v>0</v>
      </c>
      <c r="H30" s="432">
        <v>0</v>
      </c>
      <c r="I30" s="432">
        <v>0</v>
      </c>
      <c r="J30" s="432">
        <v>0</v>
      </c>
      <c r="K30" s="432">
        <v>0</v>
      </c>
      <c r="L30" s="432">
        <v>0</v>
      </c>
      <c r="M30" s="432">
        <v>0</v>
      </c>
      <c r="N30" s="432">
        <v>0</v>
      </c>
      <c r="O30" s="432">
        <v>0</v>
      </c>
      <c r="P30" s="432">
        <v>0</v>
      </c>
      <c r="Q30" s="432">
        <v>0</v>
      </c>
      <c r="R30" s="432">
        <v>0</v>
      </c>
      <c r="S30" s="432"/>
      <c r="T30" s="432"/>
      <c r="U30" s="432">
        <f t="shared" si="2"/>
        <v>0</v>
      </c>
      <c r="V30" s="432"/>
      <c r="W30" s="432"/>
      <c r="X30" s="432"/>
      <c r="Y30" s="432"/>
      <c r="Z30" s="432"/>
      <c r="AA30" s="432"/>
      <c r="AB30" s="432"/>
      <c r="AC30" s="432"/>
      <c r="AD30" s="432"/>
      <c r="AE30" s="432"/>
    </row>
    <row r="31" spans="1:31" x14ac:dyDescent="0.25">
      <c r="A31" s="428">
        <f t="shared" si="5"/>
        <v>2029</v>
      </c>
      <c r="B31" s="432">
        <v>0</v>
      </c>
      <c r="C31" s="432">
        <v>0</v>
      </c>
      <c r="D31" s="432">
        <v>0</v>
      </c>
      <c r="E31" s="432">
        <v>0</v>
      </c>
      <c r="F31" s="432">
        <v>0</v>
      </c>
      <c r="G31" s="432">
        <v>0</v>
      </c>
      <c r="H31" s="432">
        <v>0</v>
      </c>
      <c r="I31" s="432">
        <v>0</v>
      </c>
      <c r="J31" s="432">
        <v>0</v>
      </c>
      <c r="K31" s="432">
        <v>0</v>
      </c>
      <c r="L31" s="432">
        <v>0</v>
      </c>
      <c r="M31" s="432">
        <v>0</v>
      </c>
      <c r="N31" s="432">
        <v>0</v>
      </c>
      <c r="O31" s="432">
        <v>0</v>
      </c>
      <c r="P31" s="432">
        <v>0</v>
      </c>
      <c r="Q31" s="432">
        <v>0</v>
      </c>
      <c r="R31" s="432">
        <v>0</v>
      </c>
      <c r="S31" s="432"/>
      <c r="T31" s="432"/>
      <c r="U31" s="432">
        <f t="shared" si="2"/>
        <v>0</v>
      </c>
      <c r="V31" s="432"/>
      <c r="W31" s="432"/>
      <c r="X31" s="432"/>
      <c r="Y31" s="432"/>
      <c r="Z31" s="432"/>
      <c r="AA31" s="432"/>
      <c r="AB31" s="432"/>
      <c r="AC31" s="432"/>
      <c r="AD31" s="432"/>
      <c r="AE31" s="432"/>
    </row>
    <row r="32" spans="1:31" x14ac:dyDescent="0.25">
      <c r="A32" s="428">
        <f t="shared" si="5"/>
        <v>2030</v>
      </c>
      <c r="B32" s="432">
        <v>0</v>
      </c>
      <c r="C32" s="432">
        <v>0</v>
      </c>
      <c r="D32" s="432">
        <v>0</v>
      </c>
      <c r="E32" s="432">
        <v>0</v>
      </c>
      <c r="F32" s="432">
        <v>0</v>
      </c>
      <c r="G32" s="432">
        <v>0</v>
      </c>
      <c r="H32" s="432">
        <v>0</v>
      </c>
      <c r="I32" s="432">
        <v>0</v>
      </c>
      <c r="J32" s="432">
        <v>0</v>
      </c>
      <c r="K32" s="432">
        <v>0</v>
      </c>
      <c r="L32" s="432">
        <v>0</v>
      </c>
      <c r="M32" s="432">
        <v>0</v>
      </c>
      <c r="N32" s="432">
        <v>0</v>
      </c>
      <c r="O32" s="432">
        <v>0</v>
      </c>
      <c r="P32" s="432">
        <v>0</v>
      </c>
      <c r="Q32" s="432">
        <v>0</v>
      </c>
      <c r="R32" s="432">
        <v>0</v>
      </c>
      <c r="S32" s="432"/>
      <c r="T32" s="432"/>
      <c r="U32" s="432">
        <f t="shared" si="2"/>
        <v>0</v>
      </c>
      <c r="V32" s="432"/>
      <c r="W32" s="432"/>
      <c r="X32" s="432"/>
      <c r="Y32" s="432"/>
      <c r="Z32" s="432"/>
      <c r="AA32" s="432"/>
      <c r="AB32" s="432"/>
      <c r="AC32" s="432"/>
      <c r="AD32" s="432"/>
      <c r="AE32" s="432"/>
    </row>
    <row r="33" spans="1:31" x14ac:dyDescent="0.25">
      <c r="A33" s="428">
        <f t="shared" si="5"/>
        <v>2031</v>
      </c>
      <c r="B33" s="432">
        <v>0</v>
      </c>
      <c r="C33" s="432">
        <v>0</v>
      </c>
      <c r="D33" s="432">
        <v>0</v>
      </c>
      <c r="E33" s="432">
        <v>0</v>
      </c>
      <c r="F33" s="432">
        <v>0</v>
      </c>
      <c r="G33" s="432">
        <v>0</v>
      </c>
      <c r="H33" s="432">
        <v>0</v>
      </c>
      <c r="I33" s="432">
        <v>0</v>
      </c>
      <c r="J33" s="432">
        <v>0</v>
      </c>
      <c r="K33" s="432">
        <v>0</v>
      </c>
      <c r="L33" s="432">
        <v>0</v>
      </c>
      <c r="M33" s="432">
        <v>0</v>
      </c>
      <c r="N33" s="432">
        <v>0</v>
      </c>
      <c r="O33" s="432">
        <v>0</v>
      </c>
      <c r="P33" s="432">
        <v>0</v>
      </c>
      <c r="Q33" s="432">
        <v>0</v>
      </c>
      <c r="R33" s="432">
        <v>0</v>
      </c>
      <c r="S33" s="432"/>
      <c r="T33" s="432"/>
      <c r="U33" s="432">
        <f t="shared" si="2"/>
        <v>0</v>
      </c>
      <c r="V33" s="432"/>
      <c r="W33" s="432"/>
      <c r="X33" s="432"/>
      <c r="Y33" s="432"/>
      <c r="Z33" s="432"/>
      <c r="AA33" s="432"/>
      <c r="AB33" s="432"/>
      <c r="AC33" s="432"/>
      <c r="AD33" s="432"/>
      <c r="AE33" s="432"/>
    </row>
    <row r="34" spans="1:31" x14ac:dyDescent="0.25">
      <c r="A34" s="428">
        <f t="shared" si="5"/>
        <v>2032</v>
      </c>
      <c r="B34" s="432">
        <v>0</v>
      </c>
      <c r="C34" s="432">
        <v>0</v>
      </c>
      <c r="D34" s="432">
        <v>0</v>
      </c>
      <c r="E34" s="432">
        <v>0</v>
      </c>
      <c r="F34" s="432">
        <v>0</v>
      </c>
      <c r="G34" s="432">
        <v>0</v>
      </c>
      <c r="H34" s="432">
        <v>0</v>
      </c>
      <c r="I34" s="432">
        <v>0</v>
      </c>
      <c r="J34" s="432">
        <v>0</v>
      </c>
      <c r="K34" s="432">
        <v>0</v>
      </c>
      <c r="L34" s="432">
        <v>0</v>
      </c>
      <c r="M34" s="432">
        <v>0</v>
      </c>
      <c r="N34" s="432">
        <v>0</v>
      </c>
      <c r="O34" s="432">
        <v>0</v>
      </c>
      <c r="P34" s="432">
        <v>0</v>
      </c>
      <c r="Q34" s="432">
        <v>0</v>
      </c>
      <c r="R34" s="432">
        <v>0</v>
      </c>
      <c r="S34" s="432"/>
      <c r="T34" s="432"/>
      <c r="U34" s="432">
        <f t="shared" si="2"/>
        <v>0</v>
      </c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</row>
    <row r="35" spans="1:31" x14ac:dyDescent="0.25">
      <c r="A35" s="428">
        <f t="shared" si="5"/>
        <v>2033</v>
      </c>
      <c r="B35" s="432">
        <v>0</v>
      </c>
      <c r="C35" s="432">
        <v>0</v>
      </c>
      <c r="D35" s="432">
        <v>0</v>
      </c>
      <c r="E35" s="432">
        <v>0</v>
      </c>
      <c r="F35" s="432">
        <v>0</v>
      </c>
      <c r="G35" s="432">
        <v>0</v>
      </c>
      <c r="H35" s="432">
        <v>0</v>
      </c>
      <c r="I35" s="432">
        <v>0</v>
      </c>
      <c r="J35" s="432">
        <v>0</v>
      </c>
      <c r="K35" s="432">
        <v>0</v>
      </c>
      <c r="L35" s="432">
        <v>0</v>
      </c>
      <c r="M35" s="432">
        <v>0</v>
      </c>
      <c r="N35" s="432">
        <v>0</v>
      </c>
      <c r="O35" s="432">
        <v>0</v>
      </c>
      <c r="P35" s="432">
        <v>0</v>
      </c>
      <c r="Q35" s="432">
        <v>0</v>
      </c>
      <c r="R35" s="432">
        <v>0</v>
      </c>
      <c r="S35" s="432"/>
      <c r="T35" s="432"/>
      <c r="U35" s="432">
        <f t="shared" si="2"/>
        <v>0</v>
      </c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</row>
    <row r="36" spans="1:31" x14ac:dyDescent="0.25">
      <c r="A36" s="428">
        <f t="shared" si="5"/>
        <v>2034</v>
      </c>
      <c r="B36" s="432">
        <v>0</v>
      </c>
      <c r="C36" s="432">
        <v>0</v>
      </c>
      <c r="D36" s="432">
        <v>0</v>
      </c>
      <c r="E36" s="432">
        <v>0</v>
      </c>
      <c r="F36" s="432">
        <v>0</v>
      </c>
      <c r="G36" s="432">
        <v>0</v>
      </c>
      <c r="H36" s="432">
        <v>0</v>
      </c>
      <c r="I36" s="432">
        <v>0</v>
      </c>
      <c r="J36" s="432">
        <v>0</v>
      </c>
      <c r="K36" s="432">
        <v>0</v>
      </c>
      <c r="L36" s="432">
        <v>0</v>
      </c>
      <c r="M36" s="432">
        <v>0</v>
      </c>
      <c r="N36" s="432">
        <v>0</v>
      </c>
      <c r="O36" s="432">
        <v>0</v>
      </c>
      <c r="P36" s="432">
        <v>0</v>
      </c>
      <c r="Q36" s="432">
        <v>0</v>
      </c>
      <c r="R36" s="432">
        <v>0</v>
      </c>
      <c r="S36" s="432"/>
      <c r="T36" s="432"/>
      <c r="U36" s="432">
        <f t="shared" si="2"/>
        <v>0</v>
      </c>
      <c r="V36" s="432"/>
      <c r="W36" s="432"/>
      <c r="X36" s="432"/>
      <c r="Y36" s="432"/>
      <c r="Z36" s="432"/>
      <c r="AA36" s="432"/>
      <c r="AB36" s="432"/>
      <c r="AC36" s="432"/>
      <c r="AD36" s="432"/>
      <c r="AE36" s="432"/>
    </row>
    <row r="37" spans="1:31" x14ac:dyDescent="0.25">
      <c r="A37" s="428">
        <f t="shared" si="5"/>
        <v>2035</v>
      </c>
      <c r="B37" s="432">
        <v>0</v>
      </c>
      <c r="C37" s="432">
        <v>0</v>
      </c>
      <c r="D37" s="432">
        <v>0</v>
      </c>
      <c r="E37" s="432">
        <v>0</v>
      </c>
      <c r="F37" s="432">
        <v>0</v>
      </c>
      <c r="G37" s="432">
        <v>0</v>
      </c>
      <c r="H37" s="432">
        <v>0</v>
      </c>
      <c r="I37" s="432">
        <v>0</v>
      </c>
      <c r="J37" s="432">
        <v>0</v>
      </c>
      <c r="K37" s="432">
        <v>0</v>
      </c>
      <c r="L37" s="432">
        <v>0</v>
      </c>
      <c r="M37" s="432">
        <v>0</v>
      </c>
      <c r="N37" s="432">
        <v>0</v>
      </c>
      <c r="O37" s="432">
        <v>0</v>
      </c>
      <c r="P37" s="432">
        <v>0</v>
      </c>
      <c r="Q37" s="432">
        <v>0</v>
      </c>
      <c r="R37" s="432">
        <v>0</v>
      </c>
      <c r="S37" s="432"/>
      <c r="T37" s="432"/>
      <c r="U37" s="432">
        <f t="shared" si="2"/>
        <v>0</v>
      </c>
      <c r="V37" s="432"/>
      <c r="W37" s="432"/>
      <c r="X37" s="432"/>
      <c r="Y37" s="432"/>
      <c r="Z37" s="432"/>
      <c r="AA37" s="432"/>
      <c r="AB37" s="432"/>
      <c r="AC37" s="432"/>
      <c r="AD37" s="432"/>
      <c r="AE37" s="432"/>
    </row>
    <row r="38" spans="1:31" x14ac:dyDescent="0.25">
      <c r="A38" s="428">
        <f t="shared" si="5"/>
        <v>2036</v>
      </c>
      <c r="B38" s="432">
        <v>0</v>
      </c>
      <c r="C38" s="432">
        <v>0</v>
      </c>
      <c r="D38" s="432">
        <v>0</v>
      </c>
      <c r="E38" s="432">
        <v>0</v>
      </c>
      <c r="F38" s="432">
        <v>0</v>
      </c>
      <c r="G38" s="432">
        <v>0</v>
      </c>
      <c r="H38" s="432">
        <v>0</v>
      </c>
      <c r="I38" s="432">
        <v>0</v>
      </c>
      <c r="J38" s="432">
        <v>0</v>
      </c>
      <c r="K38" s="432">
        <v>0</v>
      </c>
      <c r="L38" s="432">
        <v>0</v>
      </c>
      <c r="M38" s="432">
        <v>0</v>
      </c>
      <c r="N38" s="432">
        <v>0</v>
      </c>
      <c r="O38" s="432">
        <v>0</v>
      </c>
      <c r="P38" s="432">
        <v>0</v>
      </c>
      <c r="Q38" s="432">
        <v>0</v>
      </c>
      <c r="R38" s="432">
        <v>0</v>
      </c>
      <c r="S38" s="432"/>
      <c r="T38" s="432"/>
      <c r="U38" s="432">
        <f t="shared" si="2"/>
        <v>0</v>
      </c>
      <c r="V38" s="432"/>
      <c r="W38" s="432"/>
      <c r="X38" s="432"/>
      <c r="Y38" s="432"/>
      <c r="Z38" s="432"/>
      <c r="AA38" s="432"/>
      <c r="AB38" s="432"/>
      <c r="AC38" s="432"/>
      <c r="AD38" s="432"/>
      <c r="AE38" s="432"/>
    </row>
    <row r="39" spans="1:31" x14ac:dyDescent="0.25">
      <c r="A39" s="428">
        <f t="shared" si="5"/>
        <v>2037</v>
      </c>
      <c r="B39" s="432">
        <v>0</v>
      </c>
      <c r="C39" s="432">
        <v>0</v>
      </c>
      <c r="D39" s="432">
        <v>0</v>
      </c>
      <c r="E39" s="432">
        <v>0</v>
      </c>
      <c r="F39" s="432">
        <v>0</v>
      </c>
      <c r="G39" s="432">
        <v>0</v>
      </c>
      <c r="H39" s="432">
        <v>0</v>
      </c>
      <c r="I39" s="432">
        <v>0</v>
      </c>
      <c r="J39" s="432">
        <v>0</v>
      </c>
      <c r="K39" s="432">
        <v>0</v>
      </c>
      <c r="L39" s="432">
        <v>0</v>
      </c>
      <c r="M39" s="432">
        <v>0</v>
      </c>
      <c r="N39" s="432">
        <v>0</v>
      </c>
      <c r="O39" s="432">
        <v>0</v>
      </c>
      <c r="P39" s="432">
        <v>0</v>
      </c>
      <c r="Q39" s="432">
        <v>0</v>
      </c>
      <c r="R39" s="432">
        <v>0</v>
      </c>
      <c r="S39" s="432"/>
      <c r="T39" s="432"/>
      <c r="U39" s="432">
        <f t="shared" si="2"/>
        <v>0</v>
      </c>
      <c r="V39" s="432"/>
      <c r="W39" s="432"/>
      <c r="X39" s="432"/>
      <c r="Y39" s="432"/>
      <c r="Z39" s="432"/>
      <c r="AA39" s="432"/>
      <c r="AB39" s="432"/>
      <c r="AC39" s="432"/>
      <c r="AD39" s="432"/>
      <c r="AE39" s="432"/>
    </row>
    <row r="40" spans="1:31" x14ac:dyDescent="0.25">
      <c r="A40" s="428">
        <f t="shared" si="5"/>
        <v>2038</v>
      </c>
      <c r="B40" s="432">
        <v>0</v>
      </c>
      <c r="C40" s="432">
        <v>0</v>
      </c>
      <c r="D40" s="432">
        <v>0</v>
      </c>
      <c r="E40" s="432">
        <v>0</v>
      </c>
      <c r="F40" s="432">
        <v>0</v>
      </c>
      <c r="G40" s="432">
        <v>0</v>
      </c>
      <c r="H40" s="432">
        <v>0</v>
      </c>
      <c r="I40" s="432">
        <v>0</v>
      </c>
      <c r="J40" s="432">
        <v>0</v>
      </c>
      <c r="K40" s="432">
        <v>0</v>
      </c>
      <c r="L40" s="432">
        <v>0</v>
      </c>
      <c r="M40" s="432">
        <v>0</v>
      </c>
      <c r="N40" s="432">
        <v>0</v>
      </c>
      <c r="O40" s="432">
        <v>0</v>
      </c>
      <c r="P40" s="432">
        <v>0</v>
      </c>
      <c r="Q40" s="432">
        <v>0</v>
      </c>
      <c r="R40" s="432">
        <v>0</v>
      </c>
      <c r="S40" s="432"/>
      <c r="U40" s="432">
        <f t="shared" si="2"/>
        <v>0</v>
      </c>
    </row>
    <row r="41" spans="1:31" x14ac:dyDescent="0.25">
      <c r="A41" s="428">
        <f t="shared" si="5"/>
        <v>2039</v>
      </c>
      <c r="B41" s="432">
        <v>0</v>
      </c>
      <c r="C41" s="432">
        <v>0</v>
      </c>
      <c r="D41" s="432">
        <v>0</v>
      </c>
      <c r="E41" s="432">
        <v>0</v>
      </c>
      <c r="F41" s="432">
        <v>0</v>
      </c>
      <c r="G41" s="432">
        <v>0</v>
      </c>
      <c r="H41" s="432">
        <v>0</v>
      </c>
      <c r="I41" s="432">
        <v>0</v>
      </c>
      <c r="J41" s="432">
        <v>0</v>
      </c>
      <c r="K41" s="432">
        <v>0</v>
      </c>
      <c r="L41" s="432">
        <v>0</v>
      </c>
      <c r="M41" s="432">
        <v>0</v>
      </c>
      <c r="N41" s="432">
        <v>0</v>
      </c>
      <c r="O41" s="432">
        <v>0</v>
      </c>
      <c r="P41" s="432">
        <v>0</v>
      </c>
      <c r="Q41" s="432">
        <v>0</v>
      </c>
      <c r="R41" s="432">
        <v>0</v>
      </c>
      <c r="S41" s="432"/>
      <c r="U41" s="432">
        <f t="shared" si="2"/>
        <v>0</v>
      </c>
    </row>
    <row r="42" spans="1:31" x14ac:dyDescent="0.25">
      <c r="A42" s="428">
        <f t="shared" si="5"/>
        <v>2040</v>
      </c>
      <c r="B42" s="432">
        <v>0</v>
      </c>
      <c r="C42" s="432">
        <v>0</v>
      </c>
      <c r="D42" s="432">
        <v>0</v>
      </c>
      <c r="E42" s="432">
        <v>0</v>
      </c>
      <c r="F42" s="432">
        <v>0</v>
      </c>
      <c r="G42" s="432">
        <v>0</v>
      </c>
      <c r="H42" s="432">
        <v>0</v>
      </c>
      <c r="I42" s="432">
        <v>0</v>
      </c>
      <c r="J42" s="432">
        <v>0</v>
      </c>
      <c r="K42" s="432">
        <v>0</v>
      </c>
      <c r="L42" s="432">
        <v>0</v>
      </c>
      <c r="M42" s="432">
        <v>0</v>
      </c>
      <c r="N42" s="432">
        <v>0</v>
      </c>
      <c r="O42" s="432">
        <v>0</v>
      </c>
      <c r="P42" s="432">
        <v>0</v>
      </c>
      <c r="Q42" s="432">
        <v>0</v>
      </c>
      <c r="R42" s="432">
        <v>0</v>
      </c>
      <c r="S42" s="432"/>
      <c r="U42" s="432">
        <f t="shared" si="2"/>
        <v>0</v>
      </c>
    </row>
    <row r="43" spans="1:31" x14ac:dyDescent="0.25"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U43" s="432">
        <f t="shared" si="2"/>
        <v>0</v>
      </c>
    </row>
    <row r="44" spans="1:31" x14ac:dyDescent="0.25">
      <c r="B44" s="432"/>
      <c r="C44" s="432"/>
      <c r="D44" s="432"/>
      <c r="E44" s="432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432"/>
      <c r="U44" s="432">
        <f t="shared" si="2"/>
        <v>0</v>
      </c>
    </row>
    <row r="45" spans="1:31" x14ac:dyDescent="0.25">
      <c r="B45" s="432"/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U45" s="432">
        <f t="shared" si="2"/>
        <v>0</v>
      </c>
    </row>
    <row r="46" spans="1:31" x14ac:dyDescent="0.25"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U46" s="432">
        <f t="shared" ref="U46:U62" si="6">SUM(B46:T46)</f>
        <v>0</v>
      </c>
    </row>
    <row r="47" spans="1:31" x14ac:dyDescent="0.25">
      <c r="B47" s="432"/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U47" s="432">
        <f t="shared" si="6"/>
        <v>0</v>
      </c>
    </row>
    <row r="48" spans="1:31" x14ac:dyDescent="0.25">
      <c r="B48" s="432"/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2"/>
      <c r="O48" s="432"/>
      <c r="P48" s="432"/>
      <c r="Q48" s="432"/>
      <c r="R48" s="432"/>
      <c r="S48" s="432"/>
      <c r="U48" s="432">
        <f t="shared" si="6"/>
        <v>0</v>
      </c>
    </row>
    <row r="49" spans="2:21" x14ac:dyDescent="0.25">
      <c r="B49" s="432"/>
      <c r="C49" s="432"/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32"/>
      <c r="O49" s="432"/>
      <c r="P49" s="432"/>
      <c r="Q49" s="432"/>
      <c r="R49" s="432"/>
      <c r="S49" s="432"/>
      <c r="U49" s="432">
        <f t="shared" si="6"/>
        <v>0</v>
      </c>
    </row>
    <row r="50" spans="2:21" x14ac:dyDescent="0.25">
      <c r="B50" s="432"/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U50" s="432">
        <f t="shared" si="6"/>
        <v>0</v>
      </c>
    </row>
    <row r="51" spans="2:21" x14ac:dyDescent="0.25">
      <c r="B51" s="432"/>
      <c r="C51" s="432"/>
      <c r="D51" s="432"/>
      <c r="E51" s="432"/>
      <c r="F51" s="432"/>
      <c r="G51" s="432"/>
      <c r="H51" s="432"/>
      <c r="I51" s="432"/>
      <c r="J51" s="432"/>
      <c r="K51" s="432"/>
      <c r="L51" s="432"/>
      <c r="M51" s="432"/>
      <c r="N51" s="432"/>
      <c r="O51" s="432"/>
      <c r="P51" s="432"/>
      <c r="Q51" s="432"/>
      <c r="R51" s="432"/>
      <c r="S51" s="432"/>
      <c r="U51" s="432">
        <f t="shared" si="6"/>
        <v>0</v>
      </c>
    </row>
    <row r="52" spans="2:21" x14ac:dyDescent="0.25">
      <c r="B52" s="432"/>
      <c r="C52" s="432"/>
      <c r="D52" s="432"/>
      <c r="E52" s="432"/>
      <c r="F52" s="432"/>
      <c r="G52" s="432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U52" s="432">
        <f t="shared" si="6"/>
        <v>0</v>
      </c>
    </row>
    <row r="53" spans="2:21" x14ac:dyDescent="0.25">
      <c r="B53" s="432"/>
      <c r="C53" s="432"/>
      <c r="D53" s="432"/>
      <c r="E53" s="432"/>
      <c r="F53" s="432"/>
      <c r="G53" s="432"/>
      <c r="H53" s="432"/>
      <c r="I53" s="432"/>
      <c r="J53" s="432"/>
      <c r="K53" s="432"/>
      <c r="L53" s="432"/>
      <c r="M53" s="432"/>
      <c r="N53" s="432"/>
      <c r="O53" s="432"/>
      <c r="P53" s="432"/>
      <c r="Q53" s="432"/>
      <c r="R53" s="432"/>
      <c r="S53" s="432"/>
      <c r="U53" s="432">
        <f t="shared" si="6"/>
        <v>0</v>
      </c>
    </row>
    <row r="54" spans="2:21" x14ac:dyDescent="0.25">
      <c r="B54" s="432"/>
      <c r="C54" s="432"/>
      <c r="D54" s="432"/>
      <c r="E54" s="432"/>
      <c r="F54" s="432"/>
      <c r="G54" s="432"/>
      <c r="H54" s="432"/>
      <c r="I54" s="432"/>
      <c r="J54" s="432"/>
      <c r="K54" s="432"/>
      <c r="L54" s="432"/>
      <c r="M54" s="432"/>
      <c r="N54" s="432"/>
      <c r="O54" s="432"/>
      <c r="P54" s="432"/>
      <c r="Q54" s="432"/>
      <c r="R54" s="432"/>
      <c r="S54" s="432"/>
      <c r="U54" s="432">
        <f t="shared" si="6"/>
        <v>0</v>
      </c>
    </row>
    <row r="55" spans="2:21" x14ac:dyDescent="0.25">
      <c r="B55" s="432"/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  <c r="R55" s="432"/>
      <c r="S55" s="432"/>
      <c r="U55" s="432">
        <f t="shared" si="6"/>
        <v>0</v>
      </c>
    </row>
    <row r="56" spans="2:21" x14ac:dyDescent="0.25">
      <c r="B56" s="432"/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  <c r="P56" s="432"/>
      <c r="Q56" s="432"/>
      <c r="R56" s="432"/>
      <c r="S56" s="432"/>
      <c r="U56" s="432">
        <f t="shared" si="6"/>
        <v>0</v>
      </c>
    </row>
    <row r="57" spans="2:21" x14ac:dyDescent="0.25">
      <c r="B57" s="432"/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U57" s="432">
        <f t="shared" si="6"/>
        <v>0</v>
      </c>
    </row>
    <row r="58" spans="2:21" x14ac:dyDescent="0.25">
      <c r="B58" s="432"/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U58" s="432">
        <f t="shared" si="6"/>
        <v>0</v>
      </c>
    </row>
    <row r="59" spans="2:21" x14ac:dyDescent="0.25">
      <c r="B59" s="432"/>
      <c r="C59" s="432"/>
      <c r="D59" s="432"/>
      <c r="E59" s="432"/>
      <c r="F59" s="432"/>
      <c r="G59" s="432"/>
      <c r="H59" s="432"/>
      <c r="I59" s="432"/>
      <c r="J59" s="432"/>
      <c r="K59" s="432"/>
      <c r="L59" s="432"/>
      <c r="M59" s="432"/>
      <c r="N59" s="432"/>
      <c r="O59" s="432"/>
      <c r="P59" s="432"/>
      <c r="Q59" s="432"/>
      <c r="R59" s="432"/>
      <c r="S59" s="432"/>
      <c r="U59" s="432">
        <f t="shared" si="6"/>
        <v>0</v>
      </c>
    </row>
    <row r="60" spans="2:21" x14ac:dyDescent="0.25">
      <c r="B60" s="432"/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432"/>
      <c r="P60" s="432"/>
      <c r="Q60" s="432"/>
      <c r="R60" s="432"/>
      <c r="U60" s="432">
        <f t="shared" si="6"/>
        <v>0</v>
      </c>
    </row>
    <row r="61" spans="2:21" x14ac:dyDescent="0.25">
      <c r="B61" s="432"/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2"/>
      <c r="O61" s="432"/>
      <c r="P61" s="432"/>
      <c r="Q61" s="432"/>
      <c r="R61" s="432"/>
      <c r="U61" s="432">
        <f t="shared" si="6"/>
        <v>0</v>
      </c>
    </row>
    <row r="62" spans="2:21" x14ac:dyDescent="0.25">
      <c r="B62" s="432"/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32"/>
      <c r="R62" s="432"/>
      <c r="U62" s="432">
        <f t="shared" si="6"/>
        <v>0</v>
      </c>
    </row>
    <row r="67" spans="1:21" x14ac:dyDescent="0.25">
      <c r="A67" s="428" t="s">
        <v>337</v>
      </c>
      <c r="B67" s="447">
        <f>+B12-SUM(B14:B62)</f>
        <v>0</v>
      </c>
      <c r="C67" s="447">
        <f>+C12-SUM(C14:C62)</f>
        <v>0</v>
      </c>
      <c r="D67" s="447">
        <f>+D12-SUM(D14:D62)</f>
        <v>0</v>
      </c>
      <c r="E67" s="447">
        <f t="shared" ref="E67:R67" si="7">+E12-SUM(E14:E62)</f>
        <v>0</v>
      </c>
      <c r="F67" s="447">
        <f t="shared" si="7"/>
        <v>0</v>
      </c>
      <c r="G67" s="447">
        <f t="shared" si="7"/>
        <v>0</v>
      </c>
      <c r="H67" s="447">
        <f t="shared" si="7"/>
        <v>0</v>
      </c>
      <c r="I67" s="447">
        <f t="shared" si="7"/>
        <v>30400</v>
      </c>
      <c r="J67" s="447">
        <f t="shared" si="7"/>
        <v>0</v>
      </c>
      <c r="K67" s="447">
        <f t="shared" si="7"/>
        <v>0</v>
      </c>
      <c r="L67" s="447">
        <f t="shared" si="7"/>
        <v>0</v>
      </c>
      <c r="M67" s="447">
        <f t="shared" si="7"/>
        <v>0</v>
      </c>
      <c r="N67" s="447">
        <f t="shared" si="7"/>
        <v>0</v>
      </c>
      <c r="O67" s="447">
        <f t="shared" si="7"/>
        <v>0</v>
      </c>
      <c r="P67" s="447">
        <f t="shared" si="7"/>
        <v>0</v>
      </c>
      <c r="Q67" s="447">
        <f t="shared" si="7"/>
        <v>0</v>
      </c>
      <c r="R67" s="447">
        <f t="shared" si="7"/>
        <v>0</v>
      </c>
      <c r="S67" s="447">
        <f>+S12-SUM(S14:S62)</f>
        <v>0</v>
      </c>
      <c r="U67" s="447"/>
    </row>
  </sheetData>
  <pageMargins left="0.11811023622047245" right="0.11811023622047245" top="0.74803149606299213" bottom="0.74803149606299213" header="0.31496062992125984" footer="0.31496062992125984"/>
  <pageSetup scale="44" orientation="landscape" r:id="rId1"/>
  <headerFooter>
    <oddFooter>&amp;CPage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zoomScaleNormal="100" workbookViewId="0">
      <pane ySplit="8" topLeftCell="A10" activePane="bottomLeft" state="frozen"/>
      <selection activeCell="F11" sqref="F11"/>
      <selection pane="bottomLeft" activeCell="N23" sqref="N23"/>
    </sheetView>
  </sheetViews>
  <sheetFormatPr defaultColWidth="9.140625" defaultRowHeight="12.75" x14ac:dyDescent="0.2"/>
  <cols>
    <col min="1" max="1" width="9.140625" style="77"/>
    <col min="2" max="2" width="37.5703125" style="78" customWidth="1"/>
    <col min="3" max="3" width="9" style="79" bestFit="1" customWidth="1"/>
    <col min="4" max="4" width="6.5703125" style="79" customWidth="1"/>
    <col min="5" max="5" width="10.7109375" style="79" customWidth="1"/>
    <col min="6" max="6" width="6.5703125" style="79" customWidth="1"/>
    <col min="7" max="7" width="16.42578125" style="80" customWidth="1"/>
    <col min="8" max="8" width="13.140625" style="77" bestFit="1" customWidth="1"/>
    <col min="9" max="9" width="11" style="77" customWidth="1"/>
    <col min="10" max="10" width="9.7109375" style="79" bestFit="1" customWidth="1"/>
    <col min="11" max="11" width="10.28515625" style="77" bestFit="1" customWidth="1"/>
    <col min="12" max="12" width="10.5703125" style="77" customWidth="1"/>
    <col min="13" max="13" width="10.85546875" style="77" customWidth="1"/>
    <col min="14" max="14" width="12.42578125" style="77" customWidth="1"/>
    <col min="15" max="15" width="12.28515625" style="77" customWidth="1"/>
    <col min="16" max="16" width="10.5703125" style="79" customWidth="1"/>
    <col min="17" max="16384" width="9.140625" style="77"/>
  </cols>
  <sheetData>
    <row r="1" spans="1:24" x14ac:dyDescent="0.2">
      <c r="A1" s="75" t="s">
        <v>102</v>
      </c>
      <c r="B1" s="76"/>
    </row>
    <row r="2" spans="1:24" x14ac:dyDescent="0.2">
      <c r="A2" s="76" t="s">
        <v>0</v>
      </c>
      <c r="B2" s="76"/>
      <c r="L2" s="97" t="s">
        <v>103</v>
      </c>
      <c r="N2" s="154"/>
      <c r="O2" s="371" t="s">
        <v>104</v>
      </c>
      <c r="P2" s="132"/>
    </row>
    <row r="3" spans="1:24" x14ac:dyDescent="0.2">
      <c r="A3" s="76" t="s">
        <v>272</v>
      </c>
      <c r="B3" s="76"/>
      <c r="L3" s="97"/>
      <c r="N3" s="154"/>
      <c r="O3" s="371"/>
      <c r="P3" s="132"/>
    </row>
    <row r="4" spans="1:24" x14ac:dyDescent="0.2">
      <c r="A4" s="194" t="s">
        <v>113</v>
      </c>
      <c r="B4" s="371" t="s">
        <v>273</v>
      </c>
      <c r="L4" s="97" t="s">
        <v>92</v>
      </c>
      <c r="N4" s="97"/>
      <c r="O4" s="371" t="s">
        <v>274</v>
      </c>
      <c r="P4" s="155"/>
    </row>
    <row r="5" spans="1:24" x14ac:dyDescent="0.2">
      <c r="A5" s="76"/>
      <c r="B5" s="76"/>
    </row>
    <row r="6" spans="1:24" x14ac:dyDescent="0.2">
      <c r="A6" s="76" t="s">
        <v>1</v>
      </c>
      <c r="B6" s="188">
        <v>2011</v>
      </c>
    </row>
    <row r="8" spans="1:24" s="81" customFormat="1" ht="38.25" x14ac:dyDescent="0.2">
      <c r="A8" s="186" t="s">
        <v>4</v>
      </c>
      <c r="B8" s="186" t="s">
        <v>5</v>
      </c>
      <c r="C8" s="168" t="s">
        <v>106</v>
      </c>
      <c r="D8" s="168" t="s">
        <v>9</v>
      </c>
      <c r="E8" s="168" t="s">
        <v>107</v>
      </c>
      <c r="F8" s="168" t="s">
        <v>105</v>
      </c>
      <c r="G8" s="168" t="s">
        <v>12</v>
      </c>
      <c r="H8" s="169" t="s">
        <v>13</v>
      </c>
      <c r="I8" s="186" t="s">
        <v>291</v>
      </c>
      <c r="J8" s="186" t="s">
        <v>108</v>
      </c>
      <c r="K8" s="168" t="s">
        <v>15</v>
      </c>
      <c r="L8" s="170" t="s">
        <v>111</v>
      </c>
      <c r="M8" s="187" t="s">
        <v>110</v>
      </c>
      <c r="N8" s="187" t="s">
        <v>109</v>
      </c>
      <c r="O8" s="187" t="s">
        <v>112</v>
      </c>
      <c r="P8" s="168" t="s">
        <v>101</v>
      </c>
      <c r="Q8" s="83"/>
      <c r="R8" s="83"/>
      <c r="S8" s="83"/>
      <c r="T8" s="83"/>
      <c r="U8" s="83"/>
      <c r="V8" s="83"/>
      <c r="W8" s="83"/>
      <c r="X8" s="83"/>
    </row>
    <row r="9" spans="1:24" x14ac:dyDescent="0.2">
      <c r="A9" s="213"/>
      <c r="B9" s="215"/>
      <c r="C9" s="173"/>
      <c r="D9" s="173"/>
      <c r="E9" s="173"/>
      <c r="F9" s="175"/>
      <c r="G9" s="172"/>
      <c r="H9" s="221"/>
      <c r="I9" s="220"/>
      <c r="J9" s="176"/>
      <c r="K9" s="209"/>
      <c r="L9" s="221"/>
      <c r="M9" s="221"/>
      <c r="N9" s="221"/>
      <c r="O9" s="221"/>
      <c r="P9" s="173"/>
    </row>
    <row r="10" spans="1:24" x14ac:dyDescent="0.2">
      <c r="A10" s="213"/>
      <c r="B10" s="215" t="s">
        <v>338</v>
      </c>
      <c r="C10" s="173">
        <v>2010</v>
      </c>
      <c r="D10" s="173">
        <v>10</v>
      </c>
      <c r="E10" s="173">
        <f t="shared" ref="E10:E11" si="0">+C10+D10-1</f>
        <v>2019</v>
      </c>
      <c r="F10" s="175">
        <v>0.1</v>
      </c>
      <c r="G10" s="172"/>
      <c r="H10" s="221">
        <v>28110</v>
      </c>
      <c r="I10" s="220">
        <v>972.86</v>
      </c>
      <c r="J10" s="176">
        <v>3</v>
      </c>
      <c r="K10" s="209">
        <f t="shared" ref="K10:K16" si="1">IF(E10&gt;=$B$6,+D10-J10,0)</f>
        <v>7</v>
      </c>
      <c r="L10" s="221">
        <f t="shared" ref="L10:L16" si="2">+H10*F10</f>
        <v>2811</v>
      </c>
      <c r="M10" s="221">
        <f t="shared" ref="M10:M16" si="3">IF(E10&gt;=$B$6,+L10,0)</f>
        <v>2811</v>
      </c>
      <c r="N10" s="221">
        <f t="shared" ref="N10:N16" si="4">+L10*J10</f>
        <v>8433</v>
      </c>
      <c r="O10" s="221">
        <f t="shared" ref="O10:O16" si="5">+H10-N10</f>
        <v>19677</v>
      </c>
      <c r="P10" s="173"/>
    </row>
    <row r="11" spans="1:24" x14ac:dyDescent="0.2">
      <c r="A11" s="213"/>
      <c r="B11" s="215"/>
      <c r="C11" s="173">
        <v>2012</v>
      </c>
      <c r="D11" s="173">
        <v>10</v>
      </c>
      <c r="E11" s="173">
        <f t="shared" si="0"/>
        <v>2021</v>
      </c>
      <c r="F11" s="175">
        <v>0.1</v>
      </c>
      <c r="G11" s="172"/>
      <c r="H11" s="221">
        <v>349128.9</v>
      </c>
      <c r="I11" s="220">
        <v>1992.04</v>
      </c>
      <c r="J11" s="176">
        <v>1</v>
      </c>
      <c r="K11" s="209">
        <f t="shared" si="1"/>
        <v>9</v>
      </c>
      <c r="L11" s="221">
        <f t="shared" si="2"/>
        <v>34912.890000000007</v>
      </c>
      <c r="M11" s="221">
        <f t="shared" si="3"/>
        <v>34912.890000000007</v>
      </c>
      <c r="N11" s="221">
        <f t="shared" si="4"/>
        <v>34912.890000000007</v>
      </c>
      <c r="O11" s="221">
        <f t="shared" si="5"/>
        <v>314216.01</v>
      </c>
      <c r="P11" s="173"/>
    </row>
    <row r="12" spans="1:24" x14ac:dyDescent="0.2">
      <c r="A12" s="213"/>
      <c r="B12" s="215"/>
      <c r="C12" s="173"/>
      <c r="D12" s="173"/>
      <c r="E12" s="173"/>
      <c r="F12" s="175">
        <v>0.1</v>
      </c>
      <c r="G12" s="172"/>
      <c r="H12" s="221"/>
      <c r="I12" s="220"/>
      <c r="J12" s="176">
        <f t="shared" ref="J12:J16" si="6">IF(+H12&gt;0,IF(+$B$6-C12+1&gt;D12,D12,+$B$6-C12+1),0)</f>
        <v>0</v>
      </c>
      <c r="K12" s="209">
        <f t="shared" si="1"/>
        <v>0</v>
      </c>
      <c r="L12" s="221">
        <f t="shared" si="2"/>
        <v>0</v>
      </c>
      <c r="M12" s="221">
        <f t="shared" si="3"/>
        <v>0</v>
      </c>
      <c r="N12" s="221">
        <f t="shared" si="4"/>
        <v>0</v>
      </c>
      <c r="O12" s="221">
        <f t="shared" si="5"/>
        <v>0</v>
      </c>
      <c r="P12" s="173"/>
    </row>
    <row r="13" spans="1:24" x14ac:dyDescent="0.2">
      <c r="A13" s="213"/>
      <c r="B13" s="215"/>
      <c r="C13" s="173"/>
      <c r="D13" s="173"/>
      <c r="E13" s="173"/>
      <c r="F13" s="175">
        <v>0.1</v>
      </c>
      <c r="G13" s="172"/>
      <c r="H13" s="221"/>
      <c r="I13" s="220"/>
      <c r="J13" s="176">
        <f t="shared" si="6"/>
        <v>0</v>
      </c>
      <c r="K13" s="209">
        <f t="shared" si="1"/>
        <v>0</v>
      </c>
      <c r="L13" s="221">
        <f t="shared" si="2"/>
        <v>0</v>
      </c>
      <c r="M13" s="221">
        <f t="shared" si="3"/>
        <v>0</v>
      </c>
      <c r="N13" s="221">
        <f t="shared" si="4"/>
        <v>0</v>
      </c>
      <c r="O13" s="221">
        <f t="shared" si="5"/>
        <v>0</v>
      </c>
      <c r="P13" s="173"/>
    </row>
    <row r="14" spans="1:24" x14ac:dyDescent="0.2">
      <c r="A14" s="213"/>
      <c r="B14" s="215"/>
      <c r="C14" s="173"/>
      <c r="D14" s="173"/>
      <c r="E14" s="173"/>
      <c r="F14" s="175">
        <v>0.1</v>
      </c>
      <c r="G14" s="172"/>
      <c r="H14" s="221"/>
      <c r="I14" s="220"/>
      <c r="J14" s="176">
        <f t="shared" si="6"/>
        <v>0</v>
      </c>
      <c r="K14" s="209">
        <f t="shared" si="1"/>
        <v>0</v>
      </c>
      <c r="L14" s="221">
        <f t="shared" si="2"/>
        <v>0</v>
      </c>
      <c r="M14" s="221">
        <f t="shared" si="3"/>
        <v>0</v>
      </c>
      <c r="N14" s="221">
        <f t="shared" si="4"/>
        <v>0</v>
      </c>
      <c r="O14" s="221">
        <f t="shared" si="5"/>
        <v>0</v>
      </c>
      <c r="P14" s="173"/>
    </row>
    <row r="15" spans="1:24" x14ac:dyDescent="0.2">
      <c r="A15" s="213"/>
      <c r="B15" s="215"/>
      <c r="C15" s="173"/>
      <c r="D15" s="173"/>
      <c r="E15" s="173"/>
      <c r="F15" s="175">
        <v>0.1</v>
      </c>
      <c r="G15" s="172"/>
      <c r="H15" s="221"/>
      <c r="I15" s="220"/>
      <c r="J15" s="176">
        <f t="shared" si="6"/>
        <v>0</v>
      </c>
      <c r="K15" s="209">
        <f t="shared" si="1"/>
        <v>0</v>
      </c>
      <c r="L15" s="221">
        <f t="shared" si="2"/>
        <v>0</v>
      </c>
      <c r="M15" s="221">
        <f t="shared" si="3"/>
        <v>0</v>
      </c>
      <c r="N15" s="221">
        <f t="shared" si="4"/>
        <v>0</v>
      </c>
      <c r="O15" s="221">
        <f t="shared" si="5"/>
        <v>0</v>
      </c>
      <c r="P15" s="173"/>
    </row>
    <row r="16" spans="1:24" x14ac:dyDescent="0.2">
      <c r="A16" s="213"/>
      <c r="B16" s="215"/>
      <c r="C16" s="173"/>
      <c r="D16" s="173"/>
      <c r="E16" s="173"/>
      <c r="F16" s="175">
        <v>0.1</v>
      </c>
      <c r="G16" s="172"/>
      <c r="H16" s="221"/>
      <c r="I16" s="220"/>
      <c r="J16" s="176">
        <f t="shared" si="6"/>
        <v>0</v>
      </c>
      <c r="K16" s="209">
        <f t="shared" si="1"/>
        <v>0</v>
      </c>
      <c r="L16" s="221">
        <f t="shared" si="2"/>
        <v>0</v>
      </c>
      <c r="M16" s="221">
        <f t="shared" si="3"/>
        <v>0</v>
      </c>
      <c r="N16" s="221">
        <f t="shared" si="4"/>
        <v>0</v>
      </c>
      <c r="O16" s="221">
        <f t="shared" si="5"/>
        <v>0</v>
      </c>
      <c r="P16" s="173"/>
    </row>
    <row r="17" spans="1:16" x14ac:dyDescent="0.2">
      <c r="A17" s="213"/>
      <c r="B17" s="204"/>
      <c r="C17" s="173"/>
      <c r="D17" s="173"/>
      <c r="E17" s="173"/>
      <c r="F17" s="175"/>
      <c r="G17" s="172"/>
      <c r="H17" s="221"/>
      <c r="I17" s="220"/>
      <c r="J17" s="176"/>
      <c r="K17" s="209"/>
      <c r="L17" s="221"/>
      <c r="M17" s="221"/>
      <c r="N17" s="221">
        <v>0</v>
      </c>
      <c r="O17" s="221"/>
      <c r="P17" s="173"/>
    </row>
    <row r="18" spans="1:16" x14ac:dyDescent="0.2">
      <c r="A18" s="213"/>
      <c r="B18" s="215"/>
      <c r="C18" s="173"/>
      <c r="D18" s="173"/>
      <c r="E18" s="173"/>
      <c r="F18" s="175"/>
      <c r="G18" s="172"/>
      <c r="H18" s="221"/>
      <c r="I18" s="221"/>
      <c r="J18" s="176"/>
      <c r="K18" s="209"/>
      <c r="L18" s="221"/>
      <c r="M18" s="221"/>
      <c r="N18" s="221"/>
      <c r="O18" s="221"/>
      <c r="P18" s="173"/>
    </row>
    <row r="19" spans="1:16" s="81" customFormat="1" x14ac:dyDescent="0.2">
      <c r="A19" s="148"/>
      <c r="B19" s="149"/>
      <c r="C19" s="212"/>
      <c r="D19" s="212"/>
      <c r="E19" s="212"/>
      <c r="F19" s="212"/>
      <c r="G19" s="82"/>
      <c r="H19" s="184">
        <f>SUM(H9:H18)</f>
        <v>377238.9</v>
      </c>
      <c r="I19" s="184">
        <f>SUM(I9:I18)</f>
        <v>2964.9</v>
      </c>
      <c r="J19" s="345"/>
      <c r="K19" s="209"/>
      <c r="L19" s="184"/>
      <c r="M19" s="367">
        <f>SUM(M9:M18)</f>
        <v>37723.890000000007</v>
      </c>
      <c r="N19" s="184">
        <f>SUM(N9:N18)</f>
        <v>43345.890000000007</v>
      </c>
      <c r="O19" s="367">
        <f>+H19-N19</f>
        <v>333893.01</v>
      </c>
      <c r="P19" s="206"/>
    </row>
    <row r="20" spans="1:16" s="81" customFormat="1" x14ac:dyDescent="0.2">
      <c r="B20" s="93"/>
      <c r="C20" s="92"/>
      <c r="D20" s="92"/>
      <c r="E20" s="92"/>
      <c r="F20" s="92"/>
      <c r="G20" s="83"/>
      <c r="H20" s="185"/>
      <c r="I20" s="185"/>
      <c r="J20" s="344"/>
      <c r="K20" s="185"/>
      <c r="L20" s="185"/>
      <c r="M20" s="185"/>
      <c r="N20" s="185"/>
      <c r="O20" s="185"/>
      <c r="P20" s="92"/>
    </row>
    <row r="21" spans="1:16" s="81" customFormat="1" x14ac:dyDescent="0.2">
      <c r="B21" s="93"/>
      <c r="C21" s="92"/>
      <c r="D21" s="92"/>
      <c r="E21" s="92"/>
      <c r="F21" s="92"/>
      <c r="H21" s="247"/>
      <c r="I21" s="185"/>
      <c r="J21" s="344"/>
      <c r="K21" s="185"/>
      <c r="L21" s="185"/>
      <c r="M21" s="185"/>
      <c r="N21" s="185">
        <v>0</v>
      </c>
      <c r="O21" s="185"/>
      <c r="P21" s="92"/>
    </row>
    <row r="22" spans="1:16" s="81" customFormat="1" x14ac:dyDescent="0.2">
      <c r="B22" s="93"/>
      <c r="C22" s="92"/>
      <c r="D22" s="92"/>
      <c r="E22" s="92"/>
      <c r="F22" s="92"/>
      <c r="H22" s="227"/>
      <c r="I22" s="185"/>
      <c r="J22" s="344"/>
      <c r="K22" s="185"/>
      <c r="L22" s="185"/>
      <c r="M22" s="185"/>
      <c r="N22" s="185"/>
      <c r="O22" s="185"/>
      <c r="P22" s="92"/>
    </row>
    <row r="23" spans="1:16" s="81" customFormat="1" x14ac:dyDescent="0.2">
      <c r="B23" s="93"/>
      <c r="C23" s="92"/>
      <c r="D23" s="92"/>
      <c r="E23" s="92"/>
      <c r="F23" s="92"/>
      <c r="H23" s="227"/>
      <c r="I23" s="185"/>
      <c r="J23" s="344"/>
      <c r="K23" s="185"/>
      <c r="L23" s="185"/>
      <c r="M23" s="185"/>
      <c r="N23" s="185">
        <f>+N19-N21</f>
        <v>43345.890000000007</v>
      </c>
      <c r="O23" s="185"/>
      <c r="P23" s="92"/>
    </row>
    <row r="24" spans="1:16" s="81" customFormat="1" x14ac:dyDescent="0.2">
      <c r="B24" s="93"/>
      <c r="C24" s="92"/>
      <c r="D24" s="92"/>
      <c r="E24" s="92"/>
      <c r="F24" s="92"/>
      <c r="G24" s="83"/>
      <c r="H24" s="96"/>
      <c r="I24" s="96"/>
      <c r="J24" s="95"/>
      <c r="M24" s="99"/>
      <c r="N24" s="99"/>
      <c r="O24" s="99"/>
      <c r="P24" s="92"/>
    </row>
    <row r="25" spans="1:16" s="81" customFormat="1" x14ac:dyDescent="0.2">
      <c r="B25" s="93"/>
      <c r="C25" s="92"/>
      <c r="D25" s="92"/>
      <c r="E25" s="92"/>
      <c r="F25" s="92"/>
      <c r="G25" s="83"/>
      <c r="H25" s="96"/>
      <c r="I25" s="96"/>
      <c r="J25" s="95"/>
      <c r="M25" s="99"/>
      <c r="N25" s="99"/>
      <c r="O25" s="99"/>
      <c r="P25" s="92"/>
    </row>
    <row r="26" spans="1:16" x14ac:dyDescent="0.2">
      <c r="M26" s="202"/>
      <c r="N26" s="200"/>
    </row>
    <row r="27" spans="1:16" x14ac:dyDescent="0.2">
      <c r="M27" s="333"/>
      <c r="N27" s="200"/>
    </row>
    <row r="28" spans="1:16" x14ac:dyDescent="0.2">
      <c r="M28" s="202"/>
      <c r="N28" s="200"/>
    </row>
    <row r="29" spans="1:16" x14ac:dyDescent="0.2">
      <c r="M29" s="333"/>
      <c r="N29" s="200"/>
    </row>
    <row r="30" spans="1:16" x14ac:dyDescent="0.2">
      <c r="M30" s="202"/>
      <c r="N30" s="202"/>
    </row>
    <row r="31" spans="1:16" x14ac:dyDescent="0.2">
      <c r="M31" s="333"/>
      <c r="N31" s="333"/>
    </row>
  </sheetData>
  <phoneticPr fontId="0" type="noConversion"/>
  <printOptions horizontalCentered="1"/>
  <pageMargins left="0.39370078740157483" right="0.39370078740157483" top="0.39370078740157483" bottom="0.78740157480314965" header="0" footer="0.59055118110236227"/>
  <pageSetup scale="98" orientation="landscape" r:id="rId1"/>
  <headerFooter>
    <oddFooter>&amp;L&amp;"Calibri,Regular"&amp;D&amp;C&amp;"Calibri,Regular"Page &amp;P of &amp;N&amp;R&amp;"Calibri,Regular"&amp;F
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opLeftCell="B8" zoomScaleNormal="100" workbookViewId="0">
      <selection activeCell="G25" sqref="G25:I30"/>
    </sheetView>
  </sheetViews>
  <sheetFormatPr defaultColWidth="9.140625" defaultRowHeight="12.75" x14ac:dyDescent="0.2"/>
  <cols>
    <col min="1" max="1" width="31.5703125" style="136" customWidth="1"/>
    <col min="2" max="2" width="13.140625" style="137" customWidth="1"/>
    <col min="3" max="3" width="9" style="137" bestFit="1" customWidth="1"/>
    <col min="4" max="4" width="6.5703125" style="137" customWidth="1"/>
    <col min="5" max="5" width="10.140625" style="137" bestFit="1" customWidth="1"/>
    <col min="6" max="6" width="9.140625" style="137"/>
    <col min="7" max="7" width="21.85546875" style="138" bestFit="1" customWidth="1"/>
    <col min="8" max="8" width="13.140625" style="135" bestFit="1" customWidth="1"/>
    <col min="9" max="9" width="11" style="135" bestFit="1" customWidth="1"/>
    <col min="10" max="10" width="9.7109375" style="137" bestFit="1" customWidth="1"/>
    <col min="11" max="11" width="10.28515625" style="135" bestFit="1" customWidth="1"/>
    <col min="12" max="12" width="10.5703125" style="135" customWidth="1"/>
    <col min="13" max="13" width="11.5703125" style="135" customWidth="1"/>
    <col min="14" max="14" width="11.140625" style="135" bestFit="1" customWidth="1"/>
    <col min="15" max="15" width="12.85546875" style="135" customWidth="1"/>
    <col min="16" max="16" width="10.5703125" style="137" customWidth="1"/>
    <col min="17" max="16384" width="9.140625" style="135"/>
  </cols>
  <sheetData>
    <row r="1" spans="1:24" x14ac:dyDescent="0.2">
      <c r="A1" s="147" t="s">
        <v>102</v>
      </c>
    </row>
    <row r="2" spans="1:24" x14ac:dyDescent="0.2">
      <c r="A2" s="134" t="s">
        <v>0</v>
      </c>
      <c r="K2" s="97" t="s">
        <v>103</v>
      </c>
      <c r="L2" s="154"/>
      <c r="N2" s="347" t="s">
        <v>104</v>
      </c>
    </row>
    <row r="3" spans="1:24" x14ac:dyDescent="0.2">
      <c r="A3" s="134" t="s">
        <v>275</v>
      </c>
      <c r="K3" s="97"/>
      <c r="L3" s="154"/>
      <c r="N3" s="347"/>
    </row>
    <row r="4" spans="1:24" x14ac:dyDescent="0.2">
      <c r="A4" s="347" t="s">
        <v>113</v>
      </c>
      <c r="B4" s="347" t="s">
        <v>276</v>
      </c>
      <c r="K4" s="97" t="s">
        <v>92</v>
      </c>
      <c r="L4" s="97"/>
      <c r="N4" s="347" t="s">
        <v>277</v>
      </c>
    </row>
    <row r="5" spans="1:24" x14ac:dyDescent="0.2">
      <c r="A5" s="134"/>
      <c r="B5" s="134"/>
    </row>
    <row r="6" spans="1:24" x14ac:dyDescent="0.2">
      <c r="A6" s="134" t="s">
        <v>1</v>
      </c>
      <c r="B6" s="426">
        <v>2011</v>
      </c>
    </row>
    <row r="8" spans="1:24" s="139" customFormat="1" ht="51" x14ac:dyDescent="0.2">
      <c r="A8" s="186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86" t="s">
        <v>12</v>
      </c>
      <c r="H8" s="186" t="s">
        <v>13</v>
      </c>
      <c r="I8" s="186" t="s">
        <v>291</v>
      </c>
      <c r="J8" s="186" t="s">
        <v>108</v>
      </c>
      <c r="K8" s="186" t="s">
        <v>15</v>
      </c>
      <c r="L8" s="170" t="s">
        <v>111</v>
      </c>
      <c r="M8" s="187" t="s">
        <v>110</v>
      </c>
      <c r="N8" s="187" t="s">
        <v>109</v>
      </c>
      <c r="O8" s="187" t="s">
        <v>112</v>
      </c>
      <c r="P8" s="168" t="s">
        <v>101</v>
      </c>
      <c r="Q8" s="145"/>
      <c r="R8" s="145"/>
      <c r="S8" s="145"/>
      <c r="T8" s="145"/>
      <c r="U8" s="145"/>
      <c r="V8" s="145"/>
      <c r="W8" s="145"/>
      <c r="X8" s="145"/>
    </row>
    <row r="9" spans="1:24" x14ac:dyDescent="0.2">
      <c r="A9" s="204"/>
      <c r="B9" s="205"/>
      <c r="C9" s="206">
        <v>2012</v>
      </c>
      <c r="D9" s="206">
        <v>5</v>
      </c>
      <c r="E9" s="206">
        <f t="shared" ref="E9" si="0">+C9+D9-1</f>
        <v>2016</v>
      </c>
      <c r="F9" s="207">
        <f>IF(D9&gt;0,1/D9,0)</f>
        <v>0.2</v>
      </c>
      <c r="G9" s="303"/>
      <c r="H9" s="222">
        <v>12465.77</v>
      </c>
      <c r="I9" s="222">
        <v>0</v>
      </c>
      <c r="J9" s="209">
        <v>1</v>
      </c>
      <c r="K9" s="209">
        <f t="shared" ref="K9:K20" si="1">IF(E9&gt;=$B$6,+D9-J9,0)</f>
        <v>4</v>
      </c>
      <c r="L9" s="222">
        <f t="shared" ref="L9:L14" si="2">+H9*F9</f>
        <v>2493.1540000000005</v>
      </c>
      <c r="M9" s="373">
        <f t="shared" ref="M9:M20" si="3">IF(E9&gt;=$B$6,+L9,0)</f>
        <v>2493.1540000000005</v>
      </c>
      <c r="N9" s="222">
        <f t="shared" ref="N9:N20" si="4">+L9*J9</f>
        <v>2493.1540000000005</v>
      </c>
      <c r="O9" s="222">
        <f t="shared" ref="O9:O20" si="5">+H9-N9</f>
        <v>9972.616</v>
      </c>
      <c r="P9" s="206"/>
    </row>
    <row r="10" spans="1:24" x14ac:dyDescent="0.2">
      <c r="A10" s="204"/>
      <c r="B10" s="205"/>
      <c r="C10" s="206"/>
      <c r="D10" s="206"/>
      <c r="E10" s="206"/>
      <c r="F10" s="207"/>
      <c r="G10" s="303"/>
      <c r="H10" s="220"/>
      <c r="I10" s="220">
        <v>0</v>
      </c>
      <c r="J10" s="209">
        <f t="shared" ref="J10:J20" si="6">IF(+H10&gt;0,IF(+$B$6-C10+1&gt;D10,D10,+$B$6-C10+1),0)</f>
        <v>0</v>
      </c>
      <c r="K10" s="209">
        <f t="shared" si="1"/>
        <v>0</v>
      </c>
      <c r="L10" s="220">
        <f t="shared" si="2"/>
        <v>0</v>
      </c>
      <c r="M10" s="220">
        <f t="shared" si="3"/>
        <v>0</v>
      </c>
      <c r="N10" s="220">
        <f t="shared" si="4"/>
        <v>0</v>
      </c>
      <c r="O10" s="220">
        <f t="shared" si="5"/>
        <v>0</v>
      </c>
      <c r="P10" s="206"/>
    </row>
    <row r="11" spans="1:24" ht="15.75" customHeight="1" x14ac:dyDescent="0.2">
      <c r="A11" s="204"/>
      <c r="B11" s="205"/>
      <c r="C11" s="206"/>
      <c r="D11" s="206"/>
      <c r="E11" s="206"/>
      <c r="F11" s="207"/>
      <c r="G11" s="303"/>
      <c r="H11" s="220"/>
      <c r="I11" s="220">
        <v>146.33000000000001</v>
      </c>
      <c r="J11" s="209">
        <f t="shared" si="6"/>
        <v>0</v>
      </c>
      <c r="K11" s="209">
        <f t="shared" si="1"/>
        <v>0</v>
      </c>
      <c r="L11" s="220">
        <f t="shared" si="2"/>
        <v>0</v>
      </c>
      <c r="M11" s="220">
        <f t="shared" si="3"/>
        <v>0</v>
      </c>
      <c r="N11" s="220">
        <f t="shared" si="4"/>
        <v>0</v>
      </c>
      <c r="O11" s="220">
        <f t="shared" si="5"/>
        <v>0</v>
      </c>
      <c r="P11" s="206"/>
    </row>
    <row r="12" spans="1:24" ht="15.75" customHeight="1" x14ac:dyDescent="0.2">
      <c r="A12" s="204"/>
      <c r="B12" s="205"/>
      <c r="C12" s="206"/>
      <c r="D12" s="206"/>
      <c r="E12" s="206"/>
      <c r="F12" s="207"/>
      <c r="G12" s="303"/>
      <c r="H12" s="220"/>
      <c r="I12" s="220">
        <v>4.21</v>
      </c>
      <c r="J12" s="209">
        <f t="shared" si="6"/>
        <v>0</v>
      </c>
      <c r="K12" s="209">
        <f t="shared" si="1"/>
        <v>0</v>
      </c>
      <c r="L12" s="220">
        <f t="shared" si="2"/>
        <v>0</v>
      </c>
      <c r="M12" s="220">
        <f t="shared" si="3"/>
        <v>0</v>
      </c>
      <c r="N12" s="220">
        <f t="shared" si="4"/>
        <v>0</v>
      </c>
      <c r="O12" s="220">
        <f t="shared" si="5"/>
        <v>0</v>
      </c>
      <c r="P12" s="206"/>
    </row>
    <row r="13" spans="1:24" ht="15.75" customHeight="1" x14ac:dyDescent="0.2">
      <c r="A13" s="204"/>
      <c r="B13" s="205"/>
      <c r="C13" s="206"/>
      <c r="D13" s="206"/>
      <c r="E13" s="206"/>
      <c r="F13" s="207"/>
      <c r="G13" s="303"/>
      <c r="H13" s="220"/>
      <c r="I13" s="220">
        <v>9.3699999999999992</v>
      </c>
      <c r="J13" s="209">
        <f t="shared" si="6"/>
        <v>0</v>
      </c>
      <c r="K13" s="209">
        <f t="shared" si="1"/>
        <v>0</v>
      </c>
      <c r="L13" s="220">
        <f t="shared" si="2"/>
        <v>0</v>
      </c>
      <c r="M13" s="220">
        <f t="shared" si="3"/>
        <v>0</v>
      </c>
      <c r="N13" s="220">
        <f t="shared" si="4"/>
        <v>0</v>
      </c>
      <c r="O13" s="220">
        <f t="shared" si="5"/>
        <v>0</v>
      </c>
      <c r="P13" s="206"/>
    </row>
    <row r="14" spans="1:24" ht="15.75" customHeight="1" x14ac:dyDescent="0.2">
      <c r="A14" s="204"/>
      <c r="B14" s="205"/>
      <c r="C14" s="206"/>
      <c r="D14" s="206"/>
      <c r="E14" s="206"/>
      <c r="F14" s="207"/>
      <c r="G14" s="303"/>
      <c r="H14" s="220"/>
      <c r="I14" s="220">
        <v>73.739999999999995</v>
      </c>
      <c r="J14" s="209">
        <f t="shared" si="6"/>
        <v>0</v>
      </c>
      <c r="K14" s="209">
        <f t="shared" si="1"/>
        <v>0</v>
      </c>
      <c r="L14" s="220">
        <f t="shared" si="2"/>
        <v>0</v>
      </c>
      <c r="M14" s="220">
        <f t="shared" si="3"/>
        <v>0</v>
      </c>
      <c r="N14" s="220">
        <f t="shared" si="4"/>
        <v>0</v>
      </c>
      <c r="O14" s="220">
        <f t="shared" si="5"/>
        <v>0</v>
      </c>
      <c r="P14" s="206"/>
    </row>
    <row r="15" spans="1:24" ht="15.75" customHeight="1" x14ac:dyDescent="0.2">
      <c r="A15" s="204"/>
      <c r="B15" s="205"/>
      <c r="C15" s="206"/>
      <c r="D15" s="206"/>
      <c r="E15" s="206"/>
      <c r="F15" s="207"/>
      <c r="G15" s="303"/>
      <c r="H15" s="220"/>
      <c r="I15" s="220">
        <v>14.9</v>
      </c>
      <c r="J15" s="209">
        <f t="shared" si="6"/>
        <v>0</v>
      </c>
      <c r="K15" s="209">
        <f t="shared" si="1"/>
        <v>0</v>
      </c>
      <c r="L15" s="220">
        <f t="shared" ref="L15:L20" si="7">+H15*F15</f>
        <v>0</v>
      </c>
      <c r="M15" s="220">
        <f t="shared" si="3"/>
        <v>0</v>
      </c>
      <c r="N15" s="220">
        <f t="shared" si="4"/>
        <v>0</v>
      </c>
      <c r="O15" s="220">
        <f t="shared" si="5"/>
        <v>0</v>
      </c>
      <c r="P15" s="206"/>
    </row>
    <row r="16" spans="1:24" ht="15.75" customHeight="1" x14ac:dyDescent="0.2">
      <c r="A16" s="204"/>
      <c r="B16" s="205"/>
      <c r="C16" s="206"/>
      <c r="D16" s="206"/>
      <c r="E16" s="206"/>
      <c r="F16" s="207"/>
      <c r="G16" s="303"/>
      <c r="H16" s="220"/>
      <c r="I16" s="220">
        <v>5775.05</v>
      </c>
      <c r="J16" s="209">
        <f t="shared" si="6"/>
        <v>0</v>
      </c>
      <c r="K16" s="209">
        <f t="shared" si="1"/>
        <v>0</v>
      </c>
      <c r="L16" s="220">
        <f t="shared" si="7"/>
        <v>0</v>
      </c>
      <c r="M16" s="220">
        <f t="shared" si="3"/>
        <v>0</v>
      </c>
      <c r="N16" s="220">
        <f t="shared" si="4"/>
        <v>0</v>
      </c>
      <c r="O16" s="220">
        <f t="shared" si="5"/>
        <v>0</v>
      </c>
      <c r="P16" s="206"/>
    </row>
    <row r="17" spans="1:16" ht="15.75" customHeight="1" x14ac:dyDescent="0.2">
      <c r="A17" s="204"/>
      <c r="B17" s="205"/>
      <c r="C17" s="206"/>
      <c r="D17" s="206"/>
      <c r="E17" s="206"/>
      <c r="F17" s="207"/>
      <c r="G17" s="303"/>
      <c r="H17" s="220"/>
      <c r="I17" s="220">
        <v>323.51</v>
      </c>
      <c r="J17" s="209">
        <f t="shared" si="6"/>
        <v>0</v>
      </c>
      <c r="K17" s="209">
        <f t="shared" si="1"/>
        <v>0</v>
      </c>
      <c r="L17" s="220">
        <f t="shared" si="7"/>
        <v>0</v>
      </c>
      <c r="M17" s="220">
        <f t="shared" si="3"/>
        <v>0</v>
      </c>
      <c r="N17" s="220">
        <f t="shared" si="4"/>
        <v>0</v>
      </c>
      <c r="O17" s="220">
        <f t="shared" si="5"/>
        <v>0</v>
      </c>
      <c r="P17" s="206"/>
    </row>
    <row r="18" spans="1:16" ht="15.75" customHeight="1" x14ac:dyDescent="0.2">
      <c r="A18" s="204"/>
      <c r="B18" s="205"/>
      <c r="C18" s="206"/>
      <c r="D18" s="206"/>
      <c r="E18" s="206"/>
      <c r="F18" s="207"/>
      <c r="G18" s="303"/>
      <c r="H18" s="220"/>
      <c r="I18" s="220">
        <v>888.96</v>
      </c>
      <c r="J18" s="209">
        <f t="shared" si="6"/>
        <v>0</v>
      </c>
      <c r="K18" s="209">
        <f t="shared" si="1"/>
        <v>0</v>
      </c>
      <c r="L18" s="220">
        <f t="shared" si="7"/>
        <v>0</v>
      </c>
      <c r="M18" s="220">
        <f t="shared" si="3"/>
        <v>0</v>
      </c>
      <c r="N18" s="220">
        <f t="shared" si="4"/>
        <v>0</v>
      </c>
      <c r="O18" s="220">
        <f t="shared" si="5"/>
        <v>0</v>
      </c>
      <c r="P18" s="206"/>
    </row>
    <row r="19" spans="1:16" ht="15.75" customHeight="1" x14ac:dyDescent="0.2">
      <c r="A19" s="204"/>
      <c r="B19" s="205"/>
      <c r="C19" s="206"/>
      <c r="D19" s="206"/>
      <c r="E19" s="206"/>
      <c r="F19" s="207"/>
      <c r="G19" s="303"/>
      <c r="H19" s="220"/>
      <c r="I19" s="220">
        <v>447.56</v>
      </c>
      <c r="J19" s="209">
        <f t="shared" si="6"/>
        <v>0</v>
      </c>
      <c r="K19" s="209">
        <f t="shared" si="1"/>
        <v>0</v>
      </c>
      <c r="L19" s="220">
        <f t="shared" si="7"/>
        <v>0</v>
      </c>
      <c r="M19" s="220">
        <f t="shared" si="3"/>
        <v>0</v>
      </c>
      <c r="N19" s="220">
        <f t="shared" si="4"/>
        <v>0</v>
      </c>
      <c r="O19" s="220">
        <f t="shared" si="5"/>
        <v>0</v>
      </c>
      <c r="P19" s="206"/>
    </row>
    <row r="20" spans="1:16" x14ac:dyDescent="0.2">
      <c r="A20" s="215"/>
      <c r="B20" s="205"/>
      <c r="C20" s="173"/>
      <c r="D20" s="173"/>
      <c r="E20" s="173"/>
      <c r="F20" s="175"/>
      <c r="G20" s="172"/>
      <c r="H20" s="221"/>
      <c r="I20" s="220">
        <v>4782.21</v>
      </c>
      <c r="J20" s="173">
        <f t="shared" si="6"/>
        <v>0</v>
      </c>
      <c r="K20" s="173">
        <f t="shared" si="1"/>
        <v>0</v>
      </c>
      <c r="L20" s="338">
        <f t="shared" si="7"/>
        <v>0</v>
      </c>
      <c r="M20" s="338">
        <f t="shared" si="3"/>
        <v>0</v>
      </c>
      <c r="N20" s="221">
        <f t="shared" si="4"/>
        <v>0</v>
      </c>
      <c r="O20" s="221">
        <f t="shared" si="5"/>
        <v>0</v>
      </c>
      <c r="P20" s="173"/>
    </row>
    <row r="21" spans="1:16" x14ac:dyDescent="0.2">
      <c r="A21" s="204"/>
      <c r="B21" s="205"/>
      <c r="C21" s="173"/>
      <c r="D21" s="173"/>
      <c r="E21" s="173"/>
      <c r="F21" s="175"/>
      <c r="G21" s="172"/>
      <c r="H21" s="221"/>
      <c r="I21" s="220">
        <v>-7.0000000000000007E-2</v>
      </c>
      <c r="J21" s="173"/>
      <c r="K21" s="173"/>
      <c r="L21" s="338"/>
      <c r="M21" s="338"/>
      <c r="N21" s="221">
        <v>-40476.089999999997</v>
      </c>
      <c r="O21" s="221"/>
      <c r="P21" s="173"/>
    </row>
    <row r="22" spans="1:16" x14ac:dyDescent="0.2">
      <c r="A22" s="215"/>
      <c r="B22" s="173"/>
      <c r="C22" s="173"/>
      <c r="D22" s="173"/>
      <c r="E22" s="173"/>
      <c r="F22" s="173"/>
      <c r="G22" s="172"/>
      <c r="H22" s="221"/>
      <c r="I22" s="221"/>
      <c r="J22" s="173"/>
      <c r="K22" s="173"/>
      <c r="L22" s="213"/>
      <c r="M22" s="213"/>
      <c r="N22" s="213"/>
      <c r="O22" s="213"/>
      <c r="P22" s="173"/>
    </row>
    <row r="23" spans="1:16" s="139" customFormat="1" x14ac:dyDescent="0.2">
      <c r="A23" s="149" t="s">
        <v>100</v>
      </c>
      <c r="B23" s="212"/>
      <c r="C23" s="212"/>
      <c r="D23" s="212"/>
      <c r="E23" s="212"/>
      <c r="F23" s="212"/>
      <c r="G23" s="82"/>
      <c r="H23" s="223">
        <f>SUM(H9:H22)</f>
        <v>12465.77</v>
      </c>
      <c r="I23" s="223">
        <f>SUM(I9:I22)</f>
        <v>12465.77</v>
      </c>
      <c r="J23" s="224"/>
      <c r="K23" s="223"/>
      <c r="L23" s="223"/>
      <c r="M23" s="230">
        <f>SUM(M9:M22)</f>
        <v>2493.1540000000005</v>
      </c>
      <c r="N23" s="223">
        <f>SUM(N9:N22)</f>
        <v>-37982.935999999994</v>
      </c>
      <c r="O23" s="230">
        <f>+H23-N23</f>
        <v>50448.705999999991</v>
      </c>
      <c r="P23" s="179"/>
    </row>
    <row r="24" spans="1:16" s="139" customFormat="1" x14ac:dyDescent="0.2">
      <c r="A24" s="144"/>
      <c r="B24" s="143"/>
      <c r="C24" s="143"/>
      <c r="D24" s="143"/>
      <c r="E24" s="143"/>
      <c r="F24" s="143"/>
      <c r="G24" s="145"/>
      <c r="H24" s="248"/>
      <c r="I24" s="248"/>
      <c r="J24" s="349"/>
      <c r="K24" s="248"/>
      <c r="L24" s="248"/>
      <c r="M24" s="248"/>
      <c r="N24" s="248"/>
      <c r="O24" s="248"/>
    </row>
    <row r="25" spans="1:16" s="139" customFormat="1" x14ac:dyDescent="0.2">
      <c r="A25" s="144"/>
      <c r="B25" s="143"/>
      <c r="C25" s="143"/>
      <c r="D25" s="143"/>
      <c r="E25" s="143"/>
      <c r="F25" s="143"/>
      <c r="H25" s="247"/>
      <c r="I25" s="248"/>
      <c r="J25" s="349"/>
      <c r="K25" s="248"/>
      <c r="L25" s="248"/>
      <c r="M25" s="248"/>
      <c r="N25" s="248">
        <v>0</v>
      </c>
      <c r="O25" s="248"/>
      <c r="P25" s="286"/>
    </row>
    <row r="26" spans="1:16" s="139" customFormat="1" x14ac:dyDescent="0.2">
      <c r="A26" s="144"/>
      <c r="B26" s="143"/>
      <c r="C26" s="143"/>
      <c r="D26" s="143"/>
      <c r="E26" s="143"/>
      <c r="F26" s="143"/>
      <c r="H26" s="227"/>
      <c r="I26" s="248"/>
      <c r="J26" s="349"/>
      <c r="K26" s="248"/>
      <c r="L26" s="248"/>
      <c r="M26" s="248"/>
      <c r="N26" s="248"/>
      <c r="O26" s="248"/>
      <c r="P26" s="286"/>
    </row>
    <row r="27" spans="1:16" s="139" customFormat="1" x14ac:dyDescent="0.2">
      <c r="A27" s="136"/>
      <c r="B27" s="137"/>
      <c r="C27" s="137"/>
      <c r="D27" s="137"/>
      <c r="E27" s="137"/>
      <c r="F27" s="137"/>
      <c r="H27" s="227"/>
      <c r="I27" s="248"/>
      <c r="J27" s="349"/>
      <c r="K27" s="248"/>
      <c r="L27" s="248"/>
      <c r="M27" s="248"/>
      <c r="N27" s="248">
        <f>+N23-N25</f>
        <v>-37982.935999999994</v>
      </c>
      <c r="O27" s="248"/>
      <c r="P27" s="288"/>
    </row>
    <row r="28" spans="1:16" s="139" customFormat="1" x14ac:dyDescent="0.2">
      <c r="A28" s="136"/>
      <c r="B28" s="137"/>
      <c r="C28" s="137"/>
      <c r="D28" s="137"/>
      <c r="E28" s="137"/>
      <c r="F28" s="137"/>
      <c r="G28" s="138"/>
      <c r="H28" s="201"/>
      <c r="I28" s="201"/>
      <c r="J28" s="287"/>
      <c r="K28" s="122"/>
      <c r="L28" s="122"/>
      <c r="M28" s="201"/>
      <c r="N28" s="201"/>
      <c r="O28" s="201"/>
      <c r="P28" s="288"/>
    </row>
    <row r="29" spans="1:16" s="139" customFormat="1" x14ac:dyDescent="0.2">
      <c r="A29" s="136"/>
      <c r="B29" s="137"/>
      <c r="C29" s="137"/>
      <c r="D29" s="137"/>
      <c r="E29" s="137"/>
      <c r="F29" s="137"/>
      <c r="G29" s="138"/>
      <c r="H29" s="201"/>
      <c r="I29" s="201"/>
      <c r="J29" s="287"/>
      <c r="K29" s="122"/>
      <c r="L29" s="122"/>
      <c r="M29" s="201"/>
      <c r="N29" s="201"/>
      <c r="O29" s="201"/>
      <c r="P29" s="288"/>
    </row>
    <row r="30" spans="1:16" s="139" customFormat="1" x14ac:dyDescent="0.2">
      <c r="A30" s="136"/>
      <c r="B30" s="137"/>
      <c r="C30" s="137"/>
      <c r="D30" s="137"/>
      <c r="E30" s="137"/>
      <c r="F30" s="137"/>
      <c r="G30" s="138"/>
      <c r="H30" s="348"/>
      <c r="I30" s="348"/>
      <c r="J30" s="141"/>
      <c r="M30" s="201"/>
      <c r="N30" s="201"/>
      <c r="O30" s="201"/>
      <c r="P30" s="137"/>
    </row>
    <row r="31" spans="1:16" s="139" customFormat="1" x14ac:dyDescent="0.2">
      <c r="A31" s="136"/>
      <c r="B31" s="137"/>
      <c r="C31" s="137"/>
      <c r="D31" s="137"/>
      <c r="E31" s="137"/>
      <c r="F31" s="137"/>
      <c r="G31" s="378"/>
      <c r="H31" s="201"/>
      <c r="I31" s="201"/>
      <c r="J31" s="141"/>
      <c r="M31" s="201"/>
      <c r="N31" s="201"/>
      <c r="O31" s="201"/>
      <c r="P31" s="137"/>
    </row>
    <row r="32" spans="1:16" s="139" customFormat="1" x14ac:dyDescent="0.2">
      <c r="A32" s="136"/>
      <c r="B32" s="137"/>
      <c r="C32" s="137"/>
      <c r="D32" s="137"/>
      <c r="E32" s="137"/>
      <c r="F32" s="137"/>
      <c r="G32" s="138"/>
      <c r="H32" s="348"/>
      <c r="I32" s="348"/>
      <c r="J32" s="141"/>
      <c r="M32" s="201"/>
      <c r="N32" s="201"/>
      <c r="O32" s="201"/>
      <c r="P32" s="137"/>
    </row>
    <row r="33" spans="1:16" x14ac:dyDescent="0.2">
      <c r="A33" s="135"/>
      <c r="B33" s="135"/>
      <c r="C33" s="135"/>
      <c r="D33" s="135"/>
      <c r="E33" s="135"/>
      <c r="F33" s="135"/>
      <c r="G33" s="135"/>
      <c r="H33" s="140"/>
      <c r="I33" s="140"/>
      <c r="J33" s="142"/>
      <c r="P33" s="135"/>
    </row>
    <row r="34" spans="1:16" x14ac:dyDescent="0.2">
      <c r="A34" s="135"/>
      <c r="B34" s="135"/>
      <c r="C34" s="135"/>
      <c r="D34" s="135"/>
      <c r="E34" s="135"/>
      <c r="F34" s="135"/>
      <c r="G34" s="135"/>
      <c r="P34" s="135"/>
    </row>
    <row r="35" spans="1:16" x14ac:dyDescent="0.2">
      <c r="A35" s="135"/>
      <c r="B35" s="135"/>
      <c r="C35" s="135"/>
      <c r="D35" s="135"/>
      <c r="E35" s="135"/>
      <c r="F35" s="135"/>
      <c r="G35" s="135"/>
      <c r="P35" s="135"/>
    </row>
    <row r="36" spans="1:16" x14ac:dyDescent="0.2">
      <c r="A36" s="135"/>
      <c r="B36" s="135"/>
      <c r="C36" s="135"/>
      <c r="D36" s="135"/>
      <c r="E36" s="135"/>
      <c r="F36" s="135"/>
      <c r="G36" s="135"/>
      <c r="M36" s="198"/>
      <c r="N36" s="199"/>
      <c r="P36" s="135"/>
    </row>
    <row r="37" spans="1:16" x14ac:dyDescent="0.2">
      <c r="A37" s="135"/>
      <c r="B37" s="135"/>
      <c r="C37" s="135"/>
      <c r="D37" s="135"/>
      <c r="E37" s="135"/>
      <c r="F37" s="135"/>
      <c r="G37" s="135"/>
      <c r="M37" s="333"/>
      <c r="N37" s="200"/>
      <c r="O37" s="333"/>
      <c r="P37" s="135"/>
    </row>
    <row r="38" spans="1:16" x14ac:dyDescent="0.2">
      <c r="A38" s="135"/>
      <c r="B38" s="135"/>
      <c r="C38" s="135"/>
      <c r="D38" s="135"/>
      <c r="E38" s="135"/>
      <c r="F38" s="135"/>
      <c r="G38" s="135"/>
      <c r="M38" s="202"/>
      <c r="N38" s="200"/>
      <c r="O38" s="333"/>
      <c r="P38" s="135"/>
    </row>
    <row r="39" spans="1:16" x14ac:dyDescent="0.2">
      <c r="A39" s="135"/>
      <c r="B39" s="135"/>
      <c r="C39" s="135"/>
      <c r="D39" s="135"/>
      <c r="E39" s="135"/>
      <c r="F39" s="135"/>
      <c r="G39" s="135"/>
      <c r="M39" s="333"/>
      <c r="N39" s="200"/>
      <c r="O39" s="333"/>
      <c r="P39" s="135"/>
    </row>
    <row r="40" spans="1:16" x14ac:dyDescent="0.2">
      <c r="A40" s="135"/>
      <c r="B40" s="135"/>
      <c r="C40" s="135"/>
      <c r="D40" s="135"/>
      <c r="E40" s="135"/>
      <c r="F40" s="135"/>
      <c r="G40" s="135"/>
      <c r="M40" s="202"/>
      <c r="N40" s="200"/>
      <c r="O40" s="333"/>
      <c r="P40" s="135"/>
    </row>
    <row r="41" spans="1:16" x14ac:dyDescent="0.2">
      <c r="A41" s="135"/>
      <c r="B41" s="135"/>
      <c r="C41" s="135"/>
      <c r="D41" s="135"/>
      <c r="E41" s="135"/>
      <c r="F41" s="135"/>
      <c r="G41" s="135"/>
      <c r="M41" s="333"/>
      <c r="N41" s="200"/>
      <c r="O41" s="333"/>
      <c r="P41" s="135"/>
    </row>
    <row r="42" spans="1:16" x14ac:dyDescent="0.2">
      <c r="A42" s="135"/>
      <c r="B42" s="135"/>
      <c r="C42" s="135"/>
      <c r="D42" s="135"/>
      <c r="E42" s="135"/>
      <c r="F42" s="135"/>
      <c r="G42" s="135"/>
      <c r="M42" s="202"/>
      <c r="N42" s="202"/>
      <c r="O42" s="333"/>
      <c r="P42" s="135"/>
    </row>
    <row r="43" spans="1:16" x14ac:dyDescent="0.2">
      <c r="A43" s="135"/>
      <c r="B43" s="135"/>
      <c r="C43" s="135"/>
      <c r="D43" s="135"/>
      <c r="E43" s="135"/>
      <c r="F43" s="135"/>
      <c r="G43" s="135"/>
      <c r="M43" s="333"/>
      <c r="N43" s="333"/>
      <c r="O43" s="333"/>
      <c r="P43" s="135"/>
    </row>
    <row r="44" spans="1:16" x14ac:dyDescent="0.2">
      <c r="A44" s="135"/>
      <c r="B44" s="135"/>
      <c r="C44" s="135"/>
      <c r="D44" s="135"/>
      <c r="E44" s="135"/>
      <c r="F44" s="135"/>
      <c r="G44" s="135"/>
      <c r="M44" s="333"/>
      <c r="N44" s="333"/>
      <c r="O44" s="333"/>
      <c r="P44" s="135"/>
    </row>
  </sheetData>
  <phoneticPr fontId="0" type="noConversion"/>
  <printOptions horizontalCentered="1"/>
  <pageMargins left="0.39370078740157483" right="0.39370078740157483" top="0.39370078740157483" bottom="0.78740157480314965" header="0" footer="0.59055118110236227"/>
  <pageSetup scale="66" orientation="landscape" r:id="rId1"/>
  <headerFooter>
    <oddFooter>&amp;L&amp;"Calibri,Regular"&amp;D&amp;C&amp;"Calibri,Regular"Page &amp;P of &amp;N&amp;R&amp;"Calibri,Regular"&amp;F
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Normal="100" workbookViewId="0">
      <selection activeCell="I15" sqref="I15:K18"/>
    </sheetView>
  </sheetViews>
  <sheetFormatPr defaultColWidth="9.140625" defaultRowHeight="12.75" x14ac:dyDescent="0.2"/>
  <cols>
    <col min="1" max="1" width="7.140625" style="77" customWidth="1"/>
    <col min="2" max="2" width="21.140625" style="78" customWidth="1"/>
    <col min="3" max="3" width="19.140625" style="79" customWidth="1"/>
    <col min="4" max="4" width="10.28515625" style="79" bestFit="1" customWidth="1"/>
    <col min="5" max="5" width="9.28515625" style="79" customWidth="1"/>
    <col min="6" max="6" width="6.5703125" style="79" customWidth="1"/>
    <col min="7" max="7" width="10.140625" style="79" bestFit="1" customWidth="1"/>
    <col min="8" max="8" width="6.5703125" style="79" customWidth="1"/>
    <col min="9" max="9" width="10.140625" style="80" customWidth="1"/>
    <col min="10" max="10" width="13.140625" style="77" bestFit="1" customWidth="1"/>
    <col min="11" max="11" width="9.7109375" style="79" bestFit="1" customWidth="1"/>
    <col min="12" max="12" width="10.28515625" style="77" bestFit="1" customWidth="1"/>
    <col min="13" max="13" width="12.28515625" style="77" customWidth="1"/>
    <col min="14" max="14" width="11.42578125" style="77" customWidth="1"/>
    <col min="15" max="15" width="12.5703125" style="77" bestFit="1" customWidth="1"/>
    <col min="16" max="16" width="12.5703125" style="77" customWidth="1"/>
    <col min="17" max="17" width="10.5703125" style="79" customWidth="1"/>
    <col min="18" max="252" width="9.140625" style="77"/>
    <col min="253" max="253" width="15.28515625" style="77" customWidth="1"/>
    <col min="254" max="254" width="7" style="77" customWidth="1"/>
    <col min="255" max="255" width="9.140625" style="77"/>
    <col min="256" max="256" width="24" style="77" customWidth="1"/>
    <col min="257" max="257" width="19.140625" style="77" customWidth="1"/>
    <col min="258" max="259" width="13.140625" style="77" customWidth="1"/>
    <col min="260" max="260" width="9.140625" style="77"/>
    <col min="261" max="261" width="12.85546875" style="77" customWidth="1"/>
    <col min="262" max="262" width="9.140625" style="77"/>
    <col min="263" max="263" width="20" style="77" customWidth="1"/>
    <col min="264" max="264" width="13.85546875" style="77" bestFit="1" customWidth="1"/>
    <col min="265" max="265" width="13.140625" style="77" customWidth="1"/>
    <col min="266" max="266" width="11.7109375" style="77" customWidth="1"/>
    <col min="267" max="267" width="14.85546875" style="77" customWidth="1"/>
    <col min="268" max="268" width="11.42578125" style="77" customWidth="1"/>
    <col min="269" max="269" width="14.28515625" style="77" customWidth="1"/>
    <col min="270" max="270" width="13.28515625" style="77" customWidth="1"/>
    <col min="271" max="271" width="14.85546875" style="77" customWidth="1"/>
    <col min="272" max="272" width="16.5703125" style="77" customWidth="1"/>
    <col min="273" max="273" width="10.5703125" style="77" customWidth="1"/>
    <col min="274" max="508" width="9.140625" style="77"/>
    <col min="509" max="509" width="15.28515625" style="77" customWidth="1"/>
    <col min="510" max="510" width="7" style="77" customWidth="1"/>
    <col min="511" max="511" width="9.140625" style="77"/>
    <col min="512" max="512" width="24" style="77" customWidth="1"/>
    <col min="513" max="513" width="19.140625" style="77" customWidth="1"/>
    <col min="514" max="515" width="13.140625" style="77" customWidth="1"/>
    <col min="516" max="516" width="9.140625" style="77"/>
    <col min="517" max="517" width="12.85546875" style="77" customWidth="1"/>
    <col min="518" max="518" width="9.140625" style="77"/>
    <col min="519" max="519" width="20" style="77" customWidth="1"/>
    <col min="520" max="520" width="13.85546875" style="77" bestFit="1" customWidth="1"/>
    <col min="521" max="521" width="13.140625" style="77" customWidth="1"/>
    <col min="522" max="522" width="11.7109375" style="77" customWidth="1"/>
    <col min="523" max="523" width="14.85546875" style="77" customWidth="1"/>
    <col min="524" max="524" width="11.42578125" style="77" customWidth="1"/>
    <col min="525" max="525" width="14.28515625" style="77" customWidth="1"/>
    <col min="526" max="526" width="13.28515625" style="77" customWidth="1"/>
    <col min="527" max="527" width="14.85546875" style="77" customWidth="1"/>
    <col min="528" max="528" width="16.5703125" style="77" customWidth="1"/>
    <col min="529" max="529" width="10.5703125" style="77" customWidth="1"/>
    <col min="530" max="764" width="9.140625" style="77"/>
    <col min="765" max="765" width="15.28515625" style="77" customWidth="1"/>
    <col min="766" max="766" width="7" style="77" customWidth="1"/>
    <col min="767" max="767" width="9.140625" style="77"/>
    <col min="768" max="768" width="24" style="77" customWidth="1"/>
    <col min="769" max="769" width="19.140625" style="77" customWidth="1"/>
    <col min="770" max="771" width="13.140625" style="77" customWidth="1"/>
    <col min="772" max="772" width="9.140625" style="77"/>
    <col min="773" max="773" width="12.85546875" style="77" customWidth="1"/>
    <col min="774" max="774" width="9.140625" style="77"/>
    <col min="775" max="775" width="20" style="77" customWidth="1"/>
    <col min="776" max="776" width="13.85546875" style="77" bestFit="1" customWidth="1"/>
    <col min="777" max="777" width="13.140625" style="77" customWidth="1"/>
    <col min="778" max="778" width="11.7109375" style="77" customWidth="1"/>
    <col min="779" max="779" width="14.85546875" style="77" customWidth="1"/>
    <col min="780" max="780" width="11.42578125" style="77" customWidth="1"/>
    <col min="781" max="781" width="14.28515625" style="77" customWidth="1"/>
    <col min="782" max="782" width="13.28515625" style="77" customWidth="1"/>
    <col min="783" max="783" width="14.85546875" style="77" customWidth="1"/>
    <col min="784" max="784" width="16.5703125" style="77" customWidth="1"/>
    <col min="785" max="785" width="10.5703125" style="77" customWidth="1"/>
    <col min="786" max="1020" width="9.140625" style="77"/>
    <col min="1021" max="1021" width="15.28515625" style="77" customWidth="1"/>
    <col min="1022" max="1022" width="7" style="77" customWidth="1"/>
    <col min="1023" max="1023" width="9.140625" style="77"/>
    <col min="1024" max="1024" width="24" style="77" customWidth="1"/>
    <col min="1025" max="1025" width="19.140625" style="77" customWidth="1"/>
    <col min="1026" max="1027" width="13.140625" style="77" customWidth="1"/>
    <col min="1028" max="1028" width="9.140625" style="77"/>
    <col min="1029" max="1029" width="12.85546875" style="77" customWidth="1"/>
    <col min="1030" max="1030" width="9.140625" style="77"/>
    <col min="1031" max="1031" width="20" style="77" customWidth="1"/>
    <col min="1032" max="1032" width="13.85546875" style="77" bestFit="1" customWidth="1"/>
    <col min="1033" max="1033" width="13.140625" style="77" customWidth="1"/>
    <col min="1034" max="1034" width="11.7109375" style="77" customWidth="1"/>
    <col min="1035" max="1035" width="14.85546875" style="77" customWidth="1"/>
    <col min="1036" max="1036" width="11.42578125" style="77" customWidth="1"/>
    <col min="1037" max="1037" width="14.28515625" style="77" customWidth="1"/>
    <col min="1038" max="1038" width="13.28515625" style="77" customWidth="1"/>
    <col min="1039" max="1039" width="14.85546875" style="77" customWidth="1"/>
    <col min="1040" max="1040" width="16.5703125" style="77" customWidth="1"/>
    <col min="1041" max="1041" width="10.5703125" style="77" customWidth="1"/>
    <col min="1042" max="1276" width="9.140625" style="77"/>
    <col min="1277" max="1277" width="15.28515625" style="77" customWidth="1"/>
    <col min="1278" max="1278" width="7" style="77" customWidth="1"/>
    <col min="1279" max="1279" width="9.140625" style="77"/>
    <col min="1280" max="1280" width="24" style="77" customWidth="1"/>
    <col min="1281" max="1281" width="19.140625" style="77" customWidth="1"/>
    <col min="1282" max="1283" width="13.140625" style="77" customWidth="1"/>
    <col min="1284" max="1284" width="9.140625" style="77"/>
    <col min="1285" max="1285" width="12.85546875" style="77" customWidth="1"/>
    <col min="1286" max="1286" width="9.140625" style="77"/>
    <col min="1287" max="1287" width="20" style="77" customWidth="1"/>
    <col min="1288" max="1288" width="13.85546875" style="77" bestFit="1" customWidth="1"/>
    <col min="1289" max="1289" width="13.140625" style="77" customWidth="1"/>
    <col min="1290" max="1290" width="11.7109375" style="77" customWidth="1"/>
    <col min="1291" max="1291" width="14.85546875" style="77" customWidth="1"/>
    <col min="1292" max="1292" width="11.42578125" style="77" customWidth="1"/>
    <col min="1293" max="1293" width="14.28515625" style="77" customWidth="1"/>
    <col min="1294" max="1294" width="13.28515625" style="77" customWidth="1"/>
    <col min="1295" max="1295" width="14.85546875" style="77" customWidth="1"/>
    <col min="1296" max="1296" width="16.5703125" style="77" customWidth="1"/>
    <col min="1297" max="1297" width="10.5703125" style="77" customWidth="1"/>
    <col min="1298" max="1532" width="9.140625" style="77"/>
    <col min="1533" max="1533" width="15.28515625" style="77" customWidth="1"/>
    <col min="1534" max="1534" width="7" style="77" customWidth="1"/>
    <col min="1535" max="1535" width="9.140625" style="77"/>
    <col min="1536" max="1536" width="24" style="77" customWidth="1"/>
    <col min="1537" max="1537" width="19.140625" style="77" customWidth="1"/>
    <col min="1538" max="1539" width="13.140625" style="77" customWidth="1"/>
    <col min="1540" max="1540" width="9.140625" style="77"/>
    <col min="1541" max="1541" width="12.85546875" style="77" customWidth="1"/>
    <col min="1542" max="1542" width="9.140625" style="77"/>
    <col min="1543" max="1543" width="20" style="77" customWidth="1"/>
    <col min="1544" max="1544" width="13.85546875" style="77" bestFit="1" customWidth="1"/>
    <col min="1545" max="1545" width="13.140625" style="77" customWidth="1"/>
    <col min="1546" max="1546" width="11.7109375" style="77" customWidth="1"/>
    <col min="1547" max="1547" width="14.85546875" style="77" customWidth="1"/>
    <col min="1548" max="1548" width="11.42578125" style="77" customWidth="1"/>
    <col min="1549" max="1549" width="14.28515625" style="77" customWidth="1"/>
    <col min="1550" max="1550" width="13.28515625" style="77" customWidth="1"/>
    <col min="1551" max="1551" width="14.85546875" style="77" customWidth="1"/>
    <col min="1552" max="1552" width="16.5703125" style="77" customWidth="1"/>
    <col min="1553" max="1553" width="10.5703125" style="77" customWidth="1"/>
    <col min="1554" max="1788" width="9.140625" style="77"/>
    <col min="1789" max="1789" width="15.28515625" style="77" customWidth="1"/>
    <col min="1790" max="1790" width="7" style="77" customWidth="1"/>
    <col min="1791" max="1791" width="9.140625" style="77"/>
    <col min="1792" max="1792" width="24" style="77" customWidth="1"/>
    <col min="1793" max="1793" width="19.140625" style="77" customWidth="1"/>
    <col min="1794" max="1795" width="13.140625" style="77" customWidth="1"/>
    <col min="1796" max="1796" width="9.140625" style="77"/>
    <col min="1797" max="1797" width="12.85546875" style="77" customWidth="1"/>
    <col min="1798" max="1798" width="9.140625" style="77"/>
    <col min="1799" max="1799" width="20" style="77" customWidth="1"/>
    <col min="1800" max="1800" width="13.85546875" style="77" bestFit="1" customWidth="1"/>
    <col min="1801" max="1801" width="13.140625" style="77" customWidth="1"/>
    <col min="1802" max="1802" width="11.7109375" style="77" customWidth="1"/>
    <col min="1803" max="1803" width="14.85546875" style="77" customWidth="1"/>
    <col min="1804" max="1804" width="11.42578125" style="77" customWidth="1"/>
    <col min="1805" max="1805" width="14.28515625" style="77" customWidth="1"/>
    <col min="1806" max="1806" width="13.28515625" style="77" customWidth="1"/>
    <col min="1807" max="1807" width="14.85546875" style="77" customWidth="1"/>
    <col min="1808" max="1808" width="16.5703125" style="77" customWidth="1"/>
    <col min="1809" max="1809" width="10.5703125" style="77" customWidth="1"/>
    <col min="1810" max="2044" width="9.140625" style="77"/>
    <col min="2045" max="2045" width="15.28515625" style="77" customWidth="1"/>
    <col min="2046" max="2046" width="7" style="77" customWidth="1"/>
    <col min="2047" max="2047" width="9.140625" style="77"/>
    <col min="2048" max="2048" width="24" style="77" customWidth="1"/>
    <col min="2049" max="2049" width="19.140625" style="77" customWidth="1"/>
    <col min="2050" max="2051" width="13.140625" style="77" customWidth="1"/>
    <col min="2052" max="2052" width="9.140625" style="77"/>
    <col min="2053" max="2053" width="12.85546875" style="77" customWidth="1"/>
    <col min="2054" max="2054" width="9.140625" style="77"/>
    <col min="2055" max="2055" width="20" style="77" customWidth="1"/>
    <col min="2056" max="2056" width="13.85546875" style="77" bestFit="1" customWidth="1"/>
    <col min="2057" max="2057" width="13.140625" style="77" customWidth="1"/>
    <col min="2058" max="2058" width="11.7109375" style="77" customWidth="1"/>
    <col min="2059" max="2059" width="14.85546875" style="77" customWidth="1"/>
    <col min="2060" max="2060" width="11.42578125" style="77" customWidth="1"/>
    <col min="2061" max="2061" width="14.28515625" style="77" customWidth="1"/>
    <col min="2062" max="2062" width="13.28515625" style="77" customWidth="1"/>
    <col min="2063" max="2063" width="14.85546875" style="77" customWidth="1"/>
    <col min="2064" max="2064" width="16.5703125" style="77" customWidth="1"/>
    <col min="2065" max="2065" width="10.5703125" style="77" customWidth="1"/>
    <col min="2066" max="2300" width="9.140625" style="77"/>
    <col min="2301" max="2301" width="15.28515625" style="77" customWidth="1"/>
    <col min="2302" max="2302" width="7" style="77" customWidth="1"/>
    <col min="2303" max="2303" width="9.140625" style="77"/>
    <col min="2304" max="2304" width="24" style="77" customWidth="1"/>
    <col min="2305" max="2305" width="19.140625" style="77" customWidth="1"/>
    <col min="2306" max="2307" width="13.140625" style="77" customWidth="1"/>
    <col min="2308" max="2308" width="9.140625" style="77"/>
    <col min="2309" max="2309" width="12.85546875" style="77" customWidth="1"/>
    <col min="2310" max="2310" width="9.140625" style="77"/>
    <col min="2311" max="2311" width="20" style="77" customWidth="1"/>
    <col min="2312" max="2312" width="13.85546875" style="77" bestFit="1" customWidth="1"/>
    <col min="2313" max="2313" width="13.140625" style="77" customWidth="1"/>
    <col min="2314" max="2314" width="11.7109375" style="77" customWidth="1"/>
    <col min="2315" max="2315" width="14.85546875" style="77" customWidth="1"/>
    <col min="2316" max="2316" width="11.42578125" style="77" customWidth="1"/>
    <col min="2317" max="2317" width="14.28515625" style="77" customWidth="1"/>
    <col min="2318" max="2318" width="13.28515625" style="77" customWidth="1"/>
    <col min="2319" max="2319" width="14.85546875" style="77" customWidth="1"/>
    <col min="2320" max="2320" width="16.5703125" style="77" customWidth="1"/>
    <col min="2321" max="2321" width="10.5703125" style="77" customWidth="1"/>
    <col min="2322" max="2556" width="9.140625" style="77"/>
    <col min="2557" max="2557" width="15.28515625" style="77" customWidth="1"/>
    <col min="2558" max="2558" width="7" style="77" customWidth="1"/>
    <col min="2559" max="2559" width="9.140625" style="77"/>
    <col min="2560" max="2560" width="24" style="77" customWidth="1"/>
    <col min="2561" max="2561" width="19.140625" style="77" customWidth="1"/>
    <col min="2562" max="2563" width="13.140625" style="77" customWidth="1"/>
    <col min="2564" max="2564" width="9.140625" style="77"/>
    <col min="2565" max="2565" width="12.85546875" style="77" customWidth="1"/>
    <col min="2566" max="2566" width="9.140625" style="77"/>
    <col min="2567" max="2567" width="20" style="77" customWidth="1"/>
    <col min="2568" max="2568" width="13.85546875" style="77" bestFit="1" customWidth="1"/>
    <col min="2569" max="2569" width="13.140625" style="77" customWidth="1"/>
    <col min="2570" max="2570" width="11.7109375" style="77" customWidth="1"/>
    <col min="2571" max="2571" width="14.85546875" style="77" customWidth="1"/>
    <col min="2572" max="2572" width="11.42578125" style="77" customWidth="1"/>
    <col min="2573" max="2573" width="14.28515625" style="77" customWidth="1"/>
    <col min="2574" max="2574" width="13.28515625" style="77" customWidth="1"/>
    <col min="2575" max="2575" width="14.85546875" style="77" customWidth="1"/>
    <col min="2576" max="2576" width="16.5703125" style="77" customWidth="1"/>
    <col min="2577" max="2577" width="10.5703125" style="77" customWidth="1"/>
    <col min="2578" max="2812" width="9.140625" style="77"/>
    <col min="2813" max="2813" width="15.28515625" style="77" customWidth="1"/>
    <col min="2814" max="2814" width="7" style="77" customWidth="1"/>
    <col min="2815" max="2815" width="9.140625" style="77"/>
    <col min="2816" max="2816" width="24" style="77" customWidth="1"/>
    <col min="2817" max="2817" width="19.140625" style="77" customWidth="1"/>
    <col min="2818" max="2819" width="13.140625" style="77" customWidth="1"/>
    <col min="2820" max="2820" width="9.140625" style="77"/>
    <col min="2821" max="2821" width="12.85546875" style="77" customWidth="1"/>
    <col min="2822" max="2822" width="9.140625" style="77"/>
    <col min="2823" max="2823" width="20" style="77" customWidth="1"/>
    <col min="2824" max="2824" width="13.85546875" style="77" bestFit="1" customWidth="1"/>
    <col min="2825" max="2825" width="13.140625" style="77" customWidth="1"/>
    <col min="2826" max="2826" width="11.7109375" style="77" customWidth="1"/>
    <col min="2827" max="2827" width="14.85546875" style="77" customWidth="1"/>
    <col min="2828" max="2828" width="11.42578125" style="77" customWidth="1"/>
    <col min="2829" max="2829" width="14.28515625" style="77" customWidth="1"/>
    <col min="2830" max="2830" width="13.28515625" style="77" customWidth="1"/>
    <col min="2831" max="2831" width="14.85546875" style="77" customWidth="1"/>
    <col min="2832" max="2832" width="16.5703125" style="77" customWidth="1"/>
    <col min="2833" max="2833" width="10.5703125" style="77" customWidth="1"/>
    <col min="2834" max="3068" width="9.140625" style="77"/>
    <col min="3069" max="3069" width="15.28515625" style="77" customWidth="1"/>
    <col min="3070" max="3070" width="7" style="77" customWidth="1"/>
    <col min="3071" max="3071" width="9.140625" style="77"/>
    <col min="3072" max="3072" width="24" style="77" customWidth="1"/>
    <col min="3073" max="3073" width="19.140625" style="77" customWidth="1"/>
    <col min="3074" max="3075" width="13.140625" style="77" customWidth="1"/>
    <col min="3076" max="3076" width="9.140625" style="77"/>
    <col min="3077" max="3077" width="12.85546875" style="77" customWidth="1"/>
    <col min="3078" max="3078" width="9.140625" style="77"/>
    <col min="3079" max="3079" width="20" style="77" customWidth="1"/>
    <col min="3080" max="3080" width="13.85546875" style="77" bestFit="1" customWidth="1"/>
    <col min="3081" max="3081" width="13.140625" style="77" customWidth="1"/>
    <col min="3082" max="3082" width="11.7109375" style="77" customWidth="1"/>
    <col min="3083" max="3083" width="14.85546875" style="77" customWidth="1"/>
    <col min="3084" max="3084" width="11.42578125" style="77" customWidth="1"/>
    <col min="3085" max="3085" width="14.28515625" style="77" customWidth="1"/>
    <col min="3086" max="3086" width="13.28515625" style="77" customWidth="1"/>
    <col min="3087" max="3087" width="14.85546875" style="77" customWidth="1"/>
    <col min="3088" max="3088" width="16.5703125" style="77" customWidth="1"/>
    <col min="3089" max="3089" width="10.5703125" style="77" customWidth="1"/>
    <col min="3090" max="3324" width="9.140625" style="77"/>
    <col min="3325" max="3325" width="15.28515625" style="77" customWidth="1"/>
    <col min="3326" max="3326" width="7" style="77" customWidth="1"/>
    <col min="3327" max="3327" width="9.140625" style="77"/>
    <col min="3328" max="3328" width="24" style="77" customWidth="1"/>
    <col min="3329" max="3329" width="19.140625" style="77" customWidth="1"/>
    <col min="3330" max="3331" width="13.140625" style="77" customWidth="1"/>
    <col min="3332" max="3332" width="9.140625" style="77"/>
    <col min="3333" max="3333" width="12.85546875" style="77" customWidth="1"/>
    <col min="3334" max="3334" width="9.140625" style="77"/>
    <col min="3335" max="3335" width="20" style="77" customWidth="1"/>
    <col min="3336" max="3336" width="13.85546875" style="77" bestFit="1" customWidth="1"/>
    <col min="3337" max="3337" width="13.140625" style="77" customWidth="1"/>
    <col min="3338" max="3338" width="11.7109375" style="77" customWidth="1"/>
    <col min="3339" max="3339" width="14.85546875" style="77" customWidth="1"/>
    <col min="3340" max="3340" width="11.42578125" style="77" customWidth="1"/>
    <col min="3341" max="3341" width="14.28515625" style="77" customWidth="1"/>
    <col min="3342" max="3342" width="13.28515625" style="77" customWidth="1"/>
    <col min="3343" max="3343" width="14.85546875" style="77" customWidth="1"/>
    <col min="3344" max="3344" width="16.5703125" style="77" customWidth="1"/>
    <col min="3345" max="3345" width="10.5703125" style="77" customWidth="1"/>
    <col min="3346" max="3580" width="9.140625" style="77"/>
    <col min="3581" max="3581" width="15.28515625" style="77" customWidth="1"/>
    <col min="3582" max="3582" width="7" style="77" customWidth="1"/>
    <col min="3583" max="3583" width="9.140625" style="77"/>
    <col min="3584" max="3584" width="24" style="77" customWidth="1"/>
    <col min="3585" max="3585" width="19.140625" style="77" customWidth="1"/>
    <col min="3586" max="3587" width="13.140625" style="77" customWidth="1"/>
    <col min="3588" max="3588" width="9.140625" style="77"/>
    <col min="3589" max="3589" width="12.85546875" style="77" customWidth="1"/>
    <col min="3590" max="3590" width="9.140625" style="77"/>
    <col min="3591" max="3591" width="20" style="77" customWidth="1"/>
    <col min="3592" max="3592" width="13.85546875" style="77" bestFit="1" customWidth="1"/>
    <col min="3593" max="3593" width="13.140625" style="77" customWidth="1"/>
    <col min="3594" max="3594" width="11.7109375" style="77" customWidth="1"/>
    <col min="3595" max="3595" width="14.85546875" style="77" customWidth="1"/>
    <col min="3596" max="3596" width="11.42578125" style="77" customWidth="1"/>
    <col min="3597" max="3597" width="14.28515625" style="77" customWidth="1"/>
    <col min="3598" max="3598" width="13.28515625" style="77" customWidth="1"/>
    <col min="3599" max="3599" width="14.85546875" style="77" customWidth="1"/>
    <col min="3600" max="3600" width="16.5703125" style="77" customWidth="1"/>
    <col min="3601" max="3601" width="10.5703125" style="77" customWidth="1"/>
    <col min="3602" max="3836" width="9.140625" style="77"/>
    <col min="3837" max="3837" width="15.28515625" style="77" customWidth="1"/>
    <col min="3838" max="3838" width="7" style="77" customWidth="1"/>
    <col min="3839" max="3839" width="9.140625" style="77"/>
    <col min="3840" max="3840" width="24" style="77" customWidth="1"/>
    <col min="3841" max="3841" width="19.140625" style="77" customWidth="1"/>
    <col min="3842" max="3843" width="13.140625" style="77" customWidth="1"/>
    <col min="3844" max="3844" width="9.140625" style="77"/>
    <col min="3845" max="3845" width="12.85546875" style="77" customWidth="1"/>
    <col min="3846" max="3846" width="9.140625" style="77"/>
    <col min="3847" max="3847" width="20" style="77" customWidth="1"/>
    <col min="3848" max="3848" width="13.85546875" style="77" bestFit="1" customWidth="1"/>
    <col min="3849" max="3849" width="13.140625" style="77" customWidth="1"/>
    <col min="3850" max="3850" width="11.7109375" style="77" customWidth="1"/>
    <col min="3851" max="3851" width="14.85546875" style="77" customWidth="1"/>
    <col min="3852" max="3852" width="11.42578125" style="77" customWidth="1"/>
    <col min="3853" max="3853" width="14.28515625" style="77" customWidth="1"/>
    <col min="3854" max="3854" width="13.28515625" style="77" customWidth="1"/>
    <col min="3855" max="3855" width="14.85546875" style="77" customWidth="1"/>
    <col min="3856" max="3856" width="16.5703125" style="77" customWidth="1"/>
    <col min="3857" max="3857" width="10.5703125" style="77" customWidth="1"/>
    <col min="3858" max="4092" width="9.140625" style="77"/>
    <col min="4093" max="4093" width="15.28515625" style="77" customWidth="1"/>
    <col min="4094" max="4094" width="7" style="77" customWidth="1"/>
    <col min="4095" max="4095" width="9.140625" style="77"/>
    <col min="4096" max="4096" width="24" style="77" customWidth="1"/>
    <col min="4097" max="4097" width="19.140625" style="77" customWidth="1"/>
    <col min="4098" max="4099" width="13.140625" style="77" customWidth="1"/>
    <col min="4100" max="4100" width="9.140625" style="77"/>
    <col min="4101" max="4101" width="12.85546875" style="77" customWidth="1"/>
    <col min="4102" max="4102" width="9.140625" style="77"/>
    <col min="4103" max="4103" width="20" style="77" customWidth="1"/>
    <col min="4104" max="4104" width="13.85546875" style="77" bestFit="1" customWidth="1"/>
    <col min="4105" max="4105" width="13.140625" style="77" customWidth="1"/>
    <col min="4106" max="4106" width="11.7109375" style="77" customWidth="1"/>
    <col min="4107" max="4107" width="14.85546875" style="77" customWidth="1"/>
    <col min="4108" max="4108" width="11.42578125" style="77" customWidth="1"/>
    <col min="4109" max="4109" width="14.28515625" style="77" customWidth="1"/>
    <col min="4110" max="4110" width="13.28515625" style="77" customWidth="1"/>
    <col min="4111" max="4111" width="14.85546875" style="77" customWidth="1"/>
    <col min="4112" max="4112" width="16.5703125" style="77" customWidth="1"/>
    <col min="4113" max="4113" width="10.5703125" style="77" customWidth="1"/>
    <col min="4114" max="4348" width="9.140625" style="77"/>
    <col min="4349" max="4349" width="15.28515625" style="77" customWidth="1"/>
    <col min="4350" max="4350" width="7" style="77" customWidth="1"/>
    <col min="4351" max="4351" width="9.140625" style="77"/>
    <col min="4352" max="4352" width="24" style="77" customWidth="1"/>
    <col min="4353" max="4353" width="19.140625" style="77" customWidth="1"/>
    <col min="4354" max="4355" width="13.140625" style="77" customWidth="1"/>
    <col min="4356" max="4356" width="9.140625" style="77"/>
    <col min="4357" max="4357" width="12.85546875" style="77" customWidth="1"/>
    <col min="4358" max="4358" width="9.140625" style="77"/>
    <col min="4359" max="4359" width="20" style="77" customWidth="1"/>
    <col min="4360" max="4360" width="13.85546875" style="77" bestFit="1" customWidth="1"/>
    <col min="4361" max="4361" width="13.140625" style="77" customWidth="1"/>
    <col min="4362" max="4362" width="11.7109375" style="77" customWidth="1"/>
    <col min="4363" max="4363" width="14.85546875" style="77" customWidth="1"/>
    <col min="4364" max="4364" width="11.42578125" style="77" customWidth="1"/>
    <col min="4365" max="4365" width="14.28515625" style="77" customWidth="1"/>
    <col min="4366" max="4366" width="13.28515625" style="77" customWidth="1"/>
    <col min="4367" max="4367" width="14.85546875" style="77" customWidth="1"/>
    <col min="4368" max="4368" width="16.5703125" style="77" customWidth="1"/>
    <col min="4369" max="4369" width="10.5703125" style="77" customWidth="1"/>
    <col min="4370" max="4604" width="9.140625" style="77"/>
    <col min="4605" max="4605" width="15.28515625" style="77" customWidth="1"/>
    <col min="4606" max="4606" width="7" style="77" customWidth="1"/>
    <col min="4607" max="4607" width="9.140625" style="77"/>
    <col min="4608" max="4608" width="24" style="77" customWidth="1"/>
    <col min="4609" max="4609" width="19.140625" style="77" customWidth="1"/>
    <col min="4610" max="4611" width="13.140625" style="77" customWidth="1"/>
    <col min="4612" max="4612" width="9.140625" style="77"/>
    <col min="4613" max="4613" width="12.85546875" style="77" customWidth="1"/>
    <col min="4614" max="4614" width="9.140625" style="77"/>
    <col min="4615" max="4615" width="20" style="77" customWidth="1"/>
    <col min="4616" max="4616" width="13.85546875" style="77" bestFit="1" customWidth="1"/>
    <col min="4617" max="4617" width="13.140625" style="77" customWidth="1"/>
    <col min="4618" max="4618" width="11.7109375" style="77" customWidth="1"/>
    <col min="4619" max="4619" width="14.85546875" style="77" customWidth="1"/>
    <col min="4620" max="4620" width="11.42578125" style="77" customWidth="1"/>
    <col min="4621" max="4621" width="14.28515625" style="77" customWidth="1"/>
    <col min="4622" max="4622" width="13.28515625" style="77" customWidth="1"/>
    <col min="4623" max="4623" width="14.85546875" style="77" customWidth="1"/>
    <col min="4624" max="4624" width="16.5703125" style="77" customWidth="1"/>
    <col min="4625" max="4625" width="10.5703125" style="77" customWidth="1"/>
    <col min="4626" max="4860" width="9.140625" style="77"/>
    <col min="4861" max="4861" width="15.28515625" style="77" customWidth="1"/>
    <col min="4862" max="4862" width="7" style="77" customWidth="1"/>
    <col min="4863" max="4863" width="9.140625" style="77"/>
    <col min="4864" max="4864" width="24" style="77" customWidth="1"/>
    <col min="4865" max="4865" width="19.140625" style="77" customWidth="1"/>
    <col min="4866" max="4867" width="13.140625" style="77" customWidth="1"/>
    <col min="4868" max="4868" width="9.140625" style="77"/>
    <col min="4869" max="4869" width="12.85546875" style="77" customWidth="1"/>
    <col min="4870" max="4870" width="9.140625" style="77"/>
    <col min="4871" max="4871" width="20" style="77" customWidth="1"/>
    <col min="4872" max="4872" width="13.85546875" style="77" bestFit="1" customWidth="1"/>
    <col min="4873" max="4873" width="13.140625" style="77" customWidth="1"/>
    <col min="4874" max="4874" width="11.7109375" style="77" customWidth="1"/>
    <col min="4875" max="4875" width="14.85546875" style="77" customWidth="1"/>
    <col min="4876" max="4876" width="11.42578125" style="77" customWidth="1"/>
    <col min="4877" max="4877" width="14.28515625" style="77" customWidth="1"/>
    <col min="4878" max="4878" width="13.28515625" style="77" customWidth="1"/>
    <col min="4879" max="4879" width="14.85546875" style="77" customWidth="1"/>
    <col min="4880" max="4880" width="16.5703125" style="77" customWidth="1"/>
    <col min="4881" max="4881" width="10.5703125" style="77" customWidth="1"/>
    <col min="4882" max="5116" width="9.140625" style="77"/>
    <col min="5117" max="5117" width="15.28515625" style="77" customWidth="1"/>
    <col min="5118" max="5118" width="7" style="77" customWidth="1"/>
    <col min="5119" max="5119" width="9.140625" style="77"/>
    <col min="5120" max="5120" width="24" style="77" customWidth="1"/>
    <col min="5121" max="5121" width="19.140625" style="77" customWidth="1"/>
    <col min="5122" max="5123" width="13.140625" style="77" customWidth="1"/>
    <col min="5124" max="5124" width="9.140625" style="77"/>
    <col min="5125" max="5125" width="12.85546875" style="77" customWidth="1"/>
    <col min="5126" max="5126" width="9.140625" style="77"/>
    <col min="5127" max="5127" width="20" style="77" customWidth="1"/>
    <col min="5128" max="5128" width="13.85546875" style="77" bestFit="1" customWidth="1"/>
    <col min="5129" max="5129" width="13.140625" style="77" customWidth="1"/>
    <col min="5130" max="5130" width="11.7109375" style="77" customWidth="1"/>
    <col min="5131" max="5131" width="14.85546875" style="77" customWidth="1"/>
    <col min="5132" max="5132" width="11.42578125" style="77" customWidth="1"/>
    <col min="5133" max="5133" width="14.28515625" style="77" customWidth="1"/>
    <col min="5134" max="5134" width="13.28515625" style="77" customWidth="1"/>
    <col min="5135" max="5135" width="14.85546875" style="77" customWidth="1"/>
    <col min="5136" max="5136" width="16.5703125" style="77" customWidth="1"/>
    <col min="5137" max="5137" width="10.5703125" style="77" customWidth="1"/>
    <col min="5138" max="5372" width="9.140625" style="77"/>
    <col min="5373" max="5373" width="15.28515625" style="77" customWidth="1"/>
    <col min="5374" max="5374" width="7" style="77" customWidth="1"/>
    <col min="5375" max="5375" width="9.140625" style="77"/>
    <col min="5376" max="5376" width="24" style="77" customWidth="1"/>
    <col min="5377" max="5377" width="19.140625" style="77" customWidth="1"/>
    <col min="5378" max="5379" width="13.140625" style="77" customWidth="1"/>
    <col min="5380" max="5380" width="9.140625" style="77"/>
    <col min="5381" max="5381" width="12.85546875" style="77" customWidth="1"/>
    <col min="5382" max="5382" width="9.140625" style="77"/>
    <col min="5383" max="5383" width="20" style="77" customWidth="1"/>
    <col min="5384" max="5384" width="13.85546875" style="77" bestFit="1" customWidth="1"/>
    <col min="5385" max="5385" width="13.140625" style="77" customWidth="1"/>
    <col min="5386" max="5386" width="11.7109375" style="77" customWidth="1"/>
    <col min="5387" max="5387" width="14.85546875" style="77" customWidth="1"/>
    <col min="5388" max="5388" width="11.42578125" style="77" customWidth="1"/>
    <col min="5389" max="5389" width="14.28515625" style="77" customWidth="1"/>
    <col min="5390" max="5390" width="13.28515625" style="77" customWidth="1"/>
    <col min="5391" max="5391" width="14.85546875" style="77" customWidth="1"/>
    <col min="5392" max="5392" width="16.5703125" style="77" customWidth="1"/>
    <col min="5393" max="5393" width="10.5703125" style="77" customWidth="1"/>
    <col min="5394" max="5628" width="9.140625" style="77"/>
    <col min="5629" max="5629" width="15.28515625" style="77" customWidth="1"/>
    <col min="5630" max="5630" width="7" style="77" customWidth="1"/>
    <col min="5631" max="5631" width="9.140625" style="77"/>
    <col min="5632" max="5632" width="24" style="77" customWidth="1"/>
    <col min="5633" max="5633" width="19.140625" style="77" customWidth="1"/>
    <col min="5634" max="5635" width="13.140625" style="77" customWidth="1"/>
    <col min="5636" max="5636" width="9.140625" style="77"/>
    <col min="5637" max="5637" width="12.85546875" style="77" customWidth="1"/>
    <col min="5638" max="5638" width="9.140625" style="77"/>
    <col min="5639" max="5639" width="20" style="77" customWidth="1"/>
    <col min="5640" max="5640" width="13.85546875" style="77" bestFit="1" customWidth="1"/>
    <col min="5641" max="5641" width="13.140625" style="77" customWidth="1"/>
    <col min="5642" max="5642" width="11.7109375" style="77" customWidth="1"/>
    <col min="5643" max="5643" width="14.85546875" style="77" customWidth="1"/>
    <col min="5644" max="5644" width="11.42578125" style="77" customWidth="1"/>
    <col min="5645" max="5645" width="14.28515625" style="77" customWidth="1"/>
    <col min="5646" max="5646" width="13.28515625" style="77" customWidth="1"/>
    <col min="5647" max="5647" width="14.85546875" style="77" customWidth="1"/>
    <col min="5648" max="5648" width="16.5703125" style="77" customWidth="1"/>
    <col min="5649" max="5649" width="10.5703125" style="77" customWidth="1"/>
    <col min="5650" max="5884" width="9.140625" style="77"/>
    <col min="5885" max="5885" width="15.28515625" style="77" customWidth="1"/>
    <col min="5886" max="5886" width="7" style="77" customWidth="1"/>
    <col min="5887" max="5887" width="9.140625" style="77"/>
    <col min="5888" max="5888" width="24" style="77" customWidth="1"/>
    <col min="5889" max="5889" width="19.140625" style="77" customWidth="1"/>
    <col min="5890" max="5891" width="13.140625" style="77" customWidth="1"/>
    <col min="5892" max="5892" width="9.140625" style="77"/>
    <col min="5893" max="5893" width="12.85546875" style="77" customWidth="1"/>
    <col min="5894" max="5894" width="9.140625" style="77"/>
    <col min="5895" max="5895" width="20" style="77" customWidth="1"/>
    <col min="5896" max="5896" width="13.85546875" style="77" bestFit="1" customWidth="1"/>
    <col min="5897" max="5897" width="13.140625" style="77" customWidth="1"/>
    <col min="5898" max="5898" width="11.7109375" style="77" customWidth="1"/>
    <col min="5899" max="5899" width="14.85546875" style="77" customWidth="1"/>
    <col min="5900" max="5900" width="11.42578125" style="77" customWidth="1"/>
    <col min="5901" max="5901" width="14.28515625" style="77" customWidth="1"/>
    <col min="5902" max="5902" width="13.28515625" style="77" customWidth="1"/>
    <col min="5903" max="5903" width="14.85546875" style="77" customWidth="1"/>
    <col min="5904" max="5904" width="16.5703125" style="77" customWidth="1"/>
    <col min="5905" max="5905" width="10.5703125" style="77" customWidth="1"/>
    <col min="5906" max="6140" width="9.140625" style="77"/>
    <col min="6141" max="6141" width="15.28515625" style="77" customWidth="1"/>
    <col min="6142" max="6142" width="7" style="77" customWidth="1"/>
    <col min="6143" max="6143" width="9.140625" style="77"/>
    <col min="6144" max="6144" width="24" style="77" customWidth="1"/>
    <col min="6145" max="6145" width="19.140625" style="77" customWidth="1"/>
    <col min="6146" max="6147" width="13.140625" style="77" customWidth="1"/>
    <col min="6148" max="6148" width="9.140625" style="77"/>
    <col min="6149" max="6149" width="12.85546875" style="77" customWidth="1"/>
    <col min="6150" max="6150" width="9.140625" style="77"/>
    <col min="6151" max="6151" width="20" style="77" customWidth="1"/>
    <col min="6152" max="6152" width="13.85546875" style="77" bestFit="1" customWidth="1"/>
    <col min="6153" max="6153" width="13.140625" style="77" customWidth="1"/>
    <col min="6154" max="6154" width="11.7109375" style="77" customWidth="1"/>
    <col min="6155" max="6155" width="14.85546875" style="77" customWidth="1"/>
    <col min="6156" max="6156" width="11.42578125" style="77" customWidth="1"/>
    <col min="6157" max="6157" width="14.28515625" style="77" customWidth="1"/>
    <col min="6158" max="6158" width="13.28515625" style="77" customWidth="1"/>
    <col min="6159" max="6159" width="14.85546875" style="77" customWidth="1"/>
    <col min="6160" max="6160" width="16.5703125" style="77" customWidth="1"/>
    <col min="6161" max="6161" width="10.5703125" style="77" customWidth="1"/>
    <col min="6162" max="6396" width="9.140625" style="77"/>
    <col min="6397" max="6397" width="15.28515625" style="77" customWidth="1"/>
    <col min="6398" max="6398" width="7" style="77" customWidth="1"/>
    <col min="6399" max="6399" width="9.140625" style="77"/>
    <col min="6400" max="6400" width="24" style="77" customWidth="1"/>
    <col min="6401" max="6401" width="19.140625" style="77" customWidth="1"/>
    <col min="6402" max="6403" width="13.140625" style="77" customWidth="1"/>
    <col min="6404" max="6404" width="9.140625" style="77"/>
    <col min="6405" max="6405" width="12.85546875" style="77" customWidth="1"/>
    <col min="6406" max="6406" width="9.140625" style="77"/>
    <col min="6407" max="6407" width="20" style="77" customWidth="1"/>
    <col min="6408" max="6408" width="13.85546875" style="77" bestFit="1" customWidth="1"/>
    <col min="6409" max="6409" width="13.140625" style="77" customWidth="1"/>
    <col min="6410" max="6410" width="11.7109375" style="77" customWidth="1"/>
    <col min="6411" max="6411" width="14.85546875" style="77" customWidth="1"/>
    <col min="6412" max="6412" width="11.42578125" style="77" customWidth="1"/>
    <col min="6413" max="6413" width="14.28515625" style="77" customWidth="1"/>
    <col min="6414" max="6414" width="13.28515625" style="77" customWidth="1"/>
    <col min="6415" max="6415" width="14.85546875" style="77" customWidth="1"/>
    <col min="6416" max="6416" width="16.5703125" style="77" customWidth="1"/>
    <col min="6417" max="6417" width="10.5703125" style="77" customWidth="1"/>
    <col min="6418" max="6652" width="9.140625" style="77"/>
    <col min="6653" max="6653" width="15.28515625" style="77" customWidth="1"/>
    <col min="6654" max="6654" width="7" style="77" customWidth="1"/>
    <col min="6655" max="6655" width="9.140625" style="77"/>
    <col min="6656" max="6656" width="24" style="77" customWidth="1"/>
    <col min="6657" max="6657" width="19.140625" style="77" customWidth="1"/>
    <col min="6658" max="6659" width="13.140625" style="77" customWidth="1"/>
    <col min="6660" max="6660" width="9.140625" style="77"/>
    <col min="6661" max="6661" width="12.85546875" style="77" customWidth="1"/>
    <col min="6662" max="6662" width="9.140625" style="77"/>
    <col min="6663" max="6663" width="20" style="77" customWidth="1"/>
    <col min="6664" max="6664" width="13.85546875" style="77" bestFit="1" customWidth="1"/>
    <col min="6665" max="6665" width="13.140625" style="77" customWidth="1"/>
    <col min="6666" max="6666" width="11.7109375" style="77" customWidth="1"/>
    <col min="6667" max="6667" width="14.85546875" style="77" customWidth="1"/>
    <col min="6668" max="6668" width="11.42578125" style="77" customWidth="1"/>
    <col min="6669" max="6669" width="14.28515625" style="77" customWidth="1"/>
    <col min="6670" max="6670" width="13.28515625" style="77" customWidth="1"/>
    <col min="6671" max="6671" width="14.85546875" style="77" customWidth="1"/>
    <col min="6672" max="6672" width="16.5703125" style="77" customWidth="1"/>
    <col min="6673" max="6673" width="10.5703125" style="77" customWidth="1"/>
    <col min="6674" max="6908" width="9.140625" style="77"/>
    <col min="6909" max="6909" width="15.28515625" style="77" customWidth="1"/>
    <col min="6910" max="6910" width="7" style="77" customWidth="1"/>
    <col min="6911" max="6911" width="9.140625" style="77"/>
    <col min="6912" max="6912" width="24" style="77" customWidth="1"/>
    <col min="6913" max="6913" width="19.140625" style="77" customWidth="1"/>
    <col min="6914" max="6915" width="13.140625" style="77" customWidth="1"/>
    <col min="6916" max="6916" width="9.140625" style="77"/>
    <col min="6917" max="6917" width="12.85546875" style="77" customWidth="1"/>
    <col min="6918" max="6918" width="9.140625" style="77"/>
    <col min="6919" max="6919" width="20" style="77" customWidth="1"/>
    <col min="6920" max="6920" width="13.85546875" style="77" bestFit="1" customWidth="1"/>
    <col min="6921" max="6921" width="13.140625" style="77" customWidth="1"/>
    <col min="6922" max="6922" width="11.7109375" style="77" customWidth="1"/>
    <col min="6923" max="6923" width="14.85546875" style="77" customWidth="1"/>
    <col min="6924" max="6924" width="11.42578125" style="77" customWidth="1"/>
    <col min="6925" max="6925" width="14.28515625" style="77" customWidth="1"/>
    <col min="6926" max="6926" width="13.28515625" style="77" customWidth="1"/>
    <col min="6927" max="6927" width="14.85546875" style="77" customWidth="1"/>
    <col min="6928" max="6928" width="16.5703125" style="77" customWidth="1"/>
    <col min="6929" max="6929" width="10.5703125" style="77" customWidth="1"/>
    <col min="6930" max="7164" width="9.140625" style="77"/>
    <col min="7165" max="7165" width="15.28515625" style="77" customWidth="1"/>
    <col min="7166" max="7166" width="7" style="77" customWidth="1"/>
    <col min="7167" max="7167" width="9.140625" style="77"/>
    <col min="7168" max="7168" width="24" style="77" customWidth="1"/>
    <col min="7169" max="7169" width="19.140625" style="77" customWidth="1"/>
    <col min="7170" max="7171" width="13.140625" style="77" customWidth="1"/>
    <col min="7172" max="7172" width="9.140625" style="77"/>
    <col min="7173" max="7173" width="12.85546875" style="77" customWidth="1"/>
    <col min="7174" max="7174" width="9.140625" style="77"/>
    <col min="7175" max="7175" width="20" style="77" customWidth="1"/>
    <col min="7176" max="7176" width="13.85546875" style="77" bestFit="1" customWidth="1"/>
    <col min="7177" max="7177" width="13.140625" style="77" customWidth="1"/>
    <col min="7178" max="7178" width="11.7109375" style="77" customWidth="1"/>
    <col min="7179" max="7179" width="14.85546875" style="77" customWidth="1"/>
    <col min="7180" max="7180" width="11.42578125" style="77" customWidth="1"/>
    <col min="7181" max="7181" width="14.28515625" style="77" customWidth="1"/>
    <col min="7182" max="7182" width="13.28515625" style="77" customWidth="1"/>
    <col min="7183" max="7183" width="14.85546875" style="77" customWidth="1"/>
    <col min="7184" max="7184" width="16.5703125" style="77" customWidth="1"/>
    <col min="7185" max="7185" width="10.5703125" style="77" customWidth="1"/>
    <col min="7186" max="7420" width="9.140625" style="77"/>
    <col min="7421" max="7421" width="15.28515625" style="77" customWidth="1"/>
    <col min="7422" max="7422" width="7" style="77" customWidth="1"/>
    <col min="7423" max="7423" width="9.140625" style="77"/>
    <col min="7424" max="7424" width="24" style="77" customWidth="1"/>
    <col min="7425" max="7425" width="19.140625" style="77" customWidth="1"/>
    <col min="7426" max="7427" width="13.140625" style="77" customWidth="1"/>
    <col min="7428" max="7428" width="9.140625" style="77"/>
    <col min="7429" max="7429" width="12.85546875" style="77" customWidth="1"/>
    <col min="7430" max="7430" width="9.140625" style="77"/>
    <col min="7431" max="7431" width="20" style="77" customWidth="1"/>
    <col min="7432" max="7432" width="13.85546875" style="77" bestFit="1" customWidth="1"/>
    <col min="7433" max="7433" width="13.140625" style="77" customWidth="1"/>
    <col min="7434" max="7434" width="11.7109375" style="77" customWidth="1"/>
    <col min="7435" max="7435" width="14.85546875" style="77" customWidth="1"/>
    <col min="7436" max="7436" width="11.42578125" style="77" customWidth="1"/>
    <col min="7437" max="7437" width="14.28515625" style="77" customWidth="1"/>
    <col min="7438" max="7438" width="13.28515625" style="77" customWidth="1"/>
    <col min="7439" max="7439" width="14.85546875" style="77" customWidth="1"/>
    <col min="7440" max="7440" width="16.5703125" style="77" customWidth="1"/>
    <col min="7441" max="7441" width="10.5703125" style="77" customWidth="1"/>
    <col min="7442" max="7676" width="9.140625" style="77"/>
    <col min="7677" max="7677" width="15.28515625" style="77" customWidth="1"/>
    <col min="7678" max="7678" width="7" style="77" customWidth="1"/>
    <col min="7679" max="7679" width="9.140625" style="77"/>
    <col min="7680" max="7680" width="24" style="77" customWidth="1"/>
    <col min="7681" max="7681" width="19.140625" style="77" customWidth="1"/>
    <col min="7682" max="7683" width="13.140625" style="77" customWidth="1"/>
    <col min="7684" max="7684" width="9.140625" style="77"/>
    <col min="7685" max="7685" width="12.85546875" style="77" customWidth="1"/>
    <col min="7686" max="7686" width="9.140625" style="77"/>
    <col min="7687" max="7687" width="20" style="77" customWidth="1"/>
    <col min="7688" max="7688" width="13.85546875" style="77" bestFit="1" customWidth="1"/>
    <col min="7689" max="7689" width="13.140625" style="77" customWidth="1"/>
    <col min="7690" max="7690" width="11.7109375" style="77" customWidth="1"/>
    <col min="7691" max="7691" width="14.85546875" style="77" customWidth="1"/>
    <col min="7692" max="7692" width="11.42578125" style="77" customWidth="1"/>
    <col min="7693" max="7693" width="14.28515625" style="77" customWidth="1"/>
    <col min="7694" max="7694" width="13.28515625" style="77" customWidth="1"/>
    <col min="7695" max="7695" width="14.85546875" style="77" customWidth="1"/>
    <col min="7696" max="7696" width="16.5703125" style="77" customWidth="1"/>
    <col min="7697" max="7697" width="10.5703125" style="77" customWidth="1"/>
    <col min="7698" max="7932" width="9.140625" style="77"/>
    <col min="7933" max="7933" width="15.28515625" style="77" customWidth="1"/>
    <col min="7934" max="7934" width="7" style="77" customWidth="1"/>
    <col min="7935" max="7935" width="9.140625" style="77"/>
    <col min="7936" max="7936" width="24" style="77" customWidth="1"/>
    <col min="7937" max="7937" width="19.140625" style="77" customWidth="1"/>
    <col min="7938" max="7939" width="13.140625" style="77" customWidth="1"/>
    <col min="7940" max="7940" width="9.140625" style="77"/>
    <col min="7941" max="7941" width="12.85546875" style="77" customWidth="1"/>
    <col min="7942" max="7942" width="9.140625" style="77"/>
    <col min="7943" max="7943" width="20" style="77" customWidth="1"/>
    <col min="7944" max="7944" width="13.85546875" style="77" bestFit="1" customWidth="1"/>
    <col min="7945" max="7945" width="13.140625" style="77" customWidth="1"/>
    <col min="7946" max="7946" width="11.7109375" style="77" customWidth="1"/>
    <col min="7947" max="7947" width="14.85546875" style="77" customWidth="1"/>
    <col min="7948" max="7948" width="11.42578125" style="77" customWidth="1"/>
    <col min="7949" max="7949" width="14.28515625" style="77" customWidth="1"/>
    <col min="7950" max="7950" width="13.28515625" style="77" customWidth="1"/>
    <col min="7951" max="7951" width="14.85546875" style="77" customWidth="1"/>
    <col min="7952" max="7952" width="16.5703125" style="77" customWidth="1"/>
    <col min="7953" max="7953" width="10.5703125" style="77" customWidth="1"/>
    <col min="7954" max="8188" width="9.140625" style="77"/>
    <col min="8189" max="8189" width="15.28515625" style="77" customWidth="1"/>
    <col min="8190" max="8190" width="7" style="77" customWidth="1"/>
    <col min="8191" max="8191" width="9.140625" style="77"/>
    <col min="8192" max="8192" width="24" style="77" customWidth="1"/>
    <col min="8193" max="8193" width="19.140625" style="77" customWidth="1"/>
    <col min="8194" max="8195" width="13.140625" style="77" customWidth="1"/>
    <col min="8196" max="8196" width="9.140625" style="77"/>
    <col min="8197" max="8197" width="12.85546875" style="77" customWidth="1"/>
    <col min="8198" max="8198" width="9.140625" style="77"/>
    <col min="8199" max="8199" width="20" style="77" customWidth="1"/>
    <col min="8200" max="8200" width="13.85546875" style="77" bestFit="1" customWidth="1"/>
    <col min="8201" max="8201" width="13.140625" style="77" customWidth="1"/>
    <col min="8202" max="8202" width="11.7109375" style="77" customWidth="1"/>
    <col min="8203" max="8203" width="14.85546875" style="77" customWidth="1"/>
    <col min="8204" max="8204" width="11.42578125" style="77" customWidth="1"/>
    <col min="8205" max="8205" width="14.28515625" style="77" customWidth="1"/>
    <col min="8206" max="8206" width="13.28515625" style="77" customWidth="1"/>
    <col min="8207" max="8207" width="14.85546875" style="77" customWidth="1"/>
    <col min="8208" max="8208" width="16.5703125" style="77" customWidth="1"/>
    <col min="8209" max="8209" width="10.5703125" style="77" customWidth="1"/>
    <col min="8210" max="8444" width="9.140625" style="77"/>
    <col min="8445" max="8445" width="15.28515625" style="77" customWidth="1"/>
    <col min="8446" max="8446" width="7" style="77" customWidth="1"/>
    <col min="8447" max="8447" width="9.140625" style="77"/>
    <col min="8448" max="8448" width="24" style="77" customWidth="1"/>
    <col min="8449" max="8449" width="19.140625" style="77" customWidth="1"/>
    <col min="8450" max="8451" width="13.140625" style="77" customWidth="1"/>
    <col min="8452" max="8452" width="9.140625" style="77"/>
    <col min="8453" max="8453" width="12.85546875" style="77" customWidth="1"/>
    <col min="8454" max="8454" width="9.140625" style="77"/>
    <col min="8455" max="8455" width="20" style="77" customWidth="1"/>
    <col min="8456" max="8456" width="13.85546875" style="77" bestFit="1" customWidth="1"/>
    <col min="8457" max="8457" width="13.140625" style="77" customWidth="1"/>
    <col min="8458" max="8458" width="11.7109375" style="77" customWidth="1"/>
    <col min="8459" max="8459" width="14.85546875" style="77" customWidth="1"/>
    <col min="8460" max="8460" width="11.42578125" style="77" customWidth="1"/>
    <col min="8461" max="8461" width="14.28515625" style="77" customWidth="1"/>
    <col min="8462" max="8462" width="13.28515625" style="77" customWidth="1"/>
    <col min="8463" max="8463" width="14.85546875" style="77" customWidth="1"/>
    <col min="8464" max="8464" width="16.5703125" style="77" customWidth="1"/>
    <col min="8465" max="8465" width="10.5703125" style="77" customWidth="1"/>
    <col min="8466" max="8700" width="9.140625" style="77"/>
    <col min="8701" max="8701" width="15.28515625" style="77" customWidth="1"/>
    <col min="8702" max="8702" width="7" style="77" customWidth="1"/>
    <col min="8703" max="8703" width="9.140625" style="77"/>
    <col min="8704" max="8704" width="24" style="77" customWidth="1"/>
    <col min="8705" max="8705" width="19.140625" style="77" customWidth="1"/>
    <col min="8706" max="8707" width="13.140625" style="77" customWidth="1"/>
    <col min="8708" max="8708" width="9.140625" style="77"/>
    <col min="8709" max="8709" width="12.85546875" style="77" customWidth="1"/>
    <col min="8710" max="8710" width="9.140625" style="77"/>
    <col min="8711" max="8711" width="20" style="77" customWidth="1"/>
    <col min="8712" max="8712" width="13.85546875" style="77" bestFit="1" customWidth="1"/>
    <col min="8713" max="8713" width="13.140625" style="77" customWidth="1"/>
    <col min="8714" max="8714" width="11.7109375" style="77" customWidth="1"/>
    <col min="8715" max="8715" width="14.85546875" style="77" customWidth="1"/>
    <col min="8716" max="8716" width="11.42578125" style="77" customWidth="1"/>
    <col min="8717" max="8717" width="14.28515625" style="77" customWidth="1"/>
    <col min="8718" max="8718" width="13.28515625" style="77" customWidth="1"/>
    <col min="8719" max="8719" width="14.85546875" style="77" customWidth="1"/>
    <col min="8720" max="8720" width="16.5703125" style="77" customWidth="1"/>
    <col min="8721" max="8721" width="10.5703125" style="77" customWidth="1"/>
    <col min="8722" max="8956" width="9.140625" style="77"/>
    <col min="8957" max="8957" width="15.28515625" style="77" customWidth="1"/>
    <col min="8958" max="8958" width="7" style="77" customWidth="1"/>
    <col min="8959" max="8959" width="9.140625" style="77"/>
    <col min="8960" max="8960" width="24" style="77" customWidth="1"/>
    <col min="8961" max="8961" width="19.140625" style="77" customWidth="1"/>
    <col min="8962" max="8963" width="13.140625" style="77" customWidth="1"/>
    <col min="8964" max="8964" width="9.140625" style="77"/>
    <col min="8965" max="8965" width="12.85546875" style="77" customWidth="1"/>
    <col min="8966" max="8966" width="9.140625" style="77"/>
    <col min="8967" max="8967" width="20" style="77" customWidth="1"/>
    <col min="8968" max="8968" width="13.85546875" style="77" bestFit="1" customWidth="1"/>
    <col min="8969" max="8969" width="13.140625" style="77" customWidth="1"/>
    <col min="8970" max="8970" width="11.7109375" style="77" customWidth="1"/>
    <col min="8971" max="8971" width="14.85546875" style="77" customWidth="1"/>
    <col min="8972" max="8972" width="11.42578125" style="77" customWidth="1"/>
    <col min="8973" max="8973" width="14.28515625" style="77" customWidth="1"/>
    <col min="8974" max="8974" width="13.28515625" style="77" customWidth="1"/>
    <col min="8975" max="8975" width="14.85546875" style="77" customWidth="1"/>
    <col min="8976" max="8976" width="16.5703125" style="77" customWidth="1"/>
    <col min="8977" max="8977" width="10.5703125" style="77" customWidth="1"/>
    <col min="8978" max="9212" width="9.140625" style="77"/>
    <col min="9213" max="9213" width="15.28515625" style="77" customWidth="1"/>
    <col min="9214" max="9214" width="7" style="77" customWidth="1"/>
    <col min="9215" max="9215" width="9.140625" style="77"/>
    <col min="9216" max="9216" width="24" style="77" customWidth="1"/>
    <col min="9217" max="9217" width="19.140625" style="77" customWidth="1"/>
    <col min="9218" max="9219" width="13.140625" style="77" customWidth="1"/>
    <col min="9220" max="9220" width="9.140625" style="77"/>
    <col min="9221" max="9221" width="12.85546875" style="77" customWidth="1"/>
    <col min="9222" max="9222" width="9.140625" style="77"/>
    <col min="9223" max="9223" width="20" style="77" customWidth="1"/>
    <col min="9224" max="9224" width="13.85546875" style="77" bestFit="1" customWidth="1"/>
    <col min="9225" max="9225" width="13.140625" style="77" customWidth="1"/>
    <col min="9226" max="9226" width="11.7109375" style="77" customWidth="1"/>
    <col min="9227" max="9227" width="14.85546875" style="77" customWidth="1"/>
    <col min="9228" max="9228" width="11.42578125" style="77" customWidth="1"/>
    <col min="9229" max="9229" width="14.28515625" style="77" customWidth="1"/>
    <col min="9230" max="9230" width="13.28515625" style="77" customWidth="1"/>
    <col min="9231" max="9231" width="14.85546875" style="77" customWidth="1"/>
    <col min="9232" max="9232" width="16.5703125" style="77" customWidth="1"/>
    <col min="9233" max="9233" width="10.5703125" style="77" customWidth="1"/>
    <col min="9234" max="9468" width="9.140625" style="77"/>
    <col min="9469" max="9469" width="15.28515625" style="77" customWidth="1"/>
    <col min="9470" max="9470" width="7" style="77" customWidth="1"/>
    <col min="9471" max="9471" width="9.140625" style="77"/>
    <col min="9472" max="9472" width="24" style="77" customWidth="1"/>
    <col min="9473" max="9473" width="19.140625" style="77" customWidth="1"/>
    <col min="9474" max="9475" width="13.140625" style="77" customWidth="1"/>
    <col min="9476" max="9476" width="9.140625" style="77"/>
    <col min="9477" max="9477" width="12.85546875" style="77" customWidth="1"/>
    <col min="9478" max="9478" width="9.140625" style="77"/>
    <col min="9479" max="9479" width="20" style="77" customWidth="1"/>
    <col min="9480" max="9480" width="13.85546875" style="77" bestFit="1" customWidth="1"/>
    <col min="9481" max="9481" width="13.140625" style="77" customWidth="1"/>
    <col min="9482" max="9482" width="11.7109375" style="77" customWidth="1"/>
    <col min="9483" max="9483" width="14.85546875" style="77" customWidth="1"/>
    <col min="9484" max="9484" width="11.42578125" style="77" customWidth="1"/>
    <col min="9485" max="9485" width="14.28515625" style="77" customWidth="1"/>
    <col min="9486" max="9486" width="13.28515625" style="77" customWidth="1"/>
    <col min="9487" max="9487" width="14.85546875" style="77" customWidth="1"/>
    <col min="9488" max="9488" width="16.5703125" style="77" customWidth="1"/>
    <col min="9489" max="9489" width="10.5703125" style="77" customWidth="1"/>
    <col min="9490" max="9724" width="9.140625" style="77"/>
    <col min="9725" max="9725" width="15.28515625" style="77" customWidth="1"/>
    <col min="9726" max="9726" width="7" style="77" customWidth="1"/>
    <col min="9727" max="9727" width="9.140625" style="77"/>
    <col min="9728" max="9728" width="24" style="77" customWidth="1"/>
    <col min="9729" max="9729" width="19.140625" style="77" customWidth="1"/>
    <col min="9730" max="9731" width="13.140625" style="77" customWidth="1"/>
    <col min="9732" max="9732" width="9.140625" style="77"/>
    <col min="9733" max="9733" width="12.85546875" style="77" customWidth="1"/>
    <col min="9734" max="9734" width="9.140625" style="77"/>
    <col min="9735" max="9735" width="20" style="77" customWidth="1"/>
    <col min="9736" max="9736" width="13.85546875" style="77" bestFit="1" customWidth="1"/>
    <col min="9737" max="9737" width="13.140625" style="77" customWidth="1"/>
    <col min="9738" max="9738" width="11.7109375" style="77" customWidth="1"/>
    <col min="9739" max="9739" width="14.85546875" style="77" customWidth="1"/>
    <col min="9740" max="9740" width="11.42578125" style="77" customWidth="1"/>
    <col min="9741" max="9741" width="14.28515625" style="77" customWidth="1"/>
    <col min="9742" max="9742" width="13.28515625" style="77" customWidth="1"/>
    <col min="9743" max="9743" width="14.85546875" style="77" customWidth="1"/>
    <col min="9744" max="9744" width="16.5703125" style="77" customWidth="1"/>
    <col min="9745" max="9745" width="10.5703125" style="77" customWidth="1"/>
    <col min="9746" max="9980" width="9.140625" style="77"/>
    <col min="9981" max="9981" width="15.28515625" style="77" customWidth="1"/>
    <col min="9982" max="9982" width="7" style="77" customWidth="1"/>
    <col min="9983" max="9983" width="9.140625" style="77"/>
    <col min="9984" max="9984" width="24" style="77" customWidth="1"/>
    <col min="9985" max="9985" width="19.140625" style="77" customWidth="1"/>
    <col min="9986" max="9987" width="13.140625" style="77" customWidth="1"/>
    <col min="9988" max="9988" width="9.140625" style="77"/>
    <col min="9989" max="9989" width="12.85546875" style="77" customWidth="1"/>
    <col min="9990" max="9990" width="9.140625" style="77"/>
    <col min="9991" max="9991" width="20" style="77" customWidth="1"/>
    <col min="9992" max="9992" width="13.85546875" style="77" bestFit="1" customWidth="1"/>
    <col min="9993" max="9993" width="13.140625" style="77" customWidth="1"/>
    <col min="9994" max="9994" width="11.7109375" style="77" customWidth="1"/>
    <col min="9995" max="9995" width="14.85546875" style="77" customWidth="1"/>
    <col min="9996" max="9996" width="11.42578125" style="77" customWidth="1"/>
    <col min="9997" max="9997" width="14.28515625" style="77" customWidth="1"/>
    <col min="9998" max="9998" width="13.28515625" style="77" customWidth="1"/>
    <col min="9999" max="9999" width="14.85546875" style="77" customWidth="1"/>
    <col min="10000" max="10000" width="16.5703125" style="77" customWidth="1"/>
    <col min="10001" max="10001" width="10.5703125" style="77" customWidth="1"/>
    <col min="10002" max="10236" width="9.140625" style="77"/>
    <col min="10237" max="10237" width="15.28515625" style="77" customWidth="1"/>
    <col min="10238" max="10238" width="7" style="77" customWidth="1"/>
    <col min="10239" max="10239" width="9.140625" style="77"/>
    <col min="10240" max="10240" width="24" style="77" customWidth="1"/>
    <col min="10241" max="10241" width="19.140625" style="77" customWidth="1"/>
    <col min="10242" max="10243" width="13.140625" style="77" customWidth="1"/>
    <col min="10244" max="10244" width="9.140625" style="77"/>
    <col min="10245" max="10245" width="12.85546875" style="77" customWidth="1"/>
    <col min="10246" max="10246" width="9.140625" style="77"/>
    <col min="10247" max="10247" width="20" style="77" customWidth="1"/>
    <col min="10248" max="10248" width="13.85546875" style="77" bestFit="1" customWidth="1"/>
    <col min="10249" max="10249" width="13.140625" style="77" customWidth="1"/>
    <col min="10250" max="10250" width="11.7109375" style="77" customWidth="1"/>
    <col min="10251" max="10251" width="14.85546875" style="77" customWidth="1"/>
    <col min="10252" max="10252" width="11.42578125" style="77" customWidth="1"/>
    <col min="10253" max="10253" width="14.28515625" style="77" customWidth="1"/>
    <col min="10254" max="10254" width="13.28515625" style="77" customWidth="1"/>
    <col min="10255" max="10255" width="14.85546875" style="77" customWidth="1"/>
    <col min="10256" max="10256" width="16.5703125" style="77" customWidth="1"/>
    <col min="10257" max="10257" width="10.5703125" style="77" customWidth="1"/>
    <col min="10258" max="10492" width="9.140625" style="77"/>
    <col min="10493" max="10493" width="15.28515625" style="77" customWidth="1"/>
    <col min="10494" max="10494" width="7" style="77" customWidth="1"/>
    <col min="10495" max="10495" width="9.140625" style="77"/>
    <col min="10496" max="10496" width="24" style="77" customWidth="1"/>
    <col min="10497" max="10497" width="19.140625" style="77" customWidth="1"/>
    <col min="10498" max="10499" width="13.140625" style="77" customWidth="1"/>
    <col min="10500" max="10500" width="9.140625" style="77"/>
    <col min="10501" max="10501" width="12.85546875" style="77" customWidth="1"/>
    <col min="10502" max="10502" width="9.140625" style="77"/>
    <col min="10503" max="10503" width="20" style="77" customWidth="1"/>
    <col min="10504" max="10504" width="13.85546875" style="77" bestFit="1" customWidth="1"/>
    <col min="10505" max="10505" width="13.140625" style="77" customWidth="1"/>
    <col min="10506" max="10506" width="11.7109375" style="77" customWidth="1"/>
    <col min="10507" max="10507" width="14.85546875" style="77" customWidth="1"/>
    <col min="10508" max="10508" width="11.42578125" style="77" customWidth="1"/>
    <col min="10509" max="10509" width="14.28515625" style="77" customWidth="1"/>
    <col min="10510" max="10510" width="13.28515625" style="77" customWidth="1"/>
    <col min="10511" max="10511" width="14.85546875" style="77" customWidth="1"/>
    <col min="10512" max="10512" width="16.5703125" style="77" customWidth="1"/>
    <col min="10513" max="10513" width="10.5703125" style="77" customWidth="1"/>
    <col min="10514" max="10748" width="9.140625" style="77"/>
    <col min="10749" max="10749" width="15.28515625" style="77" customWidth="1"/>
    <col min="10750" max="10750" width="7" style="77" customWidth="1"/>
    <col min="10751" max="10751" width="9.140625" style="77"/>
    <col min="10752" max="10752" width="24" style="77" customWidth="1"/>
    <col min="10753" max="10753" width="19.140625" style="77" customWidth="1"/>
    <col min="10754" max="10755" width="13.140625" style="77" customWidth="1"/>
    <col min="10756" max="10756" width="9.140625" style="77"/>
    <col min="10757" max="10757" width="12.85546875" style="77" customWidth="1"/>
    <col min="10758" max="10758" width="9.140625" style="77"/>
    <col min="10759" max="10759" width="20" style="77" customWidth="1"/>
    <col min="10760" max="10760" width="13.85546875" style="77" bestFit="1" customWidth="1"/>
    <col min="10761" max="10761" width="13.140625" style="77" customWidth="1"/>
    <col min="10762" max="10762" width="11.7109375" style="77" customWidth="1"/>
    <col min="10763" max="10763" width="14.85546875" style="77" customWidth="1"/>
    <col min="10764" max="10764" width="11.42578125" style="77" customWidth="1"/>
    <col min="10765" max="10765" width="14.28515625" style="77" customWidth="1"/>
    <col min="10766" max="10766" width="13.28515625" style="77" customWidth="1"/>
    <col min="10767" max="10767" width="14.85546875" style="77" customWidth="1"/>
    <col min="10768" max="10768" width="16.5703125" style="77" customWidth="1"/>
    <col min="10769" max="10769" width="10.5703125" style="77" customWidth="1"/>
    <col min="10770" max="11004" width="9.140625" style="77"/>
    <col min="11005" max="11005" width="15.28515625" style="77" customWidth="1"/>
    <col min="11006" max="11006" width="7" style="77" customWidth="1"/>
    <col min="11007" max="11007" width="9.140625" style="77"/>
    <col min="11008" max="11008" width="24" style="77" customWidth="1"/>
    <col min="11009" max="11009" width="19.140625" style="77" customWidth="1"/>
    <col min="11010" max="11011" width="13.140625" style="77" customWidth="1"/>
    <col min="11012" max="11012" width="9.140625" style="77"/>
    <col min="11013" max="11013" width="12.85546875" style="77" customWidth="1"/>
    <col min="11014" max="11014" width="9.140625" style="77"/>
    <col min="11015" max="11015" width="20" style="77" customWidth="1"/>
    <col min="11016" max="11016" width="13.85546875" style="77" bestFit="1" customWidth="1"/>
    <col min="11017" max="11017" width="13.140625" style="77" customWidth="1"/>
    <col min="11018" max="11018" width="11.7109375" style="77" customWidth="1"/>
    <col min="11019" max="11019" width="14.85546875" style="77" customWidth="1"/>
    <col min="11020" max="11020" width="11.42578125" style="77" customWidth="1"/>
    <col min="11021" max="11021" width="14.28515625" style="77" customWidth="1"/>
    <col min="11022" max="11022" width="13.28515625" style="77" customWidth="1"/>
    <col min="11023" max="11023" width="14.85546875" style="77" customWidth="1"/>
    <col min="11024" max="11024" width="16.5703125" style="77" customWidth="1"/>
    <col min="11025" max="11025" width="10.5703125" style="77" customWidth="1"/>
    <col min="11026" max="11260" width="9.140625" style="77"/>
    <col min="11261" max="11261" width="15.28515625" style="77" customWidth="1"/>
    <col min="11262" max="11262" width="7" style="77" customWidth="1"/>
    <col min="11263" max="11263" width="9.140625" style="77"/>
    <col min="11264" max="11264" width="24" style="77" customWidth="1"/>
    <col min="11265" max="11265" width="19.140625" style="77" customWidth="1"/>
    <col min="11266" max="11267" width="13.140625" style="77" customWidth="1"/>
    <col min="11268" max="11268" width="9.140625" style="77"/>
    <col min="11269" max="11269" width="12.85546875" style="77" customWidth="1"/>
    <col min="11270" max="11270" width="9.140625" style="77"/>
    <col min="11271" max="11271" width="20" style="77" customWidth="1"/>
    <col min="11272" max="11272" width="13.85546875" style="77" bestFit="1" customWidth="1"/>
    <col min="11273" max="11273" width="13.140625" style="77" customWidth="1"/>
    <col min="11274" max="11274" width="11.7109375" style="77" customWidth="1"/>
    <col min="11275" max="11275" width="14.85546875" style="77" customWidth="1"/>
    <col min="11276" max="11276" width="11.42578125" style="77" customWidth="1"/>
    <col min="11277" max="11277" width="14.28515625" style="77" customWidth="1"/>
    <col min="11278" max="11278" width="13.28515625" style="77" customWidth="1"/>
    <col min="11279" max="11279" width="14.85546875" style="77" customWidth="1"/>
    <col min="11280" max="11280" width="16.5703125" style="77" customWidth="1"/>
    <col min="11281" max="11281" width="10.5703125" style="77" customWidth="1"/>
    <col min="11282" max="11516" width="9.140625" style="77"/>
    <col min="11517" max="11517" width="15.28515625" style="77" customWidth="1"/>
    <col min="11518" max="11518" width="7" style="77" customWidth="1"/>
    <col min="11519" max="11519" width="9.140625" style="77"/>
    <col min="11520" max="11520" width="24" style="77" customWidth="1"/>
    <col min="11521" max="11521" width="19.140625" style="77" customWidth="1"/>
    <col min="11522" max="11523" width="13.140625" style="77" customWidth="1"/>
    <col min="11524" max="11524" width="9.140625" style="77"/>
    <col min="11525" max="11525" width="12.85546875" style="77" customWidth="1"/>
    <col min="11526" max="11526" width="9.140625" style="77"/>
    <col min="11527" max="11527" width="20" style="77" customWidth="1"/>
    <col min="11528" max="11528" width="13.85546875" style="77" bestFit="1" customWidth="1"/>
    <col min="11529" max="11529" width="13.140625" style="77" customWidth="1"/>
    <col min="11530" max="11530" width="11.7109375" style="77" customWidth="1"/>
    <col min="11531" max="11531" width="14.85546875" style="77" customWidth="1"/>
    <col min="11532" max="11532" width="11.42578125" style="77" customWidth="1"/>
    <col min="11533" max="11533" width="14.28515625" style="77" customWidth="1"/>
    <col min="11534" max="11534" width="13.28515625" style="77" customWidth="1"/>
    <col min="11535" max="11535" width="14.85546875" style="77" customWidth="1"/>
    <col min="11536" max="11536" width="16.5703125" style="77" customWidth="1"/>
    <col min="11537" max="11537" width="10.5703125" style="77" customWidth="1"/>
    <col min="11538" max="11772" width="9.140625" style="77"/>
    <col min="11773" max="11773" width="15.28515625" style="77" customWidth="1"/>
    <col min="11774" max="11774" width="7" style="77" customWidth="1"/>
    <col min="11775" max="11775" width="9.140625" style="77"/>
    <col min="11776" max="11776" width="24" style="77" customWidth="1"/>
    <col min="11777" max="11777" width="19.140625" style="77" customWidth="1"/>
    <col min="11778" max="11779" width="13.140625" style="77" customWidth="1"/>
    <col min="11780" max="11780" width="9.140625" style="77"/>
    <col min="11781" max="11781" width="12.85546875" style="77" customWidth="1"/>
    <col min="11782" max="11782" width="9.140625" style="77"/>
    <col min="11783" max="11783" width="20" style="77" customWidth="1"/>
    <col min="11784" max="11784" width="13.85546875" style="77" bestFit="1" customWidth="1"/>
    <col min="11785" max="11785" width="13.140625" style="77" customWidth="1"/>
    <col min="11786" max="11786" width="11.7109375" style="77" customWidth="1"/>
    <col min="11787" max="11787" width="14.85546875" style="77" customWidth="1"/>
    <col min="11788" max="11788" width="11.42578125" style="77" customWidth="1"/>
    <col min="11789" max="11789" width="14.28515625" style="77" customWidth="1"/>
    <col min="11790" max="11790" width="13.28515625" style="77" customWidth="1"/>
    <col min="11791" max="11791" width="14.85546875" style="77" customWidth="1"/>
    <col min="11792" max="11792" width="16.5703125" style="77" customWidth="1"/>
    <col min="11793" max="11793" width="10.5703125" style="77" customWidth="1"/>
    <col min="11794" max="12028" width="9.140625" style="77"/>
    <col min="12029" max="12029" width="15.28515625" style="77" customWidth="1"/>
    <col min="12030" max="12030" width="7" style="77" customWidth="1"/>
    <col min="12031" max="12031" width="9.140625" style="77"/>
    <col min="12032" max="12032" width="24" style="77" customWidth="1"/>
    <col min="12033" max="12033" width="19.140625" style="77" customWidth="1"/>
    <col min="12034" max="12035" width="13.140625" style="77" customWidth="1"/>
    <col min="12036" max="12036" width="9.140625" style="77"/>
    <col min="12037" max="12037" width="12.85546875" style="77" customWidth="1"/>
    <col min="12038" max="12038" width="9.140625" style="77"/>
    <col min="12039" max="12039" width="20" style="77" customWidth="1"/>
    <col min="12040" max="12040" width="13.85546875" style="77" bestFit="1" customWidth="1"/>
    <col min="12041" max="12041" width="13.140625" style="77" customWidth="1"/>
    <col min="12042" max="12042" width="11.7109375" style="77" customWidth="1"/>
    <col min="12043" max="12043" width="14.85546875" style="77" customWidth="1"/>
    <col min="12044" max="12044" width="11.42578125" style="77" customWidth="1"/>
    <col min="12045" max="12045" width="14.28515625" style="77" customWidth="1"/>
    <col min="12046" max="12046" width="13.28515625" style="77" customWidth="1"/>
    <col min="12047" max="12047" width="14.85546875" style="77" customWidth="1"/>
    <col min="12048" max="12048" width="16.5703125" style="77" customWidth="1"/>
    <col min="12049" max="12049" width="10.5703125" style="77" customWidth="1"/>
    <col min="12050" max="12284" width="9.140625" style="77"/>
    <col min="12285" max="12285" width="15.28515625" style="77" customWidth="1"/>
    <col min="12286" max="12286" width="7" style="77" customWidth="1"/>
    <col min="12287" max="12287" width="9.140625" style="77"/>
    <col min="12288" max="12288" width="24" style="77" customWidth="1"/>
    <col min="12289" max="12289" width="19.140625" style="77" customWidth="1"/>
    <col min="12290" max="12291" width="13.140625" style="77" customWidth="1"/>
    <col min="12292" max="12292" width="9.140625" style="77"/>
    <col min="12293" max="12293" width="12.85546875" style="77" customWidth="1"/>
    <col min="12294" max="12294" width="9.140625" style="77"/>
    <col min="12295" max="12295" width="20" style="77" customWidth="1"/>
    <col min="12296" max="12296" width="13.85546875" style="77" bestFit="1" customWidth="1"/>
    <col min="12297" max="12297" width="13.140625" style="77" customWidth="1"/>
    <col min="12298" max="12298" width="11.7109375" style="77" customWidth="1"/>
    <col min="12299" max="12299" width="14.85546875" style="77" customWidth="1"/>
    <col min="12300" max="12300" width="11.42578125" style="77" customWidth="1"/>
    <col min="12301" max="12301" width="14.28515625" style="77" customWidth="1"/>
    <col min="12302" max="12302" width="13.28515625" style="77" customWidth="1"/>
    <col min="12303" max="12303" width="14.85546875" style="77" customWidth="1"/>
    <col min="12304" max="12304" width="16.5703125" style="77" customWidth="1"/>
    <col min="12305" max="12305" width="10.5703125" style="77" customWidth="1"/>
    <col min="12306" max="12540" width="9.140625" style="77"/>
    <col min="12541" max="12541" width="15.28515625" style="77" customWidth="1"/>
    <col min="12542" max="12542" width="7" style="77" customWidth="1"/>
    <col min="12543" max="12543" width="9.140625" style="77"/>
    <col min="12544" max="12544" width="24" style="77" customWidth="1"/>
    <col min="12545" max="12545" width="19.140625" style="77" customWidth="1"/>
    <col min="12546" max="12547" width="13.140625" style="77" customWidth="1"/>
    <col min="12548" max="12548" width="9.140625" style="77"/>
    <col min="12549" max="12549" width="12.85546875" style="77" customWidth="1"/>
    <col min="12550" max="12550" width="9.140625" style="77"/>
    <col min="12551" max="12551" width="20" style="77" customWidth="1"/>
    <col min="12552" max="12552" width="13.85546875" style="77" bestFit="1" customWidth="1"/>
    <col min="12553" max="12553" width="13.140625" style="77" customWidth="1"/>
    <col min="12554" max="12554" width="11.7109375" style="77" customWidth="1"/>
    <col min="12555" max="12555" width="14.85546875" style="77" customWidth="1"/>
    <col min="12556" max="12556" width="11.42578125" style="77" customWidth="1"/>
    <col min="12557" max="12557" width="14.28515625" style="77" customWidth="1"/>
    <col min="12558" max="12558" width="13.28515625" style="77" customWidth="1"/>
    <col min="12559" max="12559" width="14.85546875" style="77" customWidth="1"/>
    <col min="12560" max="12560" width="16.5703125" style="77" customWidth="1"/>
    <col min="12561" max="12561" width="10.5703125" style="77" customWidth="1"/>
    <col min="12562" max="12796" width="9.140625" style="77"/>
    <col min="12797" max="12797" width="15.28515625" style="77" customWidth="1"/>
    <col min="12798" max="12798" width="7" style="77" customWidth="1"/>
    <col min="12799" max="12799" width="9.140625" style="77"/>
    <col min="12800" max="12800" width="24" style="77" customWidth="1"/>
    <col min="12801" max="12801" width="19.140625" style="77" customWidth="1"/>
    <col min="12802" max="12803" width="13.140625" style="77" customWidth="1"/>
    <col min="12804" max="12804" width="9.140625" style="77"/>
    <col min="12805" max="12805" width="12.85546875" style="77" customWidth="1"/>
    <col min="12806" max="12806" width="9.140625" style="77"/>
    <col min="12807" max="12807" width="20" style="77" customWidth="1"/>
    <col min="12808" max="12808" width="13.85546875" style="77" bestFit="1" customWidth="1"/>
    <col min="12809" max="12809" width="13.140625" style="77" customWidth="1"/>
    <col min="12810" max="12810" width="11.7109375" style="77" customWidth="1"/>
    <col min="12811" max="12811" width="14.85546875" style="77" customWidth="1"/>
    <col min="12812" max="12812" width="11.42578125" style="77" customWidth="1"/>
    <col min="12813" max="12813" width="14.28515625" style="77" customWidth="1"/>
    <col min="12814" max="12814" width="13.28515625" style="77" customWidth="1"/>
    <col min="12815" max="12815" width="14.85546875" style="77" customWidth="1"/>
    <col min="12816" max="12816" width="16.5703125" style="77" customWidth="1"/>
    <col min="12817" max="12817" width="10.5703125" style="77" customWidth="1"/>
    <col min="12818" max="13052" width="9.140625" style="77"/>
    <col min="13053" max="13053" width="15.28515625" style="77" customWidth="1"/>
    <col min="13054" max="13054" width="7" style="77" customWidth="1"/>
    <col min="13055" max="13055" width="9.140625" style="77"/>
    <col min="13056" max="13056" width="24" style="77" customWidth="1"/>
    <col min="13057" max="13057" width="19.140625" style="77" customWidth="1"/>
    <col min="13058" max="13059" width="13.140625" style="77" customWidth="1"/>
    <col min="13060" max="13060" width="9.140625" style="77"/>
    <col min="13061" max="13061" width="12.85546875" style="77" customWidth="1"/>
    <col min="13062" max="13062" width="9.140625" style="77"/>
    <col min="13063" max="13063" width="20" style="77" customWidth="1"/>
    <col min="13064" max="13064" width="13.85546875" style="77" bestFit="1" customWidth="1"/>
    <col min="13065" max="13065" width="13.140625" style="77" customWidth="1"/>
    <col min="13066" max="13066" width="11.7109375" style="77" customWidth="1"/>
    <col min="13067" max="13067" width="14.85546875" style="77" customWidth="1"/>
    <col min="13068" max="13068" width="11.42578125" style="77" customWidth="1"/>
    <col min="13069" max="13069" width="14.28515625" style="77" customWidth="1"/>
    <col min="13070" max="13070" width="13.28515625" style="77" customWidth="1"/>
    <col min="13071" max="13071" width="14.85546875" style="77" customWidth="1"/>
    <col min="13072" max="13072" width="16.5703125" style="77" customWidth="1"/>
    <col min="13073" max="13073" width="10.5703125" style="77" customWidth="1"/>
    <col min="13074" max="13308" width="9.140625" style="77"/>
    <col min="13309" max="13309" width="15.28515625" style="77" customWidth="1"/>
    <col min="13310" max="13310" width="7" style="77" customWidth="1"/>
    <col min="13311" max="13311" width="9.140625" style="77"/>
    <col min="13312" max="13312" width="24" style="77" customWidth="1"/>
    <col min="13313" max="13313" width="19.140625" style="77" customWidth="1"/>
    <col min="13314" max="13315" width="13.140625" style="77" customWidth="1"/>
    <col min="13316" max="13316" width="9.140625" style="77"/>
    <col min="13317" max="13317" width="12.85546875" style="77" customWidth="1"/>
    <col min="13318" max="13318" width="9.140625" style="77"/>
    <col min="13319" max="13319" width="20" style="77" customWidth="1"/>
    <col min="13320" max="13320" width="13.85546875" style="77" bestFit="1" customWidth="1"/>
    <col min="13321" max="13321" width="13.140625" style="77" customWidth="1"/>
    <col min="13322" max="13322" width="11.7109375" style="77" customWidth="1"/>
    <col min="13323" max="13323" width="14.85546875" style="77" customWidth="1"/>
    <col min="13324" max="13324" width="11.42578125" style="77" customWidth="1"/>
    <col min="13325" max="13325" width="14.28515625" style="77" customWidth="1"/>
    <col min="13326" max="13326" width="13.28515625" style="77" customWidth="1"/>
    <col min="13327" max="13327" width="14.85546875" style="77" customWidth="1"/>
    <col min="13328" max="13328" width="16.5703125" style="77" customWidth="1"/>
    <col min="13329" max="13329" width="10.5703125" style="77" customWidth="1"/>
    <col min="13330" max="13564" width="9.140625" style="77"/>
    <col min="13565" max="13565" width="15.28515625" style="77" customWidth="1"/>
    <col min="13566" max="13566" width="7" style="77" customWidth="1"/>
    <col min="13567" max="13567" width="9.140625" style="77"/>
    <col min="13568" max="13568" width="24" style="77" customWidth="1"/>
    <col min="13569" max="13569" width="19.140625" style="77" customWidth="1"/>
    <col min="13570" max="13571" width="13.140625" style="77" customWidth="1"/>
    <col min="13572" max="13572" width="9.140625" style="77"/>
    <col min="13573" max="13573" width="12.85546875" style="77" customWidth="1"/>
    <col min="13574" max="13574" width="9.140625" style="77"/>
    <col min="13575" max="13575" width="20" style="77" customWidth="1"/>
    <col min="13576" max="13576" width="13.85546875" style="77" bestFit="1" customWidth="1"/>
    <col min="13577" max="13577" width="13.140625" style="77" customWidth="1"/>
    <col min="13578" max="13578" width="11.7109375" style="77" customWidth="1"/>
    <col min="13579" max="13579" width="14.85546875" style="77" customWidth="1"/>
    <col min="13580" max="13580" width="11.42578125" style="77" customWidth="1"/>
    <col min="13581" max="13581" width="14.28515625" style="77" customWidth="1"/>
    <col min="13582" max="13582" width="13.28515625" style="77" customWidth="1"/>
    <col min="13583" max="13583" width="14.85546875" style="77" customWidth="1"/>
    <col min="13584" max="13584" width="16.5703125" style="77" customWidth="1"/>
    <col min="13585" max="13585" width="10.5703125" style="77" customWidth="1"/>
    <col min="13586" max="13820" width="9.140625" style="77"/>
    <col min="13821" max="13821" width="15.28515625" style="77" customWidth="1"/>
    <col min="13822" max="13822" width="7" style="77" customWidth="1"/>
    <col min="13823" max="13823" width="9.140625" style="77"/>
    <col min="13824" max="13824" width="24" style="77" customWidth="1"/>
    <col min="13825" max="13825" width="19.140625" style="77" customWidth="1"/>
    <col min="13826" max="13827" width="13.140625" style="77" customWidth="1"/>
    <col min="13828" max="13828" width="9.140625" style="77"/>
    <col min="13829" max="13829" width="12.85546875" style="77" customWidth="1"/>
    <col min="13830" max="13830" width="9.140625" style="77"/>
    <col min="13831" max="13831" width="20" style="77" customWidth="1"/>
    <col min="13832" max="13832" width="13.85546875" style="77" bestFit="1" customWidth="1"/>
    <col min="13833" max="13833" width="13.140625" style="77" customWidth="1"/>
    <col min="13834" max="13834" width="11.7109375" style="77" customWidth="1"/>
    <col min="13835" max="13835" width="14.85546875" style="77" customWidth="1"/>
    <col min="13836" max="13836" width="11.42578125" style="77" customWidth="1"/>
    <col min="13837" max="13837" width="14.28515625" style="77" customWidth="1"/>
    <col min="13838" max="13838" width="13.28515625" style="77" customWidth="1"/>
    <col min="13839" max="13839" width="14.85546875" style="77" customWidth="1"/>
    <col min="13840" max="13840" width="16.5703125" style="77" customWidth="1"/>
    <col min="13841" max="13841" width="10.5703125" style="77" customWidth="1"/>
    <col min="13842" max="14076" width="9.140625" style="77"/>
    <col min="14077" max="14077" width="15.28515625" style="77" customWidth="1"/>
    <col min="14078" max="14078" width="7" style="77" customWidth="1"/>
    <col min="14079" max="14079" width="9.140625" style="77"/>
    <col min="14080" max="14080" width="24" style="77" customWidth="1"/>
    <col min="14081" max="14081" width="19.140625" style="77" customWidth="1"/>
    <col min="14082" max="14083" width="13.140625" style="77" customWidth="1"/>
    <col min="14084" max="14084" width="9.140625" style="77"/>
    <col min="14085" max="14085" width="12.85546875" style="77" customWidth="1"/>
    <col min="14086" max="14086" width="9.140625" style="77"/>
    <col min="14087" max="14087" width="20" style="77" customWidth="1"/>
    <col min="14088" max="14088" width="13.85546875" style="77" bestFit="1" customWidth="1"/>
    <col min="14089" max="14089" width="13.140625" style="77" customWidth="1"/>
    <col min="14090" max="14090" width="11.7109375" style="77" customWidth="1"/>
    <col min="14091" max="14091" width="14.85546875" style="77" customWidth="1"/>
    <col min="14092" max="14092" width="11.42578125" style="77" customWidth="1"/>
    <col min="14093" max="14093" width="14.28515625" style="77" customWidth="1"/>
    <col min="14094" max="14094" width="13.28515625" style="77" customWidth="1"/>
    <col min="14095" max="14095" width="14.85546875" style="77" customWidth="1"/>
    <col min="14096" max="14096" width="16.5703125" style="77" customWidth="1"/>
    <col min="14097" max="14097" width="10.5703125" style="77" customWidth="1"/>
    <col min="14098" max="14332" width="9.140625" style="77"/>
    <col min="14333" max="14333" width="15.28515625" style="77" customWidth="1"/>
    <col min="14334" max="14334" width="7" style="77" customWidth="1"/>
    <col min="14335" max="14335" width="9.140625" style="77"/>
    <col min="14336" max="14336" width="24" style="77" customWidth="1"/>
    <col min="14337" max="14337" width="19.140625" style="77" customWidth="1"/>
    <col min="14338" max="14339" width="13.140625" style="77" customWidth="1"/>
    <col min="14340" max="14340" width="9.140625" style="77"/>
    <col min="14341" max="14341" width="12.85546875" style="77" customWidth="1"/>
    <col min="14342" max="14342" width="9.140625" style="77"/>
    <col min="14343" max="14343" width="20" style="77" customWidth="1"/>
    <col min="14344" max="14344" width="13.85546875" style="77" bestFit="1" customWidth="1"/>
    <col min="14345" max="14345" width="13.140625" style="77" customWidth="1"/>
    <col min="14346" max="14346" width="11.7109375" style="77" customWidth="1"/>
    <col min="14347" max="14347" width="14.85546875" style="77" customWidth="1"/>
    <col min="14348" max="14348" width="11.42578125" style="77" customWidth="1"/>
    <col min="14349" max="14349" width="14.28515625" style="77" customWidth="1"/>
    <col min="14350" max="14350" width="13.28515625" style="77" customWidth="1"/>
    <col min="14351" max="14351" width="14.85546875" style="77" customWidth="1"/>
    <col min="14352" max="14352" width="16.5703125" style="77" customWidth="1"/>
    <col min="14353" max="14353" width="10.5703125" style="77" customWidth="1"/>
    <col min="14354" max="14588" width="9.140625" style="77"/>
    <col min="14589" max="14589" width="15.28515625" style="77" customWidth="1"/>
    <col min="14590" max="14590" width="7" style="77" customWidth="1"/>
    <col min="14591" max="14591" width="9.140625" style="77"/>
    <col min="14592" max="14592" width="24" style="77" customWidth="1"/>
    <col min="14593" max="14593" width="19.140625" style="77" customWidth="1"/>
    <col min="14594" max="14595" width="13.140625" style="77" customWidth="1"/>
    <col min="14596" max="14596" width="9.140625" style="77"/>
    <col min="14597" max="14597" width="12.85546875" style="77" customWidth="1"/>
    <col min="14598" max="14598" width="9.140625" style="77"/>
    <col min="14599" max="14599" width="20" style="77" customWidth="1"/>
    <col min="14600" max="14600" width="13.85546875" style="77" bestFit="1" customWidth="1"/>
    <col min="14601" max="14601" width="13.140625" style="77" customWidth="1"/>
    <col min="14602" max="14602" width="11.7109375" style="77" customWidth="1"/>
    <col min="14603" max="14603" width="14.85546875" style="77" customWidth="1"/>
    <col min="14604" max="14604" width="11.42578125" style="77" customWidth="1"/>
    <col min="14605" max="14605" width="14.28515625" style="77" customWidth="1"/>
    <col min="14606" max="14606" width="13.28515625" style="77" customWidth="1"/>
    <col min="14607" max="14607" width="14.85546875" style="77" customWidth="1"/>
    <col min="14608" max="14608" width="16.5703125" style="77" customWidth="1"/>
    <col min="14609" max="14609" width="10.5703125" style="77" customWidth="1"/>
    <col min="14610" max="14844" width="9.140625" style="77"/>
    <col min="14845" max="14845" width="15.28515625" style="77" customWidth="1"/>
    <col min="14846" max="14846" width="7" style="77" customWidth="1"/>
    <col min="14847" max="14847" width="9.140625" style="77"/>
    <col min="14848" max="14848" width="24" style="77" customWidth="1"/>
    <col min="14849" max="14849" width="19.140625" style="77" customWidth="1"/>
    <col min="14850" max="14851" width="13.140625" style="77" customWidth="1"/>
    <col min="14852" max="14852" width="9.140625" style="77"/>
    <col min="14853" max="14853" width="12.85546875" style="77" customWidth="1"/>
    <col min="14854" max="14854" width="9.140625" style="77"/>
    <col min="14855" max="14855" width="20" style="77" customWidth="1"/>
    <col min="14856" max="14856" width="13.85546875" style="77" bestFit="1" customWidth="1"/>
    <col min="14857" max="14857" width="13.140625" style="77" customWidth="1"/>
    <col min="14858" max="14858" width="11.7109375" style="77" customWidth="1"/>
    <col min="14859" max="14859" width="14.85546875" style="77" customWidth="1"/>
    <col min="14860" max="14860" width="11.42578125" style="77" customWidth="1"/>
    <col min="14861" max="14861" width="14.28515625" style="77" customWidth="1"/>
    <col min="14862" max="14862" width="13.28515625" style="77" customWidth="1"/>
    <col min="14863" max="14863" width="14.85546875" style="77" customWidth="1"/>
    <col min="14864" max="14864" width="16.5703125" style="77" customWidth="1"/>
    <col min="14865" max="14865" width="10.5703125" style="77" customWidth="1"/>
    <col min="14866" max="15100" width="9.140625" style="77"/>
    <col min="15101" max="15101" width="15.28515625" style="77" customWidth="1"/>
    <col min="15102" max="15102" width="7" style="77" customWidth="1"/>
    <col min="15103" max="15103" width="9.140625" style="77"/>
    <col min="15104" max="15104" width="24" style="77" customWidth="1"/>
    <col min="15105" max="15105" width="19.140625" style="77" customWidth="1"/>
    <col min="15106" max="15107" width="13.140625" style="77" customWidth="1"/>
    <col min="15108" max="15108" width="9.140625" style="77"/>
    <col min="15109" max="15109" width="12.85546875" style="77" customWidth="1"/>
    <col min="15110" max="15110" width="9.140625" style="77"/>
    <col min="15111" max="15111" width="20" style="77" customWidth="1"/>
    <col min="15112" max="15112" width="13.85546875" style="77" bestFit="1" customWidth="1"/>
    <col min="15113" max="15113" width="13.140625" style="77" customWidth="1"/>
    <col min="15114" max="15114" width="11.7109375" style="77" customWidth="1"/>
    <col min="15115" max="15115" width="14.85546875" style="77" customWidth="1"/>
    <col min="15116" max="15116" width="11.42578125" style="77" customWidth="1"/>
    <col min="15117" max="15117" width="14.28515625" style="77" customWidth="1"/>
    <col min="15118" max="15118" width="13.28515625" style="77" customWidth="1"/>
    <col min="15119" max="15119" width="14.85546875" style="77" customWidth="1"/>
    <col min="15120" max="15120" width="16.5703125" style="77" customWidth="1"/>
    <col min="15121" max="15121" width="10.5703125" style="77" customWidth="1"/>
    <col min="15122" max="15356" width="9.140625" style="77"/>
    <col min="15357" max="15357" width="15.28515625" style="77" customWidth="1"/>
    <col min="15358" max="15358" width="7" style="77" customWidth="1"/>
    <col min="15359" max="15359" width="9.140625" style="77"/>
    <col min="15360" max="15360" width="24" style="77" customWidth="1"/>
    <col min="15361" max="15361" width="19.140625" style="77" customWidth="1"/>
    <col min="15362" max="15363" width="13.140625" style="77" customWidth="1"/>
    <col min="15364" max="15364" width="9.140625" style="77"/>
    <col min="15365" max="15365" width="12.85546875" style="77" customWidth="1"/>
    <col min="15366" max="15366" width="9.140625" style="77"/>
    <col min="15367" max="15367" width="20" style="77" customWidth="1"/>
    <col min="15368" max="15368" width="13.85546875" style="77" bestFit="1" customWidth="1"/>
    <col min="15369" max="15369" width="13.140625" style="77" customWidth="1"/>
    <col min="15370" max="15370" width="11.7109375" style="77" customWidth="1"/>
    <col min="15371" max="15371" width="14.85546875" style="77" customWidth="1"/>
    <col min="15372" max="15372" width="11.42578125" style="77" customWidth="1"/>
    <col min="15373" max="15373" width="14.28515625" style="77" customWidth="1"/>
    <col min="15374" max="15374" width="13.28515625" style="77" customWidth="1"/>
    <col min="15375" max="15375" width="14.85546875" style="77" customWidth="1"/>
    <col min="15376" max="15376" width="16.5703125" style="77" customWidth="1"/>
    <col min="15377" max="15377" width="10.5703125" style="77" customWidth="1"/>
    <col min="15378" max="15612" width="9.140625" style="77"/>
    <col min="15613" max="15613" width="15.28515625" style="77" customWidth="1"/>
    <col min="15614" max="15614" width="7" style="77" customWidth="1"/>
    <col min="15615" max="15615" width="9.140625" style="77"/>
    <col min="15616" max="15616" width="24" style="77" customWidth="1"/>
    <col min="15617" max="15617" width="19.140625" style="77" customWidth="1"/>
    <col min="15618" max="15619" width="13.140625" style="77" customWidth="1"/>
    <col min="15620" max="15620" width="9.140625" style="77"/>
    <col min="15621" max="15621" width="12.85546875" style="77" customWidth="1"/>
    <col min="15622" max="15622" width="9.140625" style="77"/>
    <col min="15623" max="15623" width="20" style="77" customWidth="1"/>
    <col min="15624" max="15624" width="13.85546875" style="77" bestFit="1" customWidth="1"/>
    <col min="15625" max="15625" width="13.140625" style="77" customWidth="1"/>
    <col min="15626" max="15626" width="11.7109375" style="77" customWidth="1"/>
    <col min="15627" max="15627" width="14.85546875" style="77" customWidth="1"/>
    <col min="15628" max="15628" width="11.42578125" style="77" customWidth="1"/>
    <col min="15629" max="15629" width="14.28515625" style="77" customWidth="1"/>
    <col min="15630" max="15630" width="13.28515625" style="77" customWidth="1"/>
    <col min="15631" max="15631" width="14.85546875" style="77" customWidth="1"/>
    <col min="15632" max="15632" width="16.5703125" style="77" customWidth="1"/>
    <col min="15633" max="15633" width="10.5703125" style="77" customWidth="1"/>
    <col min="15634" max="15868" width="9.140625" style="77"/>
    <col min="15869" max="15869" width="15.28515625" style="77" customWidth="1"/>
    <col min="15870" max="15870" width="7" style="77" customWidth="1"/>
    <col min="15871" max="15871" width="9.140625" style="77"/>
    <col min="15872" max="15872" width="24" style="77" customWidth="1"/>
    <col min="15873" max="15873" width="19.140625" style="77" customWidth="1"/>
    <col min="15874" max="15875" width="13.140625" style="77" customWidth="1"/>
    <col min="15876" max="15876" width="9.140625" style="77"/>
    <col min="15877" max="15877" width="12.85546875" style="77" customWidth="1"/>
    <col min="15878" max="15878" width="9.140625" style="77"/>
    <col min="15879" max="15879" width="20" style="77" customWidth="1"/>
    <col min="15880" max="15880" width="13.85546875" style="77" bestFit="1" customWidth="1"/>
    <col min="15881" max="15881" width="13.140625" style="77" customWidth="1"/>
    <col min="15882" max="15882" width="11.7109375" style="77" customWidth="1"/>
    <col min="15883" max="15883" width="14.85546875" style="77" customWidth="1"/>
    <col min="15884" max="15884" width="11.42578125" style="77" customWidth="1"/>
    <col min="15885" max="15885" width="14.28515625" style="77" customWidth="1"/>
    <col min="15886" max="15886" width="13.28515625" style="77" customWidth="1"/>
    <col min="15887" max="15887" width="14.85546875" style="77" customWidth="1"/>
    <col min="15888" max="15888" width="16.5703125" style="77" customWidth="1"/>
    <col min="15889" max="15889" width="10.5703125" style="77" customWidth="1"/>
    <col min="15890" max="16124" width="9.140625" style="77"/>
    <col min="16125" max="16125" width="15.28515625" style="77" customWidth="1"/>
    <col min="16126" max="16126" width="7" style="77" customWidth="1"/>
    <col min="16127" max="16127" width="9.140625" style="77"/>
    <col min="16128" max="16128" width="24" style="77" customWidth="1"/>
    <col min="16129" max="16129" width="19.140625" style="77" customWidth="1"/>
    <col min="16130" max="16131" width="13.140625" style="77" customWidth="1"/>
    <col min="16132" max="16132" width="9.140625" style="77"/>
    <col min="16133" max="16133" width="12.85546875" style="77" customWidth="1"/>
    <col min="16134" max="16134" width="9.140625" style="77"/>
    <col min="16135" max="16135" width="20" style="77" customWidth="1"/>
    <col min="16136" max="16136" width="13.85546875" style="77" bestFit="1" customWidth="1"/>
    <col min="16137" max="16137" width="13.140625" style="77" customWidth="1"/>
    <col min="16138" max="16138" width="11.7109375" style="77" customWidth="1"/>
    <col min="16139" max="16139" width="14.85546875" style="77" customWidth="1"/>
    <col min="16140" max="16140" width="11.42578125" style="77" customWidth="1"/>
    <col min="16141" max="16141" width="14.28515625" style="77" customWidth="1"/>
    <col min="16142" max="16142" width="13.28515625" style="77" customWidth="1"/>
    <col min="16143" max="16143" width="14.85546875" style="77" customWidth="1"/>
    <col min="16144" max="16144" width="16.5703125" style="77" customWidth="1"/>
    <col min="16145" max="16145" width="10.5703125" style="77" customWidth="1"/>
    <col min="16146" max="16384" width="9.140625" style="77"/>
  </cols>
  <sheetData>
    <row r="1" spans="1:25" x14ac:dyDescent="0.2">
      <c r="A1" s="147" t="s">
        <v>102</v>
      </c>
      <c r="B1" s="76"/>
    </row>
    <row r="2" spans="1:25" x14ac:dyDescent="0.2">
      <c r="A2" s="76" t="s">
        <v>0</v>
      </c>
      <c r="B2" s="76"/>
      <c r="M2" s="97" t="s">
        <v>103</v>
      </c>
      <c r="N2" s="154"/>
      <c r="O2" s="135"/>
      <c r="P2" s="371" t="s">
        <v>104</v>
      </c>
      <c r="Q2" s="135"/>
    </row>
    <row r="3" spans="1:25" x14ac:dyDescent="0.2">
      <c r="A3" s="76" t="s">
        <v>278</v>
      </c>
      <c r="B3" s="76"/>
      <c r="M3" s="97"/>
      <c r="N3" s="154"/>
      <c r="O3" s="135"/>
      <c r="P3" s="155"/>
      <c r="Q3" s="135"/>
    </row>
    <row r="4" spans="1:25" x14ac:dyDescent="0.2">
      <c r="A4" s="347" t="s">
        <v>113</v>
      </c>
      <c r="B4" s="371" t="s">
        <v>279</v>
      </c>
      <c r="M4" s="97" t="s">
        <v>92</v>
      </c>
      <c r="N4" s="97"/>
      <c r="O4" s="135"/>
      <c r="P4" s="188" t="s">
        <v>283</v>
      </c>
      <c r="Q4" s="356"/>
    </row>
    <row r="5" spans="1:25" x14ac:dyDescent="0.2">
      <c r="A5" s="76"/>
      <c r="B5" s="76"/>
    </row>
    <row r="6" spans="1:25" x14ac:dyDescent="0.2">
      <c r="A6" s="76" t="s">
        <v>1</v>
      </c>
      <c r="B6" s="188">
        <v>2011</v>
      </c>
    </row>
    <row r="8" spans="1:25" s="81" customFormat="1" ht="38.25" x14ac:dyDescent="0.2">
      <c r="A8" s="186" t="s">
        <v>4</v>
      </c>
      <c r="B8" s="186" t="s">
        <v>5</v>
      </c>
      <c r="C8" s="186" t="s">
        <v>6</v>
      </c>
      <c r="D8" s="186" t="s">
        <v>7</v>
      </c>
      <c r="E8" s="168" t="s">
        <v>106</v>
      </c>
      <c r="F8" s="186" t="s">
        <v>9</v>
      </c>
      <c r="G8" s="168" t="s">
        <v>107</v>
      </c>
      <c r="H8" s="168" t="s">
        <v>105</v>
      </c>
      <c r="I8" s="186" t="s">
        <v>12</v>
      </c>
      <c r="J8" s="186" t="s">
        <v>13</v>
      </c>
      <c r="K8" s="186" t="s">
        <v>108</v>
      </c>
      <c r="L8" s="186" t="s">
        <v>15</v>
      </c>
      <c r="M8" s="170" t="s">
        <v>111</v>
      </c>
      <c r="N8" s="187" t="s">
        <v>110</v>
      </c>
      <c r="O8" s="187" t="s">
        <v>109</v>
      </c>
      <c r="P8" s="187" t="s">
        <v>112</v>
      </c>
      <c r="Q8" s="168" t="s">
        <v>101</v>
      </c>
      <c r="R8" s="83"/>
      <c r="S8" s="83"/>
      <c r="T8" s="83"/>
      <c r="U8" s="83"/>
      <c r="V8" s="83"/>
      <c r="W8" s="83"/>
      <c r="X8" s="83"/>
      <c r="Y8" s="83"/>
    </row>
    <row r="9" spans="1:25" x14ac:dyDescent="0.2">
      <c r="A9" s="178"/>
      <c r="B9" s="215"/>
      <c r="C9" s="173"/>
      <c r="D9" s="205"/>
      <c r="E9" s="206">
        <v>2012</v>
      </c>
      <c r="F9" s="206">
        <v>15</v>
      </c>
      <c r="G9" s="206">
        <f>+E9+F9-1</f>
        <v>2026</v>
      </c>
      <c r="H9" s="207">
        <f>IF(F9&gt;0,1/F9,0)</f>
        <v>6.6666666666666666E-2</v>
      </c>
      <c r="I9" s="303" t="s">
        <v>280</v>
      </c>
      <c r="J9" s="222">
        <v>200000</v>
      </c>
      <c r="K9" s="209">
        <v>1</v>
      </c>
      <c r="L9" s="375">
        <f>IF(G9&gt;=$B$6,+F9-K9,0)</f>
        <v>14</v>
      </c>
      <c r="M9" s="222">
        <f>+J9*H9</f>
        <v>13333.333333333334</v>
      </c>
      <c r="N9" s="222">
        <f>IF(G9&gt;=$B$6,+M9,0)</f>
        <v>13333.333333333334</v>
      </c>
      <c r="O9" s="222">
        <f>+M9*K9-0.01</f>
        <v>13333.323333333334</v>
      </c>
      <c r="P9" s="376">
        <f>+J9-O9</f>
        <v>186666.67666666667</v>
      </c>
      <c r="Q9" s="206"/>
    </row>
    <row r="10" spans="1:25" x14ac:dyDescent="0.2">
      <c r="A10" s="203"/>
      <c r="B10" s="204"/>
      <c r="C10" s="206"/>
      <c r="D10" s="205"/>
      <c r="E10" s="206"/>
      <c r="F10" s="206"/>
      <c r="G10" s="206"/>
      <c r="H10" s="207"/>
      <c r="I10" s="303"/>
      <c r="J10" s="220">
        <v>0</v>
      </c>
      <c r="K10" s="209">
        <f>IF(+J10&gt;0,IF(+$B$6-E10+1&gt;F10,F10,+$B$6-E10+1),0)</f>
        <v>0</v>
      </c>
      <c r="L10" s="209">
        <f>IF(G10&gt;=$B$6,+F10-K10,0)</f>
        <v>0</v>
      </c>
      <c r="M10" s="220"/>
      <c r="N10" s="220"/>
      <c r="O10" s="220"/>
      <c r="P10" s="189"/>
      <c r="Q10" s="206"/>
    </row>
    <row r="11" spans="1:25" x14ac:dyDescent="0.2">
      <c r="A11" s="203"/>
      <c r="B11" s="204"/>
      <c r="C11" s="206"/>
      <c r="D11" s="205"/>
      <c r="E11" s="206"/>
      <c r="F11" s="206"/>
      <c r="G11" s="206"/>
      <c r="H11" s="207"/>
      <c r="I11" s="303"/>
      <c r="J11" s="220"/>
      <c r="K11" s="209"/>
      <c r="L11" s="209"/>
      <c r="M11" s="220"/>
      <c r="N11" s="220"/>
      <c r="O11" s="220"/>
      <c r="P11" s="220"/>
      <c r="Q11" s="206"/>
    </row>
    <row r="12" spans="1:25" x14ac:dyDescent="0.2">
      <c r="A12" s="203"/>
      <c r="B12" s="204"/>
      <c r="C12" s="206"/>
      <c r="D12" s="205"/>
      <c r="E12" s="206"/>
      <c r="F12" s="206"/>
      <c r="G12" s="206"/>
      <c r="H12" s="206"/>
      <c r="I12" s="273"/>
      <c r="J12" s="220"/>
      <c r="K12" s="209"/>
      <c r="L12" s="203"/>
      <c r="M12" s="220"/>
      <c r="N12" s="220"/>
      <c r="O12" s="220"/>
      <c r="P12" s="220"/>
      <c r="Q12" s="206"/>
    </row>
    <row r="13" spans="1:25" s="81" customFormat="1" x14ac:dyDescent="0.2">
      <c r="A13" s="148" t="s">
        <v>100</v>
      </c>
      <c r="B13" s="149"/>
      <c r="C13" s="212"/>
      <c r="D13" s="212"/>
      <c r="E13" s="212"/>
      <c r="F13" s="212"/>
      <c r="G13" s="212"/>
      <c r="H13" s="212"/>
      <c r="I13" s="82"/>
      <c r="J13" s="223">
        <f>SUM(J9:J12)</f>
        <v>200000</v>
      </c>
      <c r="K13" s="224"/>
      <c r="L13" s="223"/>
      <c r="M13" s="223"/>
      <c r="N13" s="230">
        <f>SUM(N9:N12)</f>
        <v>13333.333333333334</v>
      </c>
      <c r="O13" s="223">
        <f>SUM(O9:O12)</f>
        <v>13333.323333333334</v>
      </c>
      <c r="P13" s="230">
        <f>SUM(P9:P12)</f>
        <v>186666.67666666667</v>
      </c>
      <c r="Q13" s="212"/>
    </row>
    <row r="14" spans="1:25" s="81" customFormat="1" x14ac:dyDescent="0.2">
      <c r="B14" s="93"/>
      <c r="C14" s="92"/>
      <c r="D14" s="92"/>
      <c r="E14" s="92"/>
      <c r="F14" s="92"/>
      <c r="G14" s="92"/>
      <c r="H14" s="92"/>
      <c r="I14" s="83"/>
      <c r="J14" s="225"/>
      <c r="K14" s="226"/>
      <c r="L14" s="225"/>
      <c r="M14" s="225"/>
      <c r="N14" s="225"/>
      <c r="O14" s="225"/>
      <c r="P14" s="225"/>
      <c r="Q14" s="92"/>
    </row>
    <row r="15" spans="1:25" s="81" customFormat="1" x14ac:dyDescent="0.2">
      <c r="A15" s="76"/>
      <c r="B15" s="93"/>
      <c r="C15" s="92"/>
      <c r="D15" s="92"/>
      <c r="E15" s="92"/>
      <c r="F15" s="92"/>
      <c r="G15" s="92"/>
      <c r="H15" s="92"/>
      <c r="J15" s="247"/>
      <c r="K15" s="352"/>
      <c r="L15" s="225"/>
      <c r="M15" s="225"/>
      <c r="N15" s="225"/>
      <c r="O15" s="225">
        <v>0</v>
      </c>
      <c r="P15" s="225"/>
      <c r="Q15" s="92"/>
    </row>
    <row r="16" spans="1:25" s="81" customFormat="1" x14ac:dyDescent="0.2">
      <c r="B16" s="93"/>
      <c r="C16" s="92"/>
      <c r="D16" s="92"/>
      <c r="E16" s="92"/>
      <c r="F16" s="92"/>
      <c r="G16" s="92"/>
      <c r="H16" s="92"/>
      <c r="J16" s="171"/>
      <c r="K16" s="226"/>
      <c r="L16" s="225"/>
      <c r="M16" s="225"/>
      <c r="N16" s="225"/>
      <c r="O16" s="225"/>
      <c r="P16" s="225"/>
      <c r="Q16" s="92"/>
    </row>
    <row r="17" spans="2:17" s="81" customFormat="1" x14ac:dyDescent="0.2">
      <c r="B17" s="93"/>
      <c r="C17" s="92"/>
      <c r="D17" s="92"/>
      <c r="E17" s="92"/>
      <c r="F17" s="92"/>
      <c r="G17" s="92"/>
      <c r="H17" s="92"/>
      <c r="J17" s="171"/>
      <c r="K17" s="226"/>
      <c r="L17" s="225"/>
      <c r="M17" s="225"/>
      <c r="N17" s="225"/>
      <c r="O17" s="225">
        <f>+O13-O15</f>
        <v>13333.323333333334</v>
      </c>
      <c r="P17" s="225"/>
      <c r="Q17" s="92"/>
    </row>
    <row r="18" spans="2:17" s="81" customFormat="1" x14ac:dyDescent="0.2">
      <c r="B18" s="93"/>
      <c r="C18" s="92"/>
      <c r="D18" s="92"/>
      <c r="E18" s="92"/>
      <c r="F18" s="92"/>
      <c r="G18" s="92"/>
      <c r="H18" s="92"/>
      <c r="I18" s="83"/>
      <c r="J18" s="96"/>
      <c r="K18" s="95"/>
      <c r="N18" s="99"/>
      <c r="O18" s="99"/>
      <c r="P18" s="99"/>
      <c r="Q18" s="92"/>
    </row>
    <row r="19" spans="2:17" s="81" customFormat="1" x14ac:dyDescent="0.2">
      <c r="B19" s="93"/>
      <c r="C19" s="92"/>
      <c r="D19" s="92"/>
      <c r="E19" s="92"/>
      <c r="F19" s="92"/>
      <c r="G19" s="92"/>
      <c r="H19" s="92"/>
      <c r="I19" s="83"/>
      <c r="J19" s="96"/>
      <c r="K19" s="95"/>
      <c r="N19" s="99"/>
      <c r="O19" s="353"/>
      <c r="P19" s="99"/>
      <c r="Q19" s="92"/>
    </row>
    <row r="20" spans="2:17" s="81" customFormat="1" x14ac:dyDescent="0.2">
      <c r="B20" s="93"/>
      <c r="C20" s="92"/>
      <c r="D20" s="92"/>
      <c r="E20" s="92"/>
      <c r="F20" s="92"/>
      <c r="G20" s="92"/>
      <c r="H20" s="92"/>
      <c r="I20" s="83"/>
      <c r="J20" s="96"/>
      <c r="K20" s="95"/>
      <c r="N20" s="99"/>
      <c r="O20" s="99"/>
      <c r="P20" s="99"/>
      <c r="Q20" s="92"/>
    </row>
    <row r="21" spans="2:17" s="81" customFormat="1" x14ac:dyDescent="0.2">
      <c r="B21" s="93"/>
      <c r="C21" s="92"/>
      <c r="D21" s="92"/>
      <c r="E21" s="92"/>
      <c r="F21" s="92"/>
      <c r="G21" s="92"/>
      <c r="H21" s="92"/>
      <c r="I21" s="378"/>
      <c r="J21" s="99"/>
      <c r="K21" s="98"/>
      <c r="N21" s="99"/>
      <c r="O21" s="99"/>
      <c r="P21" s="99"/>
      <c r="Q21" s="92"/>
    </row>
    <row r="22" spans="2:17" s="81" customFormat="1" x14ac:dyDescent="0.2">
      <c r="B22" s="93"/>
      <c r="C22" s="92"/>
      <c r="D22" s="92"/>
      <c r="E22" s="92"/>
      <c r="F22" s="92"/>
      <c r="G22" s="92"/>
      <c r="H22" s="92"/>
      <c r="I22" s="83"/>
      <c r="J22" s="96"/>
      <c r="K22" s="95"/>
      <c r="M22" s="139"/>
      <c r="N22" s="201"/>
      <c r="O22" s="201"/>
      <c r="P22" s="201"/>
      <c r="Q22" s="92"/>
    </row>
    <row r="23" spans="2:17" s="81" customFormat="1" x14ac:dyDescent="0.2">
      <c r="B23" s="93"/>
      <c r="C23" s="92"/>
      <c r="D23" s="92"/>
      <c r="E23" s="92"/>
      <c r="F23" s="92"/>
      <c r="G23" s="92"/>
      <c r="H23" s="92"/>
      <c r="I23" s="83"/>
      <c r="J23" s="96"/>
      <c r="K23" s="95"/>
      <c r="M23" s="139"/>
      <c r="N23" s="201"/>
      <c r="O23" s="201"/>
      <c r="P23" s="201"/>
      <c r="Q23" s="92"/>
    </row>
    <row r="24" spans="2:17" x14ac:dyDescent="0.2">
      <c r="J24" s="86"/>
      <c r="K24" s="90"/>
      <c r="M24" s="135"/>
      <c r="N24" s="135"/>
      <c r="O24" s="350"/>
      <c r="P24" s="135"/>
    </row>
    <row r="25" spans="2:17" x14ac:dyDescent="0.2">
      <c r="J25" s="86"/>
      <c r="M25" s="135"/>
      <c r="N25" s="135"/>
      <c r="O25" s="135"/>
      <c r="P25" s="135"/>
    </row>
    <row r="26" spans="2:17" x14ac:dyDescent="0.2">
      <c r="M26" s="135"/>
      <c r="N26" s="198"/>
      <c r="O26" s="199"/>
      <c r="P26" s="135"/>
    </row>
    <row r="27" spans="2:17" x14ac:dyDescent="0.2">
      <c r="M27" s="135"/>
      <c r="N27" s="333"/>
      <c r="O27" s="200"/>
      <c r="P27" s="333"/>
    </row>
    <row r="28" spans="2:17" x14ac:dyDescent="0.2">
      <c r="M28" s="135"/>
      <c r="N28" s="202"/>
      <c r="O28" s="200"/>
      <c r="P28" s="333"/>
    </row>
    <row r="29" spans="2:17" x14ac:dyDescent="0.2">
      <c r="B29" s="79"/>
      <c r="M29" s="135"/>
      <c r="N29" s="333"/>
      <c r="O29" s="200"/>
      <c r="P29" s="333"/>
    </row>
    <row r="30" spans="2:17" x14ac:dyDescent="0.2">
      <c r="M30" s="135"/>
      <c r="N30" s="202"/>
      <c r="O30" s="200"/>
      <c r="P30" s="333"/>
    </row>
    <row r="31" spans="2:17" x14ac:dyDescent="0.2">
      <c r="M31" s="135"/>
      <c r="N31" s="333"/>
      <c r="O31" s="200"/>
      <c r="P31" s="333"/>
    </row>
    <row r="32" spans="2:17" x14ac:dyDescent="0.2">
      <c r="B32" s="79"/>
      <c r="M32" s="135"/>
      <c r="N32" s="202"/>
      <c r="O32" s="202"/>
      <c r="P32" s="333"/>
    </row>
    <row r="33" spans="13:16" x14ac:dyDescent="0.2">
      <c r="M33" s="135"/>
      <c r="N33" s="333"/>
      <c r="O33" s="351"/>
      <c r="P33" s="333"/>
    </row>
    <row r="34" spans="13:16" x14ac:dyDescent="0.2">
      <c r="M34" s="135"/>
      <c r="N34" s="333"/>
      <c r="O34" s="333"/>
      <c r="P34" s="333"/>
    </row>
    <row r="35" spans="13:16" x14ac:dyDescent="0.2">
      <c r="M35" s="135"/>
      <c r="N35" s="333"/>
      <c r="O35" s="333"/>
      <c r="P35" s="333"/>
    </row>
    <row r="36" spans="13:16" x14ac:dyDescent="0.2">
      <c r="M36" s="135"/>
      <c r="N36" s="333"/>
      <c r="O36" s="333"/>
      <c r="P36" s="333"/>
    </row>
    <row r="37" spans="13:16" x14ac:dyDescent="0.2">
      <c r="M37" s="135"/>
      <c r="N37" s="333"/>
      <c r="O37" s="333"/>
      <c r="P37" s="333"/>
    </row>
    <row r="38" spans="13:16" x14ac:dyDescent="0.2">
      <c r="M38" s="135"/>
      <c r="N38" s="135"/>
      <c r="O38" s="135"/>
      <c r="P38" s="135"/>
    </row>
    <row r="39" spans="13:16" x14ac:dyDescent="0.2">
      <c r="M39" s="135"/>
      <c r="N39" s="135"/>
      <c r="O39" s="135"/>
      <c r="P39" s="135"/>
    </row>
  </sheetData>
  <phoneticPr fontId="8" type="noConversion"/>
  <printOptions horizontalCentered="1"/>
  <pageMargins left="0.39370078740157483" right="0.39370078740157483" top="0.39370078740157483" bottom="0.78740157480314965" header="0" footer="0.59055118110236227"/>
  <pageSetup scale="60" orientation="landscape" verticalDpi="300" r:id="rId1"/>
  <headerFooter>
    <oddFooter>&amp;L&amp;"Calibri,Regular"&amp;D&amp;C&amp;"Calibri,Regular"Page &amp;P of &amp;N&amp;R&amp;"Calibri,Regular"&amp;F
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"/>
  <sheetViews>
    <sheetView zoomScale="75" workbookViewId="0">
      <pane xSplit="4" ySplit="6" topLeftCell="L14" activePane="bottomRight" state="frozen"/>
      <selection activeCell="D13" sqref="D13"/>
      <selection pane="topRight" activeCell="D13" sqref="D13"/>
      <selection pane="bottomLeft" activeCell="D13" sqref="D13"/>
      <selection pane="bottomRight" activeCell="S32" sqref="S32"/>
    </sheetView>
  </sheetViews>
  <sheetFormatPr defaultColWidth="9.140625" defaultRowHeight="12.75" x14ac:dyDescent="0.2"/>
  <cols>
    <col min="1" max="2" width="10" style="79" customWidth="1"/>
    <col min="3" max="3" width="9.140625" style="77"/>
    <col min="4" max="4" width="24" style="78" customWidth="1"/>
    <col min="5" max="5" width="12.85546875" style="79" customWidth="1"/>
    <col min="6" max="7" width="13.140625" style="79" customWidth="1"/>
    <col min="8" max="8" width="9.140625" style="79"/>
    <col min="9" max="9" width="12.85546875" style="79" customWidth="1"/>
    <col min="10" max="10" width="9.140625" style="79"/>
    <col min="11" max="11" width="20" style="80" customWidth="1"/>
    <col min="12" max="12" width="13.140625" style="77" customWidth="1"/>
    <col min="13" max="13" width="13.140625" style="79" customWidth="1"/>
    <col min="14" max="14" width="11.7109375" style="77" customWidth="1"/>
    <col min="15" max="15" width="14.85546875" style="77" customWidth="1"/>
    <col min="16" max="16" width="11.42578125" style="79" customWidth="1"/>
    <col min="17" max="17" width="14.85546875" style="77" customWidth="1"/>
    <col min="18" max="18" width="11.42578125" style="79" customWidth="1"/>
    <col min="19" max="19" width="14.85546875" style="77" customWidth="1"/>
    <col min="20" max="20" width="16.5703125" style="77" customWidth="1"/>
    <col min="21" max="21" width="10.5703125" style="79" customWidth="1"/>
    <col min="22" max="16384" width="9.140625" style="77"/>
  </cols>
  <sheetData>
    <row r="1" spans="1:29" x14ac:dyDescent="0.2">
      <c r="A1" s="75" t="s">
        <v>74</v>
      </c>
      <c r="B1" s="76"/>
    </row>
    <row r="2" spans="1:29" x14ac:dyDescent="0.2">
      <c r="A2" s="76" t="s">
        <v>0</v>
      </c>
      <c r="B2" s="76"/>
    </row>
    <row r="3" spans="1:29" x14ac:dyDescent="0.2">
      <c r="A3" s="76"/>
      <c r="B3" s="76"/>
    </row>
    <row r="4" spans="1:29" x14ac:dyDescent="0.2">
      <c r="A4" s="76" t="s">
        <v>1</v>
      </c>
      <c r="B4" s="76"/>
      <c r="C4" s="81">
        <v>2011</v>
      </c>
    </row>
    <row r="6" spans="1:29" s="81" customFormat="1" ht="38.25" x14ac:dyDescent="0.2">
      <c r="A6" s="82" t="s">
        <v>2</v>
      </c>
      <c r="B6" s="82" t="s">
        <v>3</v>
      </c>
      <c r="C6" s="82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82" t="s">
        <v>13</v>
      </c>
      <c r="M6" s="82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  <c r="S6" s="82" t="s">
        <v>20</v>
      </c>
      <c r="T6" s="82" t="s">
        <v>21</v>
      </c>
      <c r="U6" s="82" t="s">
        <v>22</v>
      </c>
      <c r="V6" s="83"/>
      <c r="W6" s="83"/>
      <c r="X6" s="83"/>
      <c r="Y6" s="83"/>
      <c r="Z6" s="83"/>
      <c r="AA6" s="83"/>
      <c r="AB6" s="83"/>
      <c r="AC6" s="83"/>
    </row>
    <row r="7" spans="1:29" ht="25.5" x14ac:dyDescent="0.2">
      <c r="A7" s="79">
        <v>142</v>
      </c>
      <c r="C7" s="77" t="s">
        <v>31</v>
      </c>
      <c r="D7" s="78" t="s">
        <v>32</v>
      </c>
      <c r="F7" s="79">
        <v>930114</v>
      </c>
      <c r="G7" s="79">
        <v>1993</v>
      </c>
      <c r="H7" s="79">
        <v>10</v>
      </c>
      <c r="I7" s="79">
        <f t="shared" ref="I7:I17" si="0">+G7+H7-1</f>
        <v>2002</v>
      </c>
      <c r="J7" s="84">
        <f t="shared" ref="J7:J17" si="1">IF(H7&gt;0,1/H7,0)</f>
        <v>0.1</v>
      </c>
      <c r="K7" s="85" t="s">
        <v>33</v>
      </c>
      <c r="L7" s="86">
        <v>10065</v>
      </c>
      <c r="M7" s="87">
        <f t="shared" ref="M7:M17" si="2">IF(+L7&gt;0,IF(+$C$4-G7+1&gt;H7,H7,+$C$4-G7+1),0)</f>
        <v>10</v>
      </c>
      <c r="N7" s="88">
        <f t="shared" ref="N7:N17" si="3">IF(I7&gt;=$C$4,+H7-M7,0)</f>
        <v>0</v>
      </c>
      <c r="O7" s="86">
        <f t="shared" ref="O7:O16" si="4">+L7*J7</f>
        <v>1006.5</v>
      </c>
      <c r="P7" s="89">
        <v>9074</v>
      </c>
      <c r="Q7" s="86">
        <f t="shared" ref="Q7:Q17" si="5">IF(I7&gt;=$C$4,+O7,0)</f>
        <v>0</v>
      </c>
      <c r="R7" s="87">
        <v>484</v>
      </c>
      <c r="S7" s="86">
        <f t="shared" ref="S7:S17" si="6">+O7*M7</f>
        <v>10065</v>
      </c>
      <c r="T7" s="86">
        <f t="shared" ref="T7:T16" si="7">+L7-S7</f>
        <v>0</v>
      </c>
      <c r="U7" s="79" t="s">
        <v>23</v>
      </c>
    </row>
    <row r="8" spans="1:29" ht="25.5" x14ac:dyDescent="0.2">
      <c r="A8" s="79">
        <v>142</v>
      </c>
      <c r="C8" s="77" t="s">
        <v>34</v>
      </c>
      <c r="D8" s="78" t="s">
        <v>35</v>
      </c>
      <c r="F8" s="79">
        <v>930331</v>
      </c>
      <c r="G8" s="79">
        <v>1993</v>
      </c>
      <c r="H8" s="79">
        <v>10</v>
      </c>
      <c r="I8" s="79">
        <f t="shared" si="0"/>
        <v>2002</v>
      </c>
      <c r="J8" s="84">
        <f t="shared" si="1"/>
        <v>0.1</v>
      </c>
      <c r="K8" s="85" t="s">
        <v>30</v>
      </c>
      <c r="L8" s="86">
        <v>908.03</v>
      </c>
      <c r="M8" s="87">
        <f t="shared" si="2"/>
        <v>10</v>
      </c>
      <c r="N8" s="88">
        <f t="shared" si="3"/>
        <v>0</v>
      </c>
      <c r="O8" s="86">
        <f t="shared" si="4"/>
        <v>90.802999999999997</v>
      </c>
      <c r="P8" s="89">
        <v>9074</v>
      </c>
      <c r="Q8" s="86">
        <f t="shared" si="5"/>
        <v>0</v>
      </c>
      <c r="R8" s="87">
        <v>484</v>
      </c>
      <c r="S8" s="86">
        <f t="shared" si="6"/>
        <v>908.03</v>
      </c>
      <c r="T8" s="86">
        <f t="shared" si="7"/>
        <v>0</v>
      </c>
      <c r="U8" s="79" t="s">
        <v>23</v>
      </c>
    </row>
    <row r="9" spans="1:29" ht="25.5" x14ac:dyDescent="0.2">
      <c r="A9" s="79">
        <v>142</v>
      </c>
      <c r="C9" s="77" t="s">
        <v>36</v>
      </c>
      <c r="D9" s="78" t="s">
        <v>37</v>
      </c>
      <c r="F9" s="79">
        <v>930727</v>
      </c>
      <c r="G9" s="79">
        <v>1993</v>
      </c>
      <c r="H9" s="79">
        <v>10</v>
      </c>
      <c r="I9" s="79">
        <f t="shared" si="0"/>
        <v>2002</v>
      </c>
      <c r="J9" s="84">
        <f t="shared" si="1"/>
        <v>0.1</v>
      </c>
      <c r="K9" s="85" t="s">
        <v>38</v>
      </c>
      <c r="L9" s="86">
        <v>600.16</v>
      </c>
      <c r="M9" s="87">
        <f t="shared" si="2"/>
        <v>10</v>
      </c>
      <c r="N9" s="88">
        <f t="shared" si="3"/>
        <v>0</v>
      </c>
      <c r="O9" s="86">
        <f t="shared" si="4"/>
        <v>60.015999999999998</v>
      </c>
      <c r="P9" s="89">
        <v>9074</v>
      </c>
      <c r="Q9" s="86">
        <f t="shared" si="5"/>
        <v>0</v>
      </c>
      <c r="R9" s="87">
        <v>484</v>
      </c>
      <c r="S9" s="86">
        <f t="shared" si="6"/>
        <v>600.16</v>
      </c>
      <c r="T9" s="86">
        <f t="shared" si="7"/>
        <v>0</v>
      </c>
      <c r="U9" s="79" t="s">
        <v>23</v>
      </c>
    </row>
    <row r="10" spans="1:29" ht="25.5" x14ac:dyDescent="0.2">
      <c r="A10" s="79">
        <v>142</v>
      </c>
      <c r="C10" s="77" t="s">
        <v>39</v>
      </c>
      <c r="D10" s="78" t="s">
        <v>40</v>
      </c>
      <c r="F10" s="79">
        <v>930810</v>
      </c>
      <c r="G10" s="79">
        <v>1993</v>
      </c>
      <c r="H10" s="79">
        <v>10</v>
      </c>
      <c r="I10" s="79">
        <f t="shared" si="0"/>
        <v>2002</v>
      </c>
      <c r="J10" s="84">
        <f t="shared" si="1"/>
        <v>0.1</v>
      </c>
      <c r="K10" s="85" t="s">
        <v>29</v>
      </c>
      <c r="L10" s="86">
        <v>725.63</v>
      </c>
      <c r="M10" s="87">
        <f t="shared" si="2"/>
        <v>10</v>
      </c>
      <c r="N10" s="88">
        <f t="shared" si="3"/>
        <v>0</v>
      </c>
      <c r="O10" s="86">
        <f t="shared" si="4"/>
        <v>72.563000000000002</v>
      </c>
      <c r="P10" s="89">
        <v>9074</v>
      </c>
      <c r="Q10" s="86">
        <f t="shared" si="5"/>
        <v>0</v>
      </c>
      <c r="R10" s="87">
        <v>484</v>
      </c>
      <c r="S10" s="86">
        <f t="shared" si="6"/>
        <v>725.63</v>
      </c>
      <c r="T10" s="86">
        <f t="shared" si="7"/>
        <v>0</v>
      </c>
      <c r="U10" s="79" t="s">
        <v>23</v>
      </c>
    </row>
    <row r="11" spans="1:29" x14ac:dyDescent="0.2">
      <c r="A11" s="79">
        <v>142</v>
      </c>
      <c r="C11" s="77" t="s">
        <v>41</v>
      </c>
      <c r="D11" s="78" t="s">
        <v>42</v>
      </c>
      <c r="F11" s="79">
        <v>930831</v>
      </c>
      <c r="G11" s="79">
        <v>1993</v>
      </c>
      <c r="H11" s="79">
        <v>10</v>
      </c>
      <c r="I11" s="79">
        <f t="shared" si="0"/>
        <v>2002</v>
      </c>
      <c r="J11" s="84">
        <f t="shared" si="1"/>
        <v>0.1</v>
      </c>
      <c r="K11" s="85" t="s">
        <v>30</v>
      </c>
      <c r="L11" s="86">
        <v>257</v>
      </c>
      <c r="M11" s="87">
        <f t="shared" si="2"/>
        <v>10</v>
      </c>
      <c r="N11" s="88">
        <f t="shared" si="3"/>
        <v>0</v>
      </c>
      <c r="O11" s="86">
        <f t="shared" si="4"/>
        <v>25.700000000000003</v>
      </c>
      <c r="P11" s="89">
        <v>9074</v>
      </c>
      <c r="Q11" s="86">
        <f t="shared" si="5"/>
        <v>0</v>
      </c>
      <c r="R11" s="87">
        <v>484</v>
      </c>
      <c r="S11" s="86">
        <f t="shared" si="6"/>
        <v>257</v>
      </c>
      <c r="T11" s="86">
        <f t="shared" si="7"/>
        <v>0</v>
      </c>
      <c r="U11" s="79" t="s">
        <v>23</v>
      </c>
    </row>
    <row r="12" spans="1:29" x14ac:dyDescent="0.2">
      <c r="A12" s="79">
        <v>142</v>
      </c>
      <c r="C12" s="77" t="s">
        <v>43</v>
      </c>
      <c r="D12" s="78" t="s">
        <v>44</v>
      </c>
      <c r="F12" s="79">
        <v>930831</v>
      </c>
      <c r="G12" s="79">
        <v>1993</v>
      </c>
      <c r="H12" s="79">
        <v>10</v>
      </c>
      <c r="I12" s="79">
        <f t="shared" si="0"/>
        <v>2002</v>
      </c>
      <c r="J12" s="84">
        <f t="shared" si="1"/>
        <v>0.1</v>
      </c>
      <c r="K12" s="85" t="s">
        <v>30</v>
      </c>
      <c r="L12" s="86">
        <v>143.83000000000001</v>
      </c>
      <c r="M12" s="87">
        <f t="shared" si="2"/>
        <v>10</v>
      </c>
      <c r="N12" s="88">
        <f t="shared" si="3"/>
        <v>0</v>
      </c>
      <c r="O12" s="86">
        <f t="shared" si="4"/>
        <v>14.383000000000003</v>
      </c>
      <c r="P12" s="89">
        <v>9074</v>
      </c>
      <c r="Q12" s="86">
        <f t="shared" si="5"/>
        <v>0</v>
      </c>
      <c r="R12" s="87">
        <v>484</v>
      </c>
      <c r="S12" s="86">
        <f t="shared" si="6"/>
        <v>143.83000000000004</v>
      </c>
      <c r="T12" s="86">
        <f t="shared" si="7"/>
        <v>0</v>
      </c>
      <c r="U12" s="79" t="s">
        <v>23</v>
      </c>
    </row>
    <row r="13" spans="1:29" ht="25.5" x14ac:dyDescent="0.2">
      <c r="A13" s="79">
        <v>142</v>
      </c>
      <c r="C13" s="77" t="s">
        <v>45</v>
      </c>
      <c r="D13" s="78" t="s">
        <v>46</v>
      </c>
      <c r="F13" s="79">
        <v>940601</v>
      </c>
      <c r="G13" s="79">
        <v>1994</v>
      </c>
      <c r="H13" s="79">
        <v>10</v>
      </c>
      <c r="I13" s="79">
        <f t="shared" si="0"/>
        <v>2003</v>
      </c>
      <c r="J13" s="84">
        <f t="shared" si="1"/>
        <v>0.1</v>
      </c>
      <c r="K13" s="85" t="s">
        <v>47</v>
      </c>
      <c r="L13" s="86">
        <v>1326</v>
      </c>
      <c r="M13" s="87">
        <f t="shared" si="2"/>
        <v>10</v>
      </c>
      <c r="N13" s="88">
        <f t="shared" si="3"/>
        <v>0</v>
      </c>
      <c r="O13" s="86">
        <f t="shared" si="4"/>
        <v>132.6</v>
      </c>
      <c r="P13" s="89">
        <v>9074</v>
      </c>
      <c r="Q13" s="86">
        <f t="shared" si="5"/>
        <v>0</v>
      </c>
      <c r="R13" s="87">
        <v>484</v>
      </c>
      <c r="S13" s="86">
        <f t="shared" si="6"/>
        <v>1326</v>
      </c>
      <c r="T13" s="86">
        <f t="shared" si="7"/>
        <v>0</v>
      </c>
      <c r="U13" s="79" t="s">
        <v>23</v>
      </c>
    </row>
    <row r="14" spans="1:29" ht="25.5" x14ac:dyDescent="0.2">
      <c r="A14" s="79">
        <v>142</v>
      </c>
      <c r="C14" s="77" t="s">
        <v>48</v>
      </c>
      <c r="D14" s="78" t="s">
        <v>49</v>
      </c>
      <c r="F14" s="79">
        <v>950808</v>
      </c>
      <c r="G14" s="79">
        <v>1995</v>
      </c>
      <c r="H14" s="79">
        <v>10</v>
      </c>
      <c r="I14" s="79">
        <f t="shared" si="0"/>
        <v>2004</v>
      </c>
      <c r="J14" s="84">
        <f t="shared" si="1"/>
        <v>0.1</v>
      </c>
      <c r="K14" s="85" t="s">
        <v>50</v>
      </c>
      <c r="L14" s="86">
        <v>1470.96</v>
      </c>
      <c r="M14" s="87">
        <f t="shared" si="2"/>
        <v>10</v>
      </c>
      <c r="N14" s="88">
        <f t="shared" si="3"/>
        <v>0</v>
      </c>
      <c r="O14" s="86">
        <f t="shared" si="4"/>
        <v>147.096</v>
      </c>
      <c r="P14" s="89">
        <v>9074</v>
      </c>
      <c r="Q14" s="86">
        <f t="shared" si="5"/>
        <v>0</v>
      </c>
      <c r="R14" s="87">
        <v>484</v>
      </c>
      <c r="S14" s="86">
        <f t="shared" si="6"/>
        <v>1470.96</v>
      </c>
      <c r="T14" s="86">
        <f t="shared" si="7"/>
        <v>0</v>
      </c>
      <c r="U14" s="79" t="s">
        <v>23</v>
      </c>
    </row>
    <row r="15" spans="1:29" ht="25.5" x14ac:dyDescent="0.2">
      <c r="A15" s="79">
        <v>142</v>
      </c>
      <c r="C15" s="77" t="s">
        <v>51</v>
      </c>
      <c r="D15" s="78" t="s">
        <v>52</v>
      </c>
      <c r="F15" s="79">
        <v>951023</v>
      </c>
      <c r="G15" s="79">
        <v>1995</v>
      </c>
      <c r="H15" s="79">
        <v>10</v>
      </c>
      <c r="I15" s="79">
        <f t="shared" si="0"/>
        <v>2004</v>
      </c>
      <c r="J15" s="84">
        <f t="shared" si="1"/>
        <v>0.1</v>
      </c>
      <c r="K15" s="85" t="s">
        <v>53</v>
      </c>
      <c r="L15" s="86">
        <v>1487.42</v>
      </c>
      <c r="M15" s="87">
        <f t="shared" si="2"/>
        <v>10</v>
      </c>
      <c r="N15" s="88">
        <f t="shared" si="3"/>
        <v>0</v>
      </c>
      <c r="O15" s="86">
        <f t="shared" si="4"/>
        <v>148.74200000000002</v>
      </c>
      <c r="P15" s="89">
        <v>9074</v>
      </c>
      <c r="Q15" s="86">
        <f t="shared" si="5"/>
        <v>0</v>
      </c>
      <c r="R15" s="87">
        <v>484</v>
      </c>
      <c r="S15" s="86">
        <f t="shared" si="6"/>
        <v>1487.42</v>
      </c>
      <c r="T15" s="86">
        <f t="shared" si="7"/>
        <v>0</v>
      </c>
      <c r="U15" s="79" t="s">
        <v>23</v>
      </c>
    </row>
    <row r="16" spans="1:29" ht="25.5" x14ac:dyDescent="0.2">
      <c r="A16" s="79">
        <v>142</v>
      </c>
      <c r="C16" s="77" t="s">
        <v>54</v>
      </c>
      <c r="D16" s="78" t="s">
        <v>55</v>
      </c>
      <c r="F16" s="79">
        <v>960726</v>
      </c>
      <c r="G16" s="79">
        <v>1996</v>
      </c>
      <c r="H16" s="79">
        <v>10</v>
      </c>
      <c r="I16" s="79">
        <f t="shared" si="0"/>
        <v>2005</v>
      </c>
      <c r="J16" s="84">
        <f t="shared" si="1"/>
        <v>0.1</v>
      </c>
      <c r="K16" s="85" t="s">
        <v>56</v>
      </c>
      <c r="L16" s="86">
        <v>2648.76</v>
      </c>
      <c r="M16" s="87">
        <f t="shared" si="2"/>
        <v>10</v>
      </c>
      <c r="N16" s="88">
        <f t="shared" si="3"/>
        <v>0</v>
      </c>
      <c r="O16" s="86">
        <f t="shared" si="4"/>
        <v>264.87600000000003</v>
      </c>
      <c r="P16" s="89">
        <v>9074</v>
      </c>
      <c r="Q16" s="86">
        <f t="shared" si="5"/>
        <v>0</v>
      </c>
      <c r="R16" s="87">
        <v>484</v>
      </c>
      <c r="S16" s="86">
        <f t="shared" si="6"/>
        <v>2648.76</v>
      </c>
      <c r="T16" s="86">
        <f t="shared" si="7"/>
        <v>0</v>
      </c>
      <c r="U16" s="79" t="s">
        <v>23</v>
      </c>
    </row>
    <row r="17" spans="1:21" x14ac:dyDescent="0.2">
      <c r="A17" s="77" t="s">
        <v>91</v>
      </c>
      <c r="D17" s="78" t="s">
        <v>57</v>
      </c>
      <c r="F17" s="79" t="s">
        <v>25</v>
      </c>
      <c r="G17" s="79">
        <v>2000</v>
      </c>
      <c r="H17" s="79">
        <v>7</v>
      </c>
      <c r="I17" s="79">
        <f t="shared" si="0"/>
        <v>2006</v>
      </c>
      <c r="J17" s="84">
        <f t="shared" si="1"/>
        <v>0.14285714285714285</v>
      </c>
      <c r="K17" s="85"/>
      <c r="L17" s="86">
        <v>1647</v>
      </c>
      <c r="M17" s="87">
        <f t="shared" si="2"/>
        <v>7</v>
      </c>
      <c r="N17" s="88">
        <f t="shared" si="3"/>
        <v>0</v>
      </c>
      <c r="O17" s="86">
        <f>+L17*J17</f>
        <v>235.28571428571428</v>
      </c>
      <c r="P17" s="89">
        <v>9074</v>
      </c>
      <c r="Q17" s="86">
        <f t="shared" si="5"/>
        <v>0</v>
      </c>
      <c r="R17" s="87" t="s">
        <v>89</v>
      </c>
      <c r="S17" s="86">
        <f t="shared" si="6"/>
        <v>1647</v>
      </c>
      <c r="T17" s="86">
        <f>+L17-S17</f>
        <v>0</v>
      </c>
      <c r="U17" s="79">
        <v>2006</v>
      </c>
    </row>
    <row r="18" spans="1:21" ht="25.5" x14ac:dyDescent="0.2">
      <c r="A18" s="111"/>
      <c r="B18" s="111"/>
      <c r="C18" s="112"/>
      <c r="D18" s="113" t="s">
        <v>98</v>
      </c>
      <c r="E18" s="111"/>
      <c r="F18" s="111"/>
      <c r="G18" s="111">
        <v>2007</v>
      </c>
      <c r="H18" s="111"/>
      <c r="I18" s="111"/>
      <c r="J18" s="111"/>
      <c r="K18" s="124"/>
      <c r="L18" s="116">
        <v>-1647</v>
      </c>
      <c r="M18" s="125"/>
      <c r="N18" s="112"/>
      <c r="O18" s="112"/>
      <c r="P18" s="126"/>
      <c r="Q18" s="112"/>
      <c r="R18" s="111"/>
      <c r="S18" s="116">
        <v>-1647</v>
      </c>
      <c r="T18" s="112"/>
    </row>
    <row r="19" spans="1:21" x14ac:dyDescent="0.2">
      <c r="A19" s="111"/>
      <c r="B19" s="111"/>
      <c r="C19" s="112"/>
      <c r="D19" s="113"/>
      <c r="E19" s="111"/>
      <c r="F19" s="111"/>
      <c r="G19" s="111"/>
      <c r="H19" s="111"/>
      <c r="I19" s="111"/>
      <c r="J19" s="111"/>
      <c r="K19" s="124"/>
      <c r="L19" s="116"/>
      <c r="M19" s="125"/>
      <c r="N19" s="112"/>
      <c r="O19" s="112"/>
      <c r="P19" s="126"/>
      <c r="Q19" s="112"/>
      <c r="R19" s="111"/>
      <c r="S19" s="116"/>
      <c r="T19" s="112"/>
    </row>
    <row r="20" spans="1:21" x14ac:dyDescent="0.2">
      <c r="A20" s="111"/>
      <c r="B20" s="111"/>
      <c r="C20" s="112"/>
      <c r="D20" s="113"/>
      <c r="E20" s="111"/>
      <c r="F20" s="111"/>
      <c r="G20" s="111"/>
      <c r="H20" s="111"/>
      <c r="I20" s="111"/>
      <c r="J20" s="111"/>
      <c r="K20" s="124"/>
      <c r="L20" s="116"/>
      <c r="M20" s="125"/>
      <c r="N20" s="112"/>
      <c r="O20" s="112"/>
      <c r="P20" s="126"/>
      <c r="Q20" s="112"/>
      <c r="R20" s="111"/>
      <c r="S20" s="116"/>
      <c r="T20" s="112"/>
    </row>
    <row r="21" spans="1:21" x14ac:dyDescent="0.2">
      <c r="A21" s="111"/>
      <c r="B21" s="111"/>
      <c r="C21" s="112"/>
      <c r="D21" s="113"/>
      <c r="E21" s="111"/>
      <c r="F21" s="111"/>
      <c r="G21" s="111"/>
      <c r="H21" s="111"/>
      <c r="I21" s="111"/>
      <c r="J21" s="111"/>
      <c r="K21" s="124"/>
      <c r="L21" s="116"/>
      <c r="M21" s="125"/>
      <c r="N21" s="112"/>
      <c r="O21" s="112"/>
      <c r="P21" s="126"/>
      <c r="Q21" s="112"/>
      <c r="R21" s="111"/>
      <c r="S21" s="116"/>
      <c r="T21" s="112"/>
    </row>
    <row r="22" spans="1:21" x14ac:dyDescent="0.2">
      <c r="A22" s="111"/>
      <c r="B22" s="111"/>
      <c r="C22" s="112"/>
      <c r="D22" s="113"/>
      <c r="E22" s="111"/>
      <c r="F22" s="111"/>
      <c r="G22" s="111"/>
      <c r="H22" s="111"/>
      <c r="I22" s="111"/>
      <c r="J22" s="111"/>
      <c r="K22" s="124"/>
      <c r="L22" s="116"/>
      <c r="M22" s="125"/>
      <c r="N22" s="112"/>
      <c r="O22" s="112"/>
      <c r="P22" s="126"/>
      <c r="Q22" s="112"/>
      <c r="R22" s="111"/>
      <c r="S22" s="116"/>
      <c r="T22" s="112"/>
    </row>
    <row r="23" spans="1:21" s="81" customFormat="1" x14ac:dyDescent="0.2">
      <c r="A23" s="92" t="s">
        <v>26</v>
      </c>
      <c r="B23" s="92"/>
      <c r="D23" s="93"/>
      <c r="E23" s="92"/>
      <c r="F23" s="92"/>
      <c r="G23" s="92"/>
      <c r="H23" s="92"/>
      <c r="I23" s="92"/>
      <c r="J23" s="92"/>
      <c r="K23" s="83"/>
      <c r="L23" s="96">
        <f>SUM(L7:L22)</f>
        <v>19632.79</v>
      </c>
      <c r="M23" s="95"/>
      <c r="P23" s="91"/>
      <c r="Q23" s="94">
        <f>SUM(Q7:Q22)</f>
        <v>0</v>
      </c>
      <c r="R23" s="95"/>
      <c r="S23" s="94">
        <f>SUM(S7:S22)</f>
        <v>19632.79</v>
      </c>
      <c r="T23" s="96">
        <f>+L23-S23</f>
        <v>0</v>
      </c>
      <c r="U23" s="92"/>
    </row>
    <row r="24" spans="1:21" s="81" customFormat="1" x14ac:dyDescent="0.2">
      <c r="A24" s="92"/>
      <c r="B24" s="92"/>
      <c r="D24" s="93"/>
      <c r="E24" s="92"/>
      <c r="F24" s="92"/>
      <c r="G24" s="92"/>
      <c r="H24" s="92"/>
      <c r="I24" s="92"/>
      <c r="J24" s="92"/>
      <c r="K24" s="83"/>
      <c r="L24" s="96"/>
      <c r="M24" s="95"/>
      <c r="P24" s="91"/>
      <c r="R24" s="92"/>
      <c r="U24" s="92"/>
    </row>
    <row r="25" spans="1:21" s="81" customFormat="1" x14ac:dyDescent="0.2">
      <c r="A25" s="81" t="s">
        <v>91</v>
      </c>
      <c r="B25" s="92"/>
      <c r="D25" s="93" t="s">
        <v>58</v>
      </c>
      <c r="E25" s="92"/>
      <c r="F25" s="92"/>
      <c r="G25" s="92"/>
      <c r="H25" s="92"/>
      <c r="I25" s="92"/>
      <c r="J25" s="92"/>
      <c r="K25" s="83"/>
      <c r="L25" s="96">
        <v>19632.79</v>
      </c>
      <c r="M25" s="95"/>
      <c r="P25" s="91"/>
      <c r="Q25" s="96">
        <v>0</v>
      </c>
      <c r="R25" s="95" t="s">
        <v>95</v>
      </c>
      <c r="S25" s="96">
        <f>20970.99-1647+308.8</f>
        <v>19632.79</v>
      </c>
      <c r="T25" s="96">
        <f>+L25-S25</f>
        <v>0</v>
      </c>
      <c r="U25" s="92"/>
    </row>
    <row r="26" spans="1:21" s="81" customFormat="1" x14ac:dyDescent="0.2">
      <c r="A26" s="92"/>
      <c r="B26" s="92"/>
      <c r="D26" s="93"/>
      <c r="E26" s="92"/>
      <c r="F26" s="92"/>
      <c r="G26" s="92"/>
      <c r="H26" s="92"/>
      <c r="I26" s="92"/>
      <c r="J26" s="92"/>
      <c r="K26" s="83"/>
      <c r="L26" s="96"/>
      <c r="M26" s="95"/>
      <c r="P26" s="91"/>
      <c r="R26" s="92"/>
      <c r="U26" s="92"/>
    </row>
    <row r="27" spans="1:21" s="81" customFormat="1" x14ac:dyDescent="0.2">
      <c r="A27" s="92" t="s">
        <v>27</v>
      </c>
      <c r="B27" s="92"/>
      <c r="D27" s="93"/>
      <c r="E27" s="92"/>
      <c r="F27" s="92"/>
      <c r="G27" s="92"/>
      <c r="H27" s="92"/>
      <c r="I27" s="92"/>
      <c r="J27" s="92"/>
      <c r="K27" s="83"/>
      <c r="L27" s="96">
        <f>+L23-L25</f>
        <v>0</v>
      </c>
      <c r="M27" s="95"/>
      <c r="P27" s="91"/>
      <c r="Q27" s="96">
        <f>+Q23-Q25</f>
        <v>0</v>
      </c>
      <c r="R27" s="95"/>
      <c r="S27" s="96">
        <f>+S23-S25</f>
        <v>0</v>
      </c>
      <c r="T27" s="96">
        <f>+T23-T25</f>
        <v>0</v>
      </c>
      <c r="U27" s="92"/>
    </row>
    <row r="28" spans="1:21" x14ac:dyDescent="0.2">
      <c r="L28" s="86"/>
      <c r="M28" s="90"/>
      <c r="P28" s="89"/>
    </row>
    <row r="31" spans="1:21" x14ac:dyDescent="0.2">
      <c r="Q31" s="101" t="s">
        <v>85</v>
      </c>
      <c r="R31" s="77"/>
      <c r="S31" s="102" t="s">
        <v>84</v>
      </c>
    </row>
    <row r="32" spans="1:21" x14ac:dyDescent="0.2">
      <c r="Q32" s="104" t="s">
        <v>24</v>
      </c>
      <c r="R32" s="105"/>
      <c r="S32" s="106"/>
      <c r="T32" s="104"/>
    </row>
    <row r="33" spans="17:20" x14ac:dyDescent="0.2">
      <c r="Q33" s="107">
        <f>+S33</f>
        <v>0</v>
      </c>
      <c r="R33" s="108"/>
      <c r="S33" s="106">
        <f>+Q25</f>
        <v>0</v>
      </c>
      <c r="T33" s="104"/>
    </row>
    <row r="34" spans="17:20" x14ac:dyDescent="0.2">
      <c r="Q34" s="104" t="s">
        <v>24</v>
      </c>
      <c r="R34" s="105"/>
      <c r="S34" s="106">
        <f>SUM(S32:S33)</f>
        <v>0</v>
      </c>
      <c r="T34" s="104"/>
    </row>
    <row r="35" spans="17:20" x14ac:dyDescent="0.2">
      <c r="Q35" s="107">
        <f>+S35</f>
        <v>0</v>
      </c>
      <c r="R35" s="105" t="s">
        <v>83</v>
      </c>
      <c r="S35" s="106">
        <f>+Q25-S33</f>
        <v>0</v>
      </c>
      <c r="T35" s="104"/>
    </row>
    <row r="36" spans="17:20" x14ac:dyDescent="0.2">
      <c r="Q36" s="104"/>
      <c r="R36" s="105"/>
      <c r="S36" s="106"/>
      <c r="T36" s="104"/>
    </row>
    <row r="37" spans="17:20" x14ac:dyDescent="0.2">
      <c r="Q37" s="128">
        <f>SUM(Q33:Q35)</f>
        <v>0</v>
      </c>
      <c r="R37" s="129"/>
      <c r="S37" s="130">
        <f>SUM(S34:S35)</f>
        <v>0</v>
      </c>
      <c r="T37" s="104"/>
    </row>
    <row r="38" spans="17:20" x14ac:dyDescent="0.2">
      <c r="Q38" s="104"/>
      <c r="R38" s="103"/>
      <c r="S38" s="104"/>
      <c r="T38" s="104"/>
    </row>
    <row r="39" spans="17:20" x14ac:dyDescent="0.2">
      <c r="Q39" s="104"/>
      <c r="R39" s="103"/>
      <c r="S39" s="104"/>
      <c r="T39" s="104"/>
    </row>
  </sheetData>
  <phoneticPr fontId="0" type="noConversion"/>
  <printOptions horizontalCentered="1" verticalCentered="1" gridLines="1"/>
  <pageMargins left="0.25" right="0.2" top="0.11" bottom="0.14000000000000001" header="0.32" footer="0.33"/>
  <pageSetup scale="49" orientation="landscape" r:id="rId1"/>
  <headerFooter alignWithMargins="0">
    <oddFooter>&amp;L&amp;F &amp;A&amp;C&amp;P&amp;R&amp;D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zoomScale="75" workbookViewId="0">
      <pane xSplit="4" ySplit="6" topLeftCell="I7" activePane="bottomRight" state="frozen"/>
      <selection activeCell="D13" sqref="D13"/>
      <selection pane="topRight" activeCell="D13" sqref="D13"/>
      <selection pane="bottomLeft" activeCell="D13" sqref="D13"/>
      <selection pane="bottomRight" activeCell="C5" sqref="C5"/>
    </sheetView>
  </sheetViews>
  <sheetFormatPr defaultColWidth="9.140625" defaultRowHeight="12.75" x14ac:dyDescent="0.2"/>
  <cols>
    <col min="1" max="2" width="10" style="79" customWidth="1"/>
    <col min="3" max="3" width="9.140625" style="77"/>
    <col min="4" max="4" width="24" style="78" customWidth="1"/>
    <col min="5" max="5" width="12.85546875" style="79" customWidth="1"/>
    <col min="6" max="7" width="13.140625" style="79" customWidth="1"/>
    <col min="8" max="8" width="9.140625" style="79"/>
    <col min="9" max="9" width="12.85546875" style="79" customWidth="1"/>
    <col min="10" max="10" width="9.140625" style="79"/>
    <col min="11" max="11" width="20" style="80" customWidth="1"/>
    <col min="12" max="12" width="13.140625" style="77" customWidth="1"/>
    <col min="13" max="13" width="13.140625" style="79" customWidth="1"/>
    <col min="14" max="14" width="11.7109375" style="77" customWidth="1"/>
    <col min="15" max="15" width="14.85546875" style="77" customWidth="1"/>
    <col min="16" max="16" width="11.42578125" style="79" customWidth="1"/>
    <col min="17" max="17" width="14.85546875" style="77" customWidth="1"/>
    <col min="18" max="18" width="16.7109375" style="79" bestFit="1" customWidth="1"/>
    <col min="19" max="19" width="14.85546875" style="77" customWidth="1"/>
    <col min="20" max="20" width="16.5703125" style="77" customWidth="1"/>
    <col min="21" max="21" width="10.5703125" style="79" customWidth="1"/>
    <col min="22" max="16384" width="9.140625" style="77"/>
  </cols>
  <sheetData>
    <row r="1" spans="1:29" x14ac:dyDescent="0.2">
      <c r="A1" s="75" t="s">
        <v>74</v>
      </c>
      <c r="B1" s="76"/>
    </row>
    <row r="2" spans="1:29" x14ac:dyDescent="0.2">
      <c r="A2" s="76" t="s">
        <v>0</v>
      </c>
      <c r="B2" s="76"/>
    </row>
    <row r="3" spans="1:29" x14ac:dyDescent="0.2">
      <c r="A3" s="76"/>
      <c r="B3" s="76"/>
    </row>
    <row r="4" spans="1:29" x14ac:dyDescent="0.2">
      <c r="A4" s="76" t="s">
        <v>1</v>
      </c>
      <c r="B4" s="76"/>
      <c r="C4" s="81">
        <v>2011</v>
      </c>
    </row>
    <row r="6" spans="1:29" s="81" customFormat="1" ht="38.25" x14ac:dyDescent="0.2">
      <c r="A6" s="82" t="s">
        <v>2</v>
      </c>
      <c r="B6" s="82" t="s">
        <v>3</v>
      </c>
      <c r="C6" s="82" t="s">
        <v>4</v>
      </c>
      <c r="D6" s="82" t="s">
        <v>5</v>
      </c>
      <c r="E6" s="82" t="s">
        <v>6</v>
      </c>
      <c r="F6" s="82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2" t="s">
        <v>12</v>
      </c>
      <c r="L6" s="82" t="s">
        <v>13</v>
      </c>
      <c r="M6" s="82" t="s">
        <v>14</v>
      </c>
      <c r="N6" s="82" t="s">
        <v>15</v>
      </c>
      <c r="O6" s="82" t="s">
        <v>16</v>
      </c>
      <c r="P6" s="82" t="s">
        <v>17</v>
      </c>
      <c r="Q6" s="82" t="s">
        <v>18</v>
      </c>
      <c r="R6" s="82" t="s">
        <v>19</v>
      </c>
      <c r="S6" s="82" t="s">
        <v>20</v>
      </c>
      <c r="T6" s="82" t="s">
        <v>21</v>
      </c>
      <c r="U6" s="82" t="s">
        <v>22</v>
      </c>
      <c r="V6" s="83"/>
      <c r="W6" s="83"/>
      <c r="X6" s="83"/>
      <c r="Y6" s="83"/>
      <c r="Z6" s="83"/>
      <c r="AA6" s="83"/>
      <c r="AB6" s="83"/>
      <c r="AC6" s="83"/>
    </row>
    <row r="7" spans="1:29" ht="25.5" x14ac:dyDescent="0.2">
      <c r="A7" s="79">
        <v>151</v>
      </c>
      <c r="C7" s="77" t="s">
        <v>59</v>
      </c>
      <c r="D7" s="78" t="s">
        <v>60</v>
      </c>
      <c r="E7" s="79" t="s">
        <v>23</v>
      </c>
      <c r="F7" s="79">
        <v>931231</v>
      </c>
      <c r="G7" s="79">
        <v>1993</v>
      </c>
      <c r="H7" s="79">
        <v>10</v>
      </c>
      <c r="I7" s="79">
        <f t="shared" ref="I7:I13" si="0">+G7+H7-1</f>
        <v>2002</v>
      </c>
      <c r="J7" s="84">
        <f t="shared" ref="J7:J13" si="1">IF(H7&gt;0,1/H7,0)</f>
        <v>0.1</v>
      </c>
      <c r="K7" s="85" t="s">
        <v>23</v>
      </c>
      <c r="L7" s="86">
        <v>8593.01</v>
      </c>
      <c r="M7" s="87">
        <f t="shared" ref="M7:M13" si="2">IF(+L7&gt;0,IF(+$C$4-G7+1&gt;H7,H7,+$C$4-G7+1),0)</f>
        <v>10</v>
      </c>
      <c r="N7" s="88">
        <f t="shared" ref="N7:N13" si="3">IF(I7&gt;=$C$4,+H7-M7,0)</f>
        <v>0</v>
      </c>
      <c r="O7" s="86">
        <f t="shared" ref="O7:O13" si="4">+L7*J7</f>
        <v>859.30100000000004</v>
      </c>
      <c r="P7" s="89">
        <v>9138</v>
      </c>
      <c r="Q7" s="86">
        <f t="shared" ref="Q7:Q13" si="5">IF(I7&gt;=$C$4,+O7,0)</f>
        <v>0</v>
      </c>
      <c r="R7" s="87">
        <v>486</v>
      </c>
      <c r="S7" s="86">
        <f t="shared" ref="S7:S13" si="6">+O7*M7</f>
        <v>8593.01</v>
      </c>
      <c r="T7" s="86">
        <f t="shared" ref="T7:T13" si="7">+L7-S7</f>
        <v>0</v>
      </c>
      <c r="U7" s="79" t="s">
        <v>23</v>
      </c>
    </row>
    <row r="8" spans="1:29" ht="25.5" x14ac:dyDescent="0.2">
      <c r="A8" s="79">
        <v>151</v>
      </c>
      <c r="C8" s="77" t="s">
        <v>61</v>
      </c>
      <c r="D8" s="78" t="s">
        <v>60</v>
      </c>
      <c r="E8" s="79" t="s">
        <v>23</v>
      </c>
      <c r="F8" s="79">
        <v>941231</v>
      </c>
      <c r="G8" s="79">
        <v>1994</v>
      </c>
      <c r="H8" s="79">
        <v>10</v>
      </c>
      <c r="I8" s="79">
        <f t="shared" si="0"/>
        <v>2003</v>
      </c>
      <c r="J8" s="84">
        <f t="shared" si="1"/>
        <v>0.1</v>
      </c>
      <c r="K8" s="85" t="s">
        <v>23</v>
      </c>
      <c r="L8" s="86">
        <v>64016.45</v>
      </c>
      <c r="M8" s="87">
        <f t="shared" si="2"/>
        <v>10</v>
      </c>
      <c r="N8" s="88">
        <f t="shared" si="3"/>
        <v>0</v>
      </c>
      <c r="O8" s="86">
        <f t="shared" si="4"/>
        <v>6401.6450000000004</v>
      </c>
      <c r="P8" s="89"/>
      <c r="Q8" s="86">
        <f t="shared" si="5"/>
        <v>0</v>
      </c>
      <c r="R8" s="87"/>
      <c r="S8" s="86">
        <f t="shared" si="6"/>
        <v>64016.450000000004</v>
      </c>
      <c r="T8" s="86">
        <f t="shared" si="7"/>
        <v>0</v>
      </c>
      <c r="U8" s="79" t="s">
        <v>23</v>
      </c>
    </row>
    <row r="9" spans="1:29" ht="25.5" x14ac:dyDescent="0.2">
      <c r="A9" s="79">
        <v>151</v>
      </c>
      <c r="C9" s="77" t="s">
        <v>62</v>
      </c>
      <c r="D9" s="78" t="s">
        <v>60</v>
      </c>
      <c r="E9" s="79" t="s">
        <v>23</v>
      </c>
      <c r="F9" s="79">
        <v>951231</v>
      </c>
      <c r="G9" s="79">
        <v>1995</v>
      </c>
      <c r="H9" s="79">
        <v>10</v>
      </c>
      <c r="I9" s="79">
        <f t="shared" si="0"/>
        <v>2004</v>
      </c>
      <c r="J9" s="84">
        <f t="shared" si="1"/>
        <v>0.1</v>
      </c>
      <c r="K9" s="85" t="s">
        <v>23</v>
      </c>
      <c r="L9" s="86">
        <v>71278.41</v>
      </c>
      <c r="M9" s="87">
        <f t="shared" si="2"/>
        <v>10</v>
      </c>
      <c r="N9" s="88">
        <f t="shared" si="3"/>
        <v>0</v>
      </c>
      <c r="O9" s="86">
        <f t="shared" si="4"/>
        <v>7127.8410000000003</v>
      </c>
      <c r="P9" s="89"/>
      <c r="Q9" s="86">
        <f t="shared" si="5"/>
        <v>0</v>
      </c>
      <c r="R9" s="87"/>
      <c r="S9" s="86">
        <f t="shared" si="6"/>
        <v>71278.41</v>
      </c>
      <c r="T9" s="86">
        <f t="shared" si="7"/>
        <v>0</v>
      </c>
      <c r="U9" s="79" t="s">
        <v>23</v>
      </c>
    </row>
    <row r="10" spans="1:29" ht="25.5" x14ac:dyDescent="0.2">
      <c r="A10" s="79">
        <v>151</v>
      </c>
      <c r="C10" s="77" t="s">
        <v>63</v>
      </c>
      <c r="D10" s="78" t="s">
        <v>60</v>
      </c>
      <c r="E10" s="79" t="s">
        <v>23</v>
      </c>
      <c r="F10" s="79">
        <v>961231</v>
      </c>
      <c r="G10" s="79">
        <v>1996</v>
      </c>
      <c r="H10" s="79">
        <v>10</v>
      </c>
      <c r="I10" s="79">
        <f t="shared" si="0"/>
        <v>2005</v>
      </c>
      <c r="J10" s="84">
        <f t="shared" si="1"/>
        <v>0.1</v>
      </c>
      <c r="K10" s="85" t="s">
        <v>23</v>
      </c>
      <c r="L10" s="86">
        <v>22073.919999999998</v>
      </c>
      <c r="M10" s="87">
        <f t="shared" si="2"/>
        <v>10</v>
      </c>
      <c r="N10" s="88">
        <f t="shared" si="3"/>
        <v>0</v>
      </c>
      <c r="O10" s="86">
        <f t="shared" si="4"/>
        <v>2207.3919999999998</v>
      </c>
      <c r="P10" s="89"/>
      <c r="Q10" s="86">
        <f t="shared" si="5"/>
        <v>0</v>
      </c>
      <c r="R10" s="87"/>
      <c r="S10" s="86">
        <f t="shared" si="6"/>
        <v>22073.919999999998</v>
      </c>
      <c r="T10" s="86">
        <f t="shared" si="7"/>
        <v>0</v>
      </c>
      <c r="U10" s="79" t="s">
        <v>23</v>
      </c>
    </row>
    <row r="11" spans="1:29" ht="25.5" x14ac:dyDescent="0.2">
      <c r="A11" s="79">
        <v>151</v>
      </c>
      <c r="C11" s="77" t="s">
        <v>64</v>
      </c>
      <c r="D11" s="78" t="s">
        <v>60</v>
      </c>
      <c r="E11" s="79" t="s">
        <v>23</v>
      </c>
      <c r="F11" s="79">
        <v>971231</v>
      </c>
      <c r="G11" s="79">
        <v>1997</v>
      </c>
      <c r="H11" s="79">
        <v>10</v>
      </c>
      <c r="I11" s="79">
        <f t="shared" si="0"/>
        <v>2006</v>
      </c>
      <c r="J11" s="84">
        <f t="shared" si="1"/>
        <v>0.1</v>
      </c>
      <c r="K11" s="85" t="s">
        <v>23</v>
      </c>
      <c r="L11" s="86">
        <v>10481.83</v>
      </c>
      <c r="M11" s="87">
        <f t="shared" si="2"/>
        <v>10</v>
      </c>
      <c r="N11" s="88">
        <f t="shared" si="3"/>
        <v>0</v>
      </c>
      <c r="O11" s="86">
        <f t="shared" si="4"/>
        <v>1048.183</v>
      </c>
      <c r="P11" s="89"/>
      <c r="Q11" s="86">
        <f>IF(I11&gt;=$C$4,+O11,0)</f>
        <v>0</v>
      </c>
      <c r="R11" s="87" t="s">
        <v>90</v>
      </c>
      <c r="S11" s="86">
        <f t="shared" si="6"/>
        <v>10481.83</v>
      </c>
      <c r="T11" s="86">
        <f t="shared" si="7"/>
        <v>0</v>
      </c>
      <c r="U11" s="79" t="s">
        <v>23</v>
      </c>
    </row>
    <row r="12" spans="1:29" x14ac:dyDescent="0.2">
      <c r="I12" s="79">
        <f t="shared" si="0"/>
        <v>-1</v>
      </c>
      <c r="J12" s="84">
        <f t="shared" si="1"/>
        <v>0</v>
      </c>
      <c r="K12" s="85"/>
      <c r="L12" s="86"/>
      <c r="M12" s="87">
        <f t="shared" si="2"/>
        <v>0</v>
      </c>
      <c r="N12" s="88">
        <f t="shared" si="3"/>
        <v>0</v>
      </c>
      <c r="O12" s="86">
        <f t="shared" si="4"/>
        <v>0</v>
      </c>
      <c r="P12" s="89"/>
      <c r="Q12" s="86">
        <f t="shared" si="5"/>
        <v>0</v>
      </c>
      <c r="R12" s="87"/>
      <c r="S12" s="86">
        <f t="shared" si="6"/>
        <v>0</v>
      </c>
      <c r="T12" s="86">
        <f t="shared" si="7"/>
        <v>0</v>
      </c>
      <c r="U12" s="79" t="s">
        <v>23</v>
      </c>
    </row>
    <row r="13" spans="1:29" x14ac:dyDescent="0.2">
      <c r="I13" s="79">
        <f t="shared" si="0"/>
        <v>-1</v>
      </c>
      <c r="J13" s="84">
        <f t="shared" si="1"/>
        <v>0</v>
      </c>
      <c r="K13" s="85"/>
      <c r="L13" s="86"/>
      <c r="M13" s="87">
        <f t="shared" si="2"/>
        <v>0</v>
      </c>
      <c r="N13" s="88">
        <f t="shared" si="3"/>
        <v>0</v>
      </c>
      <c r="O13" s="86">
        <f t="shared" si="4"/>
        <v>0</v>
      </c>
      <c r="P13" s="89"/>
      <c r="Q13" s="86">
        <f t="shared" si="5"/>
        <v>0</v>
      </c>
      <c r="R13" s="87"/>
      <c r="S13" s="86">
        <f t="shared" si="6"/>
        <v>0</v>
      </c>
      <c r="T13" s="86">
        <f t="shared" si="7"/>
        <v>0</v>
      </c>
      <c r="U13" s="79" t="s">
        <v>23</v>
      </c>
    </row>
    <row r="14" spans="1:29" x14ac:dyDescent="0.2">
      <c r="L14" s="86"/>
      <c r="M14" s="90"/>
      <c r="P14" s="89"/>
    </row>
    <row r="15" spans="1:29" s="81" customFormat="1" x14ac:dyDescent="0.2">
      <c r="A15" s="92" t="s">
        <v>26</v>
      </c>
      <c r="B15" s="92"/>
      <c r="D15" s="93"/>
      <c r="E15" s="92"/>
      <c r="F15" s="92"/>
      <c r="G15" s="92"/>
      <c r="H15" s="92"/>
      <c r="I15" s="92"/>
      <c r="J15" s="92"/>
      <c r="K15" s="83"/>
      <c r="L15" s="96">
        <f>SUM(L7:L14)</f>
        <v>176443.61999999997</v>
      </c>
      <c r="M15" s="95"/>
      <c r="P15" s="91"/>
      <c r="Q15" s="94">
        <f>SUM(Q7:Q14)</f>
        <v>0</v>
      </c>
      <c r="R15" s="95"/>
      <c r="S15" s="94">
        <f>SUM(S7:S14)</f>
        <v>176443.61999999997</v>
      </c>
      <c r="T15" s="96">
        <f>+L15-S15</f>
        <v>0</v>
      </c>
      <c r="U15" s="92"/>
    </row>
    <row r="16" spans="1:29" s="81" customFormat="1" x14ac:dyDescent="0.2">
      <c r="A16" s="92"/>
      <c r="B16" s="92"/>
      <c r="D16" s="93"/>
      <c r="E16" s="92"/>
      <c r="F16" s="92"/>
      <c r="G16" s="92"/>
      <c r="H16" s="92"/>
      <c r="I16" s="92"/>
      <c r="J16" s="92"/>
      <c r="K16" s="83"/>
      <c r="L16" s="96"/>
      <c r="M16" s="95"/>
      <c r="P16" s="91"/>
      <c r="R16" s="92"/>
      <c r="U16" s="92"/>
    </row>
    <row r="17" spans="1:21" s="81" customFormat="1" x14ac:dyDescent="0.2">
      <c r="A17" s="81" t="s">
        <v>96</v>
      </c>
      <c r="B17" s="92"/>
      <c r="D17" s="93" t="s">
        <v>65</v>
      </c>
      <c r="E17" s="92"/>
      <c r="F17" s="92"/>
      <c r="G17" s="92"/>
      <c r="H17" s="92"/>
      <c r="I17" s="92"/>
      <c r="J17" s="92"/>
      <c r="K17" s="83"/>
      <c r="L17" s="96">
        <v>176443.62</v>
      </c>
      <c r="M17" s="95"/>
      <c r="P17" s="91"/>
      <c r="Q17" s="96">
        <v>0</v>
      </c>
      <c r="R17" s="95" t="s">
        <v>90</v>
      </c>
      <c r="S17" s="96">
        <v>176443.62</v>
      </c>
      <c r="T17" s="96">
        <f>+L17-S17</f>
        <v>0</v>
      </c>
      <c r="U17" s="92"/>
    </row>
    <row r="18" spans="1:21" s="81" customFormat="1" x14ac:dyDescent="0.2">
      <c r="A18" s="92"/>
      <c r="B18" s="92"/>
      <c r="D18" s="93"/>
      <c r="E18" s="92"/>
      <c r="F18" s="92"/>
      <c r="G18" s="92"/>
      <c r="H18" s="92"/>
      <c r="I18" s="92"/>
      <c r="J18" s="92"/>
      <c r="K18" s="83"/>
      <c r="L18" s="96"/>
      <c r="M18" s="95"/>
      <c r="P18" s="91"/>
      <c r="R18" s="92"/>
      <c r="U18" s="92"/>
    </row>
    <row r="19" spans="1:21" s="81" customFormat="1" x14ac:dyDescent="0.2">
      <c r="A19" s="92" t="s">
        <v>27</v>
      </c>
      <c r="B19" s="92"/>
      <c r="D19" s="93"/>
      <c r="E19" s="92"/>
      <c r="F19" s="92"/>
      <c r="G19" s="92"/>
      <c r="H19" s="92"/>
      <c r="I19" s="92"/>
      <c r="J19" s="92"/>
      <c r="K19" s="83"/>
      <c r="L19" s="96">
        <f>+L15-L17</f>
        <v>0</v>
      </c>
      <c r="M19" s="95"/>
      <c r="P19" s="91"/>
      <c r="Q19" s="96">
        <f>+Q15-Q17</f>
        <v>0</v>
      </c>
      <c r="R19" s="95"/>
      <c r="S19" s="96">
        <f>+S15-S17</f>
        <v>0</v>
      </c>
      <c r="T19" s="96">
        <f>+T15-T17</f>
        <v>0</v>
      </c>
      <c r="U19" s="92"/>
    </row>
    <row r="20" spans="1:21" x14ac:dyDescent="0.2">
      <c r="L20" s="86"/>
      <c r="M20" s="90"/>
      <c r="P20" s="89"/>
    </row>
    <row r="22" spans="1:21" x14ac:dyDescent="0.2">
      <c r="Q22" s="101" t="s">
        <v>85</v>
      </c>
      <c r="R22" s="77"/>
      <c r="S22" s="102" t="s">
        <v>84</v>
      </c>
    </row>
    <row r="23" spans="1:21" x14ac:dyDescent="0.2">
      <c r="P23" s="103"/>
      <c r="Q23" s="110"/>
      <c r="R23" s="105"/>
      <c r="S23" s="106"/>
      <c r="T23" s="104"/>
    </row>
    <row r="24" spans="1:21" x14ac:dyDescent="0.2">
      <c r="P24" s="103"/>
      <c r="Q24" s="107">
        <f>+S24</f>
        <v>0</v>
      </c>
      <c r="R24" s="108"/>
      <c r="S24" s="120">
        <f>+Q17</f>
        <v>0</v>
      </c>
      <c r="T24" s="104"/>
    </row>
    <row r="25" spans="1:21" x14ac:dyDescent="0.2">
      <c r="P25" s="103"/>
      <c r="Q25" s="107"/>
      <c r="R25" s="105"/>
      <c r="S25" s="106">
        <f>SUM(S23:S24)</f>
        <v>0</v>
      </c>
      <c r="T25" s="104"/>
    </row>
    <row r="26" spans="1:21" x14ac:dyDescent="0.2">
      <c r="P26" s="103"/>
      <c r="Q26" s="107">
        <f>+S26</f>
        <v>0</v>
      </c>
      <c r="R26" s="105" t="s">
        <v>83</v>
      </c>
      <c r="S26" s="106">
        <f>+Q17-S24</f>
        <v>0</v>
      </c>
      <c r="T26" s="104"/>
    </row>
    <row r="27" spans="1:21" x14ac:dyDescent="0.2">
      <c r="P27" s="103"/>
      <c r="Q27" s="107"/>
      <c r="R27" s="105"/>
      <c r="S27" s="106"/>
      <c r="T27" s="104"/>
    </row>
    <row r="28" spans="1:21" x14ac:dyDescent="0.2">
      <c r="P28" s="103"/>
      <c r="Q28" s="128">
        <f>SUM(Q24:Q26)</f>
        <v>0</v>
      </c>
      <c r="R28" s="129"/>
      <c r="S28" s="130">
        <f>SUM(S25:S26)</f>
        <v>0</v>
      </c>
      <c r="T28" s="104"/>
    </row>
    <row r="29" spans="1:21" x14ac:dyDescent="0.2">
      <c r="P29" s="103"/>
      <c r="Q29" s="104"/>
      <c r="R29" s="109"/>
      <c r="S29" s="110"/>
      <c r="T29" s="104"/>
    </row>
    <row r="30" spans="1:21" x14ac:dyDescent="0.2">
      <c r="P30" s="103"/>
      <c r="Q30" s="104"/>
      <c r="R30" s="103"/>
      <c r="S30" s="104"/>
      <c r="T30" s="104"/>
    </row>
    <row r="31" spans="1:21" x14ac:dyDescent="0.2">
      <c r="P31" s="103"/>
      <c r="Q31" s="104"/>
      <c r="R31" s="103"/>
      <c r="S31" s="104"/>
      <c r="T31" s="104"/>
    </row>
    <row r="32" spans="1:21" x14ac:dyDescent="0.2">
      <c r="P32" s="103"/>
      <c r="Q32" s="104"/>
      <c r="R32" s="103"/>
      <c r="S32" s="104"/>
      <c r="T32" s="104"/>
    </row>
    <row r="33" spans="16:20" x14ac:dyDescent="0.2">
      <c r="P33" s="103"/>
      <c r="Q33" s="104"/>
      <c r="R33" s="103"/>
      <c r="S33" s="104"/>
      <c r="T33" s="104"/>
    </row>
  </sheetData>
  <phoneticPr fontId="0" type="noConversion"/>
  <printOptions horizontalCentered="1" verticalCentered="1" gridLines="1"/>
  <pageMargins left="0.25" right="0.2" top="0.11" bottom="0.14000000000000001" header="0.32" footer="0.33"/>
  <pageSetup scale="48" orientation="landscape" r:id="rId1"/>
  <headerFooter alignWithMargins="0">
    <oddFooter>&amp;L&amp;F &amp;A&amp;C&amp;P&amp;R&amp;D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Normal="100" workbookViewId="0">
      <pane xSplit="1" ySplit="8" topLeftCell="B9" activePane="bottomRight" state="frozen"/>
      <selection activeCell="F11" sqref="F11"/>
      <selection pane="topRight" activeCell="F11" sqref="F11"/>
      <selection pane="bottomLeft" activeCell="F11" sqref="F11"/>
      <selection pane="bottomRight" activeCell="D10" sqref="D10"/>
    </sheetView>
  </sheetViews>
  <sheetFormatPr defaultColWidth="9.140625" defaultRowHeight="12.75" x14ac:dyDescent="0.2"/>
  <cols>
    <col min="1" max="1" width="24" style="78" customWidth="1"/>
    <col min="2" max="2" width="11.140625" style="79" customWidth="1"/>
    <col min="3" max="3" width="9" style="79" bestFit="1" customWidth="1"/>
    <col min="4" max="4" width="6.5703125" style="79" customWidth="1"/>
    <col min="5" max="5" width="10.140625" style="79" bestFit="1" customWidth="1"/>
    <col min="6" max="6" width="9" style="79" customWidth="1"/>
    <col min="7" max="7" width="13.140625" style="77" bestFit="1" customWidth="1"/>
    <col min="8" max="8" width="11" style="77" customWidth="1"/>
    <col min="9" max="9" width="9.7109375" style="79" bestFit="1" customWidth="1"/>
    <col min="10" max="10" width="10.28515625" style="77" bestFit="1" customWidth="1"/>
    <col min="11" max="11" width="10.5703125" style="77" customWidth="1"/>
    <col min="12" max="12" width="10.42578125" style="77" customWidth="1"/>
    <col min="13" max="13" width="11.5703125" style="77" customWidth="1"/>
    <col min="14" max="14" width="11.42578125" style="77" customWidth="1"/>
    <col min="15" max="15" width="10.5703125" style="79" customWidth="1"/>
    <col min="16" max="16384" width="9.140625" style="77"/>
  </cols>
  <sheetData>
    <row r="1" spans="1:23" x14ac:dyDescent="0.2">
      <c r="A1" s="147" t="s">
        <v>102</v>
      </c>
    </row>
    <row r="2" spans="1:23" x14ac:dyDescent="0.2">
      <c r="A2" s="76" t="s">
        <v>0</v>
      </c>
      <c r="K2" s="97" t="s">
        <v>103</v>
      </c>
      <c r="L2" s="154"/>
      <c r="M2" s="135"/>
      <c r="N2" s="371" t="s">
        <v>104</v>
      </c>
      <c r="O2" s="135"/>
    </row>
    <row r="3" spans="1:23" x14ac:dyDescent="0.2">
      <c r="A3" s="76" t="s">
        <v>281</v>
      </c>
      <c r="K3" s="97"/>
      <c r="L3" s="154"/>
      <c r="M3" s="135"/>
      <c r="N3" s="371"/>
      <c r="O3" s="135"/>
    </row>
    <row r="4" spans="1:23" x14ac:dyDescent="0.2">
      <c r="A4" s="347" t="s">
        <v>113</v>
      </c>
      <c r="B4" s="371" t="s">
        <v>282</v>
      </c>
      <c r="K4" s="97" t="s">
        <v>92</v>
      </c>
      <c r="L4" s="97"/>
      <c r="M4" s="135"/>
      <c r="N4" s="371" t="s">
        <v>284</v>
      </c>
      <c r="O4" s="121"/>
    </row>
    <row r="5" spans="1:23" x14ac:dyDescent="0.2">
      <c r="A5" s="76"/>
      <c r="B5" s="76"/>
    </row>
    <row r="6" spans="1:23" x14ac:dyDescent="0.2">
      <c r="A6" s="76" t="s">
        <v>1</v>
      </c>
      <c r="B6" s="188">
        <v>2012</v>
      </c>
    </row>
    <row r="8" spans="1:23" s="81" customFormat="1" ht="51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291</v>
      </c>
      <c r="I8" s="186" t="s">
        <v>108</v>
      </c>
      <c r="J8" s="186" t="s">
        <v>15</v>
      </c>
      <c r="K8" s="170" t="s">
        <v>111</v>
      </c>
      <c r="L8" s="187" t="s">
        <v>110</v>
      </c>
      <c r="M8" s="187" t="s">
        <v>109</v>
      </c>
      <c r="N8" s="187" t="s">
        <v>112</v>
      </c>
      <c r="O8" s="168" t="s">
        <v>101</v>
      </c>
      <c r="P8" s="83"/>
      <c r="Q8" s="83"/>
      <c r="R8" s="83"/>
      <c r="S8" s="83"/>
      <c r="T8" s="83"/>
      <c r="U8" s="83"/>
      <c r="V8" s="83"/>
      <c r="W8" s="83"/>
    </row>
    <row r="9" spans="1:23" x14ac:dyDescent="0.2">
      <c r="A9" s="204"/>
      <c r="B9" s="205"/>
      <c r="C9" s="206">
        <v>2012</v>
      </c>
      <c r="D9" s="206">
        <v>5</v>
      </c>
      <c r="E9" s="206">
        <f t="shared" ref="E9:E14" si="0">+C9+D9-1</f>
        <v>2016</v>
      </c>
      <c r="F9" s="207">
        <f t="shared" ref="F9:F14" si="1">IF(D9&gt;0,1/D9,0)</f>
        <v>0.2</v>
      </c>
      <c r="G9" s="222">
        <v>26306.58</v>
      </c>
      <c r="H9" s="222">
        <v>0</v>
      </c>
      <c r="I9" s="209">
        <f t="shared" ref="I9:I14" si="2">IF(+G9&gt;0,IF(+$B$6-C9+1&gt;D9,D9,+$B$6-C9+1),0)</f>
        <v>1</v>
      </c>
      <c r="J9" s="209">
        <f t="shared" ref="J9:J14" si="3">IF(E9&gt;=$B$6,+D9-I9,0)</f>
        <v>4</v>
      </c>
      <c r="K9" s="222">
        <f t="shared" ref="K9:K14" si="4">+G9*F9</f>
        <v>5261.3160000000007</v>
      </c>
      <c r="L9" s="222">
        <f t="shared" ref="L9:L14" si="5">IF(E9&gt;=$B$6,+K9,0)</f>
        <v>5261.3160000000007</v>
      </c>
      <c r="M9" s="222">
        <f>+K9*I9</f>
        <v>5261.3160000000007</v>
      </c>
      <c r="N9" s="222">
        <f t="shared" ref="N9:N14" si="6">+G9-M9</f>
        <v>21045.264000000003</v>
      </c>
      <c r="O9" s="206"/>
    </row>
    <row r="10" spans="1:23" x14ac:dyDescent="0.2">
      <c r="A10" s="204"/>
      <c r="B10" s="205"/>
      <c r="C10" s="206"/>
      <c r="D10" s="206">
        <v>15</v>
      </c>
      <c r="E10" s="206">
        <f t="shared" si="0"/>
        <v>14</v>
      </c>
      <c r="F10" s="207">
        <f t="shared" si="1"/>
        <v>6.6666666666666666E-2</v>
      </c>
      <c r="G10" s="220"/>
      <c r="H10" s="189">
        <v>0</v>
      </c>
      <c r="I10" s="209">
        <f t="shared" si="2"/>
        <v>0</v>
      </c>
      <c r="J10" s="209">
        <f t="shared" si="3"/>
        <v>0</v>
      </c>
      <c r="K10" s="220">
        <f t="shared" si="4"/>
        <v>0</v>
      </c>
      <c r="L10" s="220">
        <f t="shared" si="5"/>
        <v>0</v>
      </c>
      <c r="M10" s="220">
        <f>+K10*I10</f>
        <v>0</v>
      </c>
      <c r="N10" s="220">
        <f t="shared" si="6"/>
        <v>0</v>
      </c>
      <c r="O10" s="206"/>
    </row>
    <row r="11" spans="1:23" x14ac:dyDescent="0.2">
      <c r="A11" s="204"/>
      <c r="B11" s="205"/>
      <c r="C11" s="206"/>
      <c r="D11" s="206">
        <v>15</v>
      </c>
      <c r="E11" s="206">
        <f t="shared" si="0"/>
        <v>14</v>
      </c>
      <c r="F11" s="207">
        <f t="shared" si="1"/>
        <v>6.6666666666666666E-2</v>
      </c>
      <c r="G11" s="220"/>
      <c r="H11" s="189"/>
      <c r="I11" s="209">
        <f t="shared" si="2"/>
        <v>0</v>
      </c>
      <c r="J11" s="209">
        <f t="shared" si="3"/>
        <v>0</v>
      </c>
      <c r="K11" s="220">
        <f t="shared" si="4"/>
        <v>0</v>
      </c>
      <c r="L11" s="220">
        <f t="shared" si="5"/>
        <v>0</v>
      </c>
      <c r="M11" s="220">
        <f>+K11*I11</f>
        <v>0</v>
      </c>
      <c r="N11" s="220">
        <f t="shared" si="6"/>
        <v>0</v>
      </c>
      <c r="O11" s="206"/>
    </row>
    <row r="12" spans="1:23" x14ac:dyDescent="0.2">
      <c r="A12" s="204"/>
      <c r="B12" s="205"/>
      <c r="C12" s="206"/>
      <c r="D12" s="206">
        <v>15</v>
      </c>
      <c r="E12" s="206">
        <f t="shared" si="0"/>
        <v>14</v>
      </c>
      <c r="F12" s="207">
        <f t="shared" si="1"/>
        <v>6.6666666666666666E-2</v>
      </c>
      <c r="G12" s="220"/>
      <c r="H12" s="189"/>
      <c r="I12" s="209">
        <f t="shared" si="2"/>
        <v>0</v>
      </c>
      <c r="J12" s="209">
        <f t="shared" si="3"/>
        <v>0</v>
      </c>
      <c r="K12" s="220">
        <f t="shared" si="4"/>
        <v>0</v>
      </c>
      <c r="L12" s="220">
        <f t="shared" si="5"/>
        <v>0</v>
      </c>
      <c r="M12" s="220">
        <f>+K12*I12</f>
        <v>0</v>
      </c>
      <c r="N12" s="220">
        <f t="shared" si="6"/>
        <v>0</v>
      </c>
      <c r="O12" s="206"/>
    </row>
    <row r="13" spans="1:23" x14ac:dyDescent="0.2">
      <c r="A13" s="204"/>
      <c r="B13" s="205"/>
      <c r="C13" s="206"/>
      <c r="D13" s="206">
        <v>15</v>
      </c>
      <c r="E13" s="206">
        <f t="shared" si="0"/>
        <v>14</v>
      </c>
      <c r="F13" s="207">
        <f t="shared" si="1"/>
        <v>6.6666666666666666E-2</v>
      </c>
      <c r="G13" s="220"/>
      <c r="H13" s="189"/>
      <c r="I13" s="209">
        <f t="shared" si="2"/>
        <v>0</v>
      </c>
      <c r="J13" s="209">
        <f t="shared" si="3"/>
        <v>0</v>
      </c>
      <c r="K13" s="220">
        <f t="shared" si="4"/>
        <v>0</v>
      </c>
      <c r="L13" s="220">
        <f t="shared" si="5"/>
        <v>0</v>
      </c>
      <c r="M13" s="220">
        <f>+K13*I13</f>
        <v>0</v>
      </c>
      <c r="N13" s="220">
        <f t="shared" si="6"/>
        <v>0</v>
      </c>
      <c r="O13" s="206"/>
    </row>
    <row r="14" spans="1:23" x14ac:dyDescent="0.2">
      <c r="A14" s="204"/>
      <c r="B14" s="205"/>
      <c r="C14" s="206"/>
      <c r="D14" s="206">
        <v>15</v>
      </c>
      <c r="E14" s="206">
        <f t="shared" si="0"/>
        <v>14</v>
      </c>
      <c r="F14" s="207">
        <f t="shared" si="1"/>
        <v>6.6666666666666666E-2</v>
      </c>
      <c r="G14" s="220"/>
      <c r="H14" s="189"/>
      <c r="I14" s="209">
        <f t="shared" si="2"/>
        <v>0</v>
      </c>
      <c r="J14" s="209">
        <f t="shared" si="3"/>
        <v>0</v>
      </c>
      <c r="K14" s="220">
        <f t="shared" si="4"/>
        <v>0</v>
      </c>
      <c r="L14" s="220">
        <f t="shared" si="5"/>
        <v>0</v>
      </c>
      <c r="M14" s="220">
        <f>+K14*I14+0.03</f>
        <v>0.03</v>
      </c>
      <c r="N14" s="220">
        <f t="shared" si="6"/>
        <v>-0.03</v>
      </c>
      <c r="O14" s="206"/>
    </row>
    <row r="15" spans="1:23" x14ac:dyDescent="0.2">
      <c r="A15" s="204"/>
      <c r="B15" s="205"/>
      <c r="C15" s="206"/>
      <c r="D15" s="206"/>
      <c r="E15" s="206"/>
      <c r="F15" s="207"/>
      <c r="G15" s="220"/>
      <c r="H15" s="189"/>
      <c r="I15" s="209"/>
      <c r="J15" s="209"/>
      <c r="K15" s="220"/>
      <c r="L15" s="220"/>
      <c r="M15" s="220">
        <v>-133928.79999999999</v>
      </c>
      <c r="N15" s="220"/>
      <c r="O15" s="206"/>
    </row>
    <row r="16" spans="1:23" x14ac:dyDescent="0.2">
      <c r="A16" s="204"/>
      <c r="B16" s="205"/>
      <c r="C16" s="206"/>
      <c r="D16" s="206"/>
      <c r="E16" s="206"/>
      <c r="F16" s="206"/>
      <c r="G16" s="221" t="s">
        <v>24</v>
      </c>
      <c r="H16" s="221"/>
      <c r="I16" s="339"/>
      <c r="J16" s="209"/>
      <c r="K16" s="221"/>
      <c r="L16" s="221"/>
      <c r="M16" s="221"/>
      <c r="N16" s="221"/>
      <c r="O16" s="173"/>
    </row>
    <row r="17" spans="1:15" s="81" customFormat="1" x14ac:dyDescent="0.2">
      <c r="A17" s="149" t="s">
        <v>100</v>
      </c>
      <c r="B17" s="212"/>
      <c r="C17" s="212"/>
      <c r="D17" s="212"/>
      <c r="E17" s="212"/>
      <c r="F17" s="212"/>
      <c r="G17" s="223">
        <f>SUM(G9:G16)</f>
        <v>26306.58</v>
      </c>
      <c r="H17" s="223">
        <f>SUM(H9:H16)</f>
        <v>0</v>
      </c>
      <c r="I17" s="224"/>
      <c r="J17" s="223"/>
      <c r="K17" s="223"/>
      <c r="L17" s="230">
        <f>SUM(L9:L16)</f>
        <v>5261.3160000000007</v>
      </c>
      <c r="M17" s="223">
        <f>SUM(M9:M16)</f>
        <v>-128667.45399999998</v>
      </c>
      <c r="N17" s="230">
        <f>+G17-M17</f>
        <v>154974.03399999999</v>
      </c>
      <c r="O17" s="179"/>
    </row>
    <row r="18" spans="1:15" s="81" customFormat="1" x14ac:dyDescent="0.2">
      <c r="A18" s="93"/>
      <c r="B18" s="92"/>
      <c r="C18" s="92"/>
      <c r="D18" s="92"/>
      <c r="E18" s="92"/>
      <c r="F18" s="92"/>
      <c r="G18" s="225"/>
      <c r="H18" s="225"/>
      <c r="I18" s="226"/>
      <c r="J18" s="225"/>
      <c r="K18" s="225"/>
      <c r="L18" s="225"/>
      <c r="M18" s="225"/>
      <c r="N18" s="225"/>
      <c r="O18" s="193"/>
    </row>
    <row r="19" spans="1:15" s="81" customFormat="1" x14ac:dyDescent="0.2">
      <c r="A19" s="93"/>
      <c r="B19" s="92"/>
      <c r="C19" s="92"/>
      <c r="D19" s="92"/>
      <c r="E19" s="92"/>
      <c r="G19" s="247"/>
      <c r="H19" s="225"/>
      <c r="I19" s="226"/>
      <c r="J19" s="225"/>
      <c r="K19" s="225"/>
      <c r="L19" s="225"/>
      <c r="M19" s="225">
        <v>0</v>
      </c>
      <c r="N19" s="225"/>
      <c r="O19" s="193"/>
    </row>
    <row r="20" spans="1:15" s="81" customFormat="1" x14ac:dyDescent="0.2">
      <c r="A20" s="93"/>
      <c r="B20" s="92"/>
      <c r="C20" s="92"/>
      <c r="D20" s="92"/>
      <c r="E20" s="92"/>
      <c r="G20" s="171"/>
      <c r="H20" s="225"/>
      <c r="I20" s="226"/>
      <c r="J20" s="225"/>
      <c r="K20" s="225"/>
      <c r="L20" s="225"/>
      <c r="M20" s="225"/>
      <c r="N20" s="225"/>
      <c r="O20" s="193"/>
    </row>
    <row r="21" spans="1:15" s="81" customFormat="1" ht="13.7" customHeight="1" x14ac:dyDescent="0.2">
      <c r="A21" s="93"/>
      <c r="B21" s="92"/>
      <c r="C21" s="92"/>
      <c r="D21" s="92"/>
      <c r="E21" s="92"/>
      <c r="G21" s="171"/>
      <c r="H21" s="225"/>
      <c r="I21" s="226"/>
      <c r="J21" s="225"/>
      <c r="K21" s="225"/>
      <c r="L21" s="225"/>
      <c r="M21" s="248">
        <f>+M17-M19</f>
        <v>-128667.45399999998</v>
      </c>
      <c r="N21" s="225"/>
      <c r="O21" s="193"/>
    </row>
    <row r="22" spans="1:15" s="81" customFormat="1" x14ac:dyDescent="0.2">
      <c r="A22" s="93"/>
      <c r="B22" s="92"/>
      <c r="C22" s="92"/>
      <c r="D22" s="92"/>
      <c r="E22" s="92"/>
      <c r="F22" s="83"/>
      <c r="G22" s="225"/>
      <c r="H22" s="225"/>
      <c r="I22" s="226"/>
      <c r="J22" s="225"/>
      <c r="K22" s="225"/>
      <c r="L22" s="225"/>
      <c r="M22" s="225"/>
      <c r="N22" s="225"/>
      <c r="O22" s="193"/>
    </row>
    <row r="23" spans="1:15" s="81" customFormat="1" x14ac:dyDescent="0.2">
      <c r="A23" s="93"/>
      <c r="B23" s="92"/>
      <c r="C23" s="92"/>
      <c r="D23" s="92"/>
      <c r="E23" s="92"/>
      <c r="F23" s="83"/>
      <c r="G23" s="225"/>
      <c r="H23" s="225"/>
      <c r="I23" s="226"/>
      <c r="J23" s="225"/>
      <c r="K23" s="225"/>
      <c r="L23" s="225"/>
      <c r="M23" s="225"/>
      <c r="N23" s="225"/>
      <c r="O23" s="193"/>
    </row>
    <row r="24" spans="1:15" s="81" customFormat="1" x14ac:dyDescent="0.2">
      <c r="A24" s="93"/>
      <c r="B24" s="92"/>
      <c r="C24" s="92"/>
      <c r="D24" s="92"/>
      <c r="E24" s="92"/>
      <c r="F24" s="83"/>
      <c r="G24" s="96"/>
      <c r="H24" s="96"/>
      <c r="I24" s="95"/>
      <c r="L24" s="99"/>
      <c r="M24" s="99"/>
      <c r="N24" s="99"/>
      <c r="O24" s="92"/>
    </row>
    <row r="25" spans="1:15" s="81" customFormat="1" x14ac:dyDescent="0.2">
      <c r="A25" s="93"/>
      <c r="B25" s="92"/>
      <c r="C25" s="92"/>
      <c r="D25" s="92"/>
      <c r="E25" s="92"/>
      <c r="F25" s="378"/>
      <c r="G25" s="99"/>
      <c r="H25" s="99"/>
      <c r="I25" s="98"/>
      <c r="J25" s="97"/>
      <c r="L25" s="99"/>
      <c r="M25" s="99"/>
      <c r="N25" s="99"/>
      <c r="O25" s="92"/>
    </row>
    <row r="26" spans="1:15" s="81" customFormat="1" x14ac:dyDescent="0.2">
      <c r="A26" s="93"/>
      <c r="B26" s="92"/>
      <c r="C26" s="92"/>
      <c r="D26" s="92"/>
      <c r="E26" s="92"/>
      <c r="F26" s="92"/>
      <c r="G26" s="96"/>
      <c r="H26" s="96"/>
      <c r="I26" s="95"/>
      <c r="L26" s="99"/>
      <c r="M26" s="99"/>
      <c r="N26" s="99"/>
      <c r="O26" s="92"/>
    </row>
    <row r="27" spans="1:15" s="81" customFormat="1" x14ac:dyDescent="0.2">
      <c r="A27" s="93"/>
      <c r="B27" s="92"/>
      <c r="C27" s="92"/>
      <c r="D27" s="92"/>
      <c r="E27" s="92"/>
      <c r="F27" s="92"/>
      <c r="G27" s="96"/>
      <c r="H27" s="96"/>
      <c r="I27" s="95"/>
      <c r="L27" s="99"/>
      <c r="M27" s="99"/>
      <c r="N27" s="99"/>
      <c r="O27" s="92"/>
    </row>
    <row r="28" spans="1:15" s="81" customFormat="1" x14ac:dyDescent="0.2">
      <c r="A28" s="93"/>
      <c r="B28" s="92"/>
      <c r="C28" s="92"/>
      <c r="D28" s="92"/>
      <c r="E28" s="92"/>
      <c r="F28" s="92"/>
      <c r="G28" s="96"/>
      <c r="H28" s="96"/>
      <c r="I28" s="95"/>
      <c r="L28" s="201"/>
      <c r="M28" s="201"/>
      <c r="N28" s="201"/>
      <c r="O28" s="92"/>
    </row>
    <row r="29" spans="1:15" x14ac:dyDescent="0.2">
      <c r="G29" s="86"/>
      <c r="H29" s="86"/>
      <c r="I29" s="90"/>
      <c r="L29" s="135"/>
      <c r="M29" s="135"/>
      <c r="N29" s="135"/>
    </row>
    <row r="30" spans="1:15" x14ac:dyDescent="0.2">
      <c r="L30" s="198"/>
      <c r="M30" s="199"/>
      <c r="N30" s="135"/>
    </row>
    <row r="31" spans="1:15" x14ac:dyDescent="0.2">
      <c r="L31" s="333"/>
      <c r="M31" s="200"/>
      <c r="N31" s="333"/>
    </row>
    <row r="32" spans="1:15" x14ac:dyDescent="0.2">
      <c r="L32" s="202"/>
      <c r="M32" s="200"/>
      <c r="N32" s="333"/>
    </row>
    <row r="33" spans="12:14" x14ac:dyDescent="0.2">
      <c r="L33" s="333"/>
      <c r="M33" s="200"/>
      <c r="N33" s="333"/>
    </row>
    <row r="34" spans="12:14" x14ac:dyDescent="0.2">
      <c r="L34" s="202"/>
      <c r="M34" s="200"/>
      <c r="N34" s="333"/>
    </row>
    <row r="35" spans="12:14" x14ac:dyDescent="0.2">
      <c r="L35" s="333"/>
      <c r="M35" s="200"/>
      <c r="N35" s="333"/>
    </row>
    <row r="36" spans="12:14" x14ac:dyDescent="0.2">
      <c r="L36" s="202"/>
      <c r="M36" s="202"/>
      <c r="N36" s="333"/>
    </row>
    <row r="37" spans="12:14" x14ac:dyDescent="0.2">
      <c r="L37" s="104"/>
      <c r="M37" s="110"/>
      <c r="N37" s="104"/>
    </row>
  </sheetData>
  <phoneticPr fontId="0" type="noConversion"/>
  <printOptions horizontalCentered="1"/>
  <pageMargins left="0.39370078740157483" right="0.39370078740157483" top="0.39370078740157483" bottom="0.78740157480314965" header="0" footer="0.59055118110236227"/>
  <pageSetup scale="74" orientation="landscape" r:id="rId1"/>
  <headerFooter>
    <oddFooter>&amp;L&amp;"Calibri,Regular"&amp;D&amp;C&amp;"Calibri,Regular"Page &amp;P of &amp;N&amp;R&amp;"Calibri,Regular"&amp;F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workbookViewId="0">
      <selection activeCell="A22" sqref="A22:I26"/>
    </sheetView>
  </sheetViews>
  <sheetFormatPr defaultColWidth="9.140625" defaultRowHeight="12.75" x14ac:dyDescent="0.2"/>
  <cols>
    <col min="1" max="1" width="9.140625" style="77"/>
    <col min="2" max="2" width="22.140625" style="78" customWidth="1"/>
    <col min="3" max="3" width="13.140625" style="79" customWidth="1"/>
    <col min="4" max="4" width="9" style="79" bestFit="1" customWidth="1"/>
    <col min="5" max="5" width="6.7109375" style="79" customWidth="1"/>
    <col min="6" max="6" width="10.140625" style="79" bestFit="1" customWidth="1"/>
    <col min="7" max="7" width="9.140625" style="79"/>
    <col min="8" max="8" width="12" style="77" bestFit="1" customWidth="1"/>
    <col min="9" max="9" width="9.7109375" style="79" bestFit="1" customWidth="1"/>
    <col min="10" max="10" width="10.28515625" style="77" bestFit="1" customWidth="1"/>
    <col min="11" max="11" width="11" style="77" bestFit="1" customWidth="1"/>
    <col min="12" max="12" width="10.5703125" style="77" bestFit="1" customWidth="1"/>
    <col min="13" max="13" width="20" style="77" bestFit="1" customWidth="1"/>
    <col min="14" max="14" width="11.5703125" style="77" bestFit="1" customWidth="1"/>
    <col min="15" max="15" width="8.42578125" style="79" bestFit="1" customWidth="1"/>
    <col min="16" max="16" width="12.28515625" style="69" bestFit="1" customWidth="1"/>
    <col min="17" max="17" width="12" style="77" bestFit="1" customWidth="1"/>
    <col min="18" max="250" width="9.140625" style="77"/>
    <col min="251" max="252" width="10" style="77" customWidth="1"/>
    <col min="253" max="253" width="9.140625" style="77"/>
    <col min="254" max="254" width="24" style="77" customWidth="1"/>
    <col min="255" max="255" width="4.7109375" style="77" customWidth="1"/>
    <col min="256" max="257" width="13.140625" style="77" customWidth="1"/>
    <col min="258" max="258" width="9.140625" style="77"/>
    <col min="259" max="259" width="12.85546875" style="77" customWidth="1"/>
    <col min="260" max="260" width="9.140625" style="77"/>
    <col min="261" max="261" width="20" style="77" customWidth="1"/>
    <col min="262" max="263" width="13.140625" style="77" customWidth="1"/>
    <col min="264" max="264" width="11.7109375" style="77" customWidth="1"/>
    <col min="265" max="265" width="14.85546875" style="77" customWidth="1"/>
    <col min="266" max="266" width="11.42578125" style="77" customWidth="1"/>
    <col min="267" max="267" width="14.85546875" style="77" customWidth="1"/>
    <col min="268" max="268" width="11.42578125" style="77" customWidth="1"/>
    <col min="269" max="269" width="14.85546875" style="77" customWidth="1"/>
    <col min="270" max="270" width="16.5703125" style="77" customWidth="1"/>
    <col min="271" max="271" width="10.5703125" style="77" customWidth="1"/>
    <col min="272" max="272" width="12.28515625" style="77" bestFit="1" customWidth="1"/>
    <col min="273" max="506" width="9.140625" style="77"/>
    <col min="507" max="508" width="10" style="77" customWidth="1"/>
    <col min="509" max="509" width="9.140625" style="77"/>
    <col min="510" max="510" width="24" style="77" customWidth="1"/>
    <col min="511" max="511" width="4.7109375" style="77" customWidth="1"/>
    <col min="512" max="513" width="13.140625" style="77" customWidth="1"/>
    <col min="514" max="514" width="9.140625" style="77"/>
    <col min="515" max="515" width="12.85546875" style="77" customWidth="1"/>
    <col min="516" max="516" width="9.140625" style="77"/>
    <col min="517" max="517" width="20" style="77" customWidth="1"/>
    <col min="518" max="519" width="13.140625" style="77" customWidth="1"/>
    <col min="520" max="520" width="11.7109375" style="77" customWidth="1"/>
    <col min="521" max="521" width="14.85546875" style="77" customWidth="1"/>
    <col min="522" max="522" width="11.42578125" style="77" customWidth="1"/>
    <col min="523" max="523" width="14.85546875" style="77" customWidth="1"/>
    <col min="524" max="524" width="11.42578125" style="77" customWidth="1"/>
    <col min="525" max="525" width="14.85546875" style="77" customWidth="1"/>
    <col min="526" max="526" width="16.5703125" style="77" customWidth="1"/>
    <col min="527" max="527" width="10.5703125" style="77" customWidth="1"/>
    <col min="528" max="528" width="12.28515625" style="77" bestFit="1" customWidth="1"/>
    <col min="529" max="762" width="9.140625" style="77"/>
    <col min="763" max="764" width="10" style="77" customWidth="1"/>
    <col min="765" max="765" width="9.140625" style="77"/>
    <col min="766" max="766" width="24" style="77" customWidth="1"/>
    <col min="767" max="767" width="4.7109375" style="77" customWidth="1"/>
    <col min="768" max="769" width="13.140625" style="77" customWidth="1"/>
    <col min="770" max="770" width="9.140625" style="77"/>
    <col min="771" max="771" width="12.85546875" style="77" customWidth="1"/>
    <col min="772" max="772" width="9.140625" style="77"/>
    <col min="773" max="773" width="20" style="77" customWidth="1"/>
    <col min="774" max="775" width="13.140625" style="77" customWidth="1"/>
    <col min="776" max="776" width="11.7109375" style="77" customWidth="1"/>
    <col min="777" max="777" width="14.85546875" style="77" customWidth="1"/>
    <col min="778" max="778" width="11.42578125" style="77" customWidth="1"/>
    <col min="779" max="779" width="14.85546875" style="77" customWidth="1"/>
    <col min="780" max="780" width="11.42578125" style="77" customWidth="1"/>
    <col min="781" max="781" width="14.85546875" style="77" customWidth="1"/>
    <col min="782" max="782" width="16.5703125" style="77" customWidth="1"/>
    <col min="783" max="783" width="10.5703125" style="77" customWidth="1"/>
    <col min="784" max="784" width="12.28515625" style="77" bestFit="1" customWidth="1"/>
    <col min="785" max="1018" width="9.140625" style="77"/>
    <col min="1019" max="1020" width="10" style="77" customWidth="1"/>
    <col min="1021" max="1021" width="9.140625" style="77"/>
    <col min="1022" max="1022" width="24" style="77" customWidth="1"/>
    <col min="1023" max="1023" width="4.7109375" style="77" customWidth="1"/>
    <col min="1024" max="1025" width="13.140625" style="77" customWidth="1"/>
    <col min="1026" max="1026" width="9.140625" style="77"/>
    <col min="1027" max="1027" width="12.85546875" style="77" customWidth="1"/>
    <col min="1028" max="1028" width="9.140625" style="77"/>
    <col min="1029" max="1029" width="20" style="77" customWidth="1"/>
    <col min="1030" max="1031" width="13.140625" style="77" customWidth="1"/>
    <col min="1032" max="1032" width="11.7109375" style="77" customWidth="1"/>
    <col min="1033" max="1033" width="14.85546875" style="77" customWidth="1"/>
    <col min="1034" max="1034" width="11.42578125" style="77" customWidth="1"/>
    <col min="1035" max="1035" width="14.85546875" style="77" customWidth="1"/>
    <col min="1036" max="1036" width="11.42578125" style="77" customWidth="1"/>
    <col min="1037" max="1037" width="14.85546875" style="77" customWidth="1"/>
    <col min="1038" max="1038" width="16.5703125" style="77" customWidth="1"/>
    <col min="1039" max="1039" width="10.5703125" style="77" customWidth="1"/>
    <col min="1040" max="1040" width="12.28515625" style="77" bestFit="1" customWidth="1"/>
    <col min="1041" max="1274" width="9.140625" style="77"/>
    <col min="1275" max="1276" width="10" style="77" customWidth="1"/>
    <col min="1277" max="1277" width="9.140625" style="77"/>
    <col min="1278" max="1278" width="24" style="77" customWidth="1"/>
    <col min="1279" max="1279" width="4.7109375" style="77" customWidth="1"/>
    <col min="1280" max="1281" width="13.140625" style="77" customWidth="1"/>
    <col min="1282" max="1282" width="9.140625" style="77"/>
    <col min="1283" max="1283" width="12.85546875" style="77" customWidth="1"/>
    <col min="1284" max="1284" width="9.140625" style="77"/>
    <col min="1285" max="1285" width="20" style="77" customWidth="1"/>
    <col min="1286" max="1287" width="13.140625" style="77" customWidth="1"/>
    <col min="1288" max="1288" width="11.7109375" style="77" customWidth="1"/>
    <col min="1289" max="1289" width="14.85546875" style="77" customWidth="1"/>
    <col min="1290" max="1290" width="11.42578125" style="77" customWidth="1"/>
    <col min="1291" max="1291" width="14.85546875" style="77" customWidth="1"/>
    <col min="1292" max="1292" width="11.42578125" style="77" customWidth="1"/>
    <col min="1293" max="1293" width="14.85546875" style="77" customWidth="1"/>
    <col min="1294" max="1294" width="16.5703125" style="77" customWidth="1"/>
    <col min="1295" max="1295" width="10.5703125" style="77" customWidth="1"/>
    <col min="1296" max="1296" width="12.28515625" style="77" bestFit="1" customWidth="1"/>
    <col min="1297" max="1530" width="9.140625" style="77"/>
    <col min="1531" max="1532" width="10" style="77" customWidth="1"/>
    <col min="1533" max="1533" width="9.140625" style="77"/>
    <col min="1534" max="1534" width="24" style="77" customWidth="1"/>
    <col min="1535" max="1535" width="4.7109375" style="77" customWidth="1"/>
    <col min="1536" max="1537" width="13.140625" style="77" customWidth="1"/>
    <col min="1538" max="1538" width="9.140625" style="77"/>
    <col min="1539" max="1539" width="12.85546875" style="77" customWidth="1"/>
    <col min="1540" max="1540" width="9.140625" style="77"/>
    <col min="1541" max="1541" width="20" style="77" customWidth="1"/>
    <col min="1542" max="1543" width="13.140625" style="77" customWidth="1"/>
    <col min="1544" max="1544" width="11.7109375" style="77" customWidth="1"/>
    <col min="1545" max="1545" width="14.85546875" style="77" customWidth="1"/>
    <col min="1546" max="1546" width="11.42578125" style="77" customWidth="1"/>
    <col min="1547" max="1547" width="14.85546875" style="77" customWidth="1"/>
    <col min="1548" max="1548" width="11.42578125" style="77" customWidth="1"/>
    <col min="1549" max="1549" width="14.85546875" style="77" customWidth="1"/>
    <col min="1550" max="1550" width="16.5703125" style="77" customWidth="1"/>
    <col min="1551" max="1551" width="10.5703125" style="77" customWidth="1"/>
    <col min="1552" max="1552" width="12.28515625" style="77" bestFit="1" customWidth="1"/>
    <col min="1553" max="1786" width="9.140625" style="77"/>
    <col min="1787" max="1788" width="10" style="77" customWidth="1"/>
    <col min="1789" max="1789" width="9.140625" style="77"/>
    <col min="1790" max="1790" width="24" style="77" customWidth="1"/>
    <col min="1791" max="1791" width="4.7109375" style="77" customWidth="1"/>
    <col min="1792" max="1793" width="13.140625" style="77" customWidth="1"/>
    <col min="1794" max="1794" width="9.140625" style="77"/>
    <col min="1795" max="1795" width="12.85546875" style="77" customWidth="1"/>
    <col min="1796" max="1796" width="9.140625" style="77"/>
    <col min="1797" max="1797" width="20" style="77" customWidth="1"/>
    <col min="1798" max="1799" width="13.140625" style="77" customWidth="1"/>
    <col min="1800" max="1800" width="11.7109375" style="77" customWidth="1"/>
    <col min="1801" max="1801" width="14.85546875" style="77" customWidth="1"/>
    <col min="1802" max="1802" width="11.42578125" style="77" customWidth="1"/>
    <col min="1803" max="1803" width="14.85546875" style="77" customWidth="1"/>
    <col min="1804" max="1804" width="11.42578125" style="77" customWidth="1"/>
    <col min="1805" max="1805" width="14.85546875" style="77" customWidth="1"/>
    <col min="1806" max="1806" width="16.5703125" style="77" customWidth="1"/>
    <col min="1807" max="1807" width="10.5703125" style="77" customWidth="1"/>
    <col min="1808" max="1808" width="12.28515625" style="77" bestFit="1" customWidth="1"/>
    <col min="1809" max="2042" width="9.140625" style="77"/>
    <col min="2043" max="2044" width="10" style="77" customWidth="1"/>
    <col min="2045" max="2045" width="9.140625" style="77"/>
    <col min="2046" max="2046" width="24" style="77" customWidth="1"/>
    <col min="2047" max="2047" width="4.7109375" style="77" customWidth="1"/>
    <col min="2048" max="2049" width="13.140625" style="77" customWidth="1"/>
    <col min="2050" max="2050" width="9.140625" style="77"/>
    <col min="2051" max="2051" width="12.85546875" style="77" customWidth="1"/>
    <col min="2052" max="2052" width="9.140625" style="77"/>
    <col min="2053" max="2053" width="20" style="77" customWidth="1"/>
    <col min="2054" max="2055" width="13.140625" style="77" customWidth="1"/>
    <col min="2056" max="2056" width="11.7109375" style="77" customWidth="1"/>
    <col min="2057" max="2057" width="14.85546875" style="77" customWidth="1"/>
    <col min="2058" max="2058" width="11.42578125" style="77" customWidth="1"/>
    <col min="2059" max="2059" width="14.85546875" style="77" customWidth="1"/>
    <col min="2060" max="2060" width="11.42578125" style="77" customWidth="1"/>
    <col min="2061" max="2061" width="14.85546875" style="77" customWidth="1"/>
    <col min="2062" max="2062" width="16.5703125" style="77" customWidth="1"/>
    <col min="2063" max="2063" width="10.5703125" style="77" customWidth="1"/>
    <col min="2064" max="2064" width="12.28515625" style="77" bestFit="1" customWidth="1"/>
    <col min="2065" max="2298" width="9.140625" style="77"/>
    <col min="2299" max="2300" width="10" style="77" customWidth="1"/>
    <col min="2301" max="2301" width="9.140625" style="77"/>
    <col min="2302" max="2302" width="24" style="77" customWidth="1"/>
    <col min="2303" max="2303" width="4.7109375" style="77" customWidth="1"/>
    <col min="2304" max="2305" width="13.140625" style="77" customWidth="1"/>
    <col min="2306" max="2306" width="9.140625" style="77"/>
    <col min="2307" max="2307" width="12.85546875" style="77" customWidth="1"/>
    <col min="2308" max="2308" width="9.140625" style="77"/>
    <col min="2309" max="2309" width="20" style="77" customWidth="1"/>
    <col min="2310" max="2311" width="13.140625" style="77" customWidth="1"/>
    <col min="2312" max="2312" width="11.7109375" style="77" customWidth="1"/>
    <col min="2313" max="2313" width="14.85546875" style="77" customWidth="1"/>
    <col min="2314" max="2314" width="11.42578125" style="77" customWidth="1"/>
    <col min="2315" max="2315" width="14.85546875" style="77" customWidth="1"/>
    <col min="2316" max="2316" width="11.42578125" style="77" customWidth="1"/>
    <col min="2317" max="2317" width="14.85546875" style="77" customWidth="1"/>
    <col min="2318" max="2318" width="16.5703125" style="77" customWidth="1"/>
    <col min="2319" max="2319" width="10.5703125" style="77" customWidth="1"/>
    <col min="2320" max="2320" width="12.28515625" style="77" bestFit="1" customWidth="1"/>
    <col min="2321" max="2554" width="9.140625" style="77"/>
    <col min="2555" max="2556" width="10" style="77" customWidth="1"/>
    <col min="2557" max="2557" width="9.140625" style="77"/>
    <col min="2558" max="2558" width="24" style="77" customWidth="1"/>
    <col min="2559" max="2559" width="4.7109375" style="77" customWidth="1"/>
    <col min="2560" max="2561" width="13.140625" style="77" customWidth="1"/>
    <col min="2562" max="2562" width="9.140625" style="77"/>
    <col min="2563" max="2563" width="12.85546875" style="77" customWidth="1"/>
    <col min="2564" max="2564" width="9.140625" style="77"/>
    <col min="2565" max="2565" width="20" style="77" customWidth="1"/>
    <col min="2566" max="2567" width="13.140625" style="77" customWidth="1"/>
    <col min="2568" max="2568" width="11.7109375" style="77" customWidth="1"/>
    <col min="2569" max="2569" width="14.85546875" style="77" customWidth="1"/>
    <col min="2570" max="2570" width="11.42578125" style="77" customWidth="1"/>
    <col min="2571" max="2571" width="14.85546875" style="77" customWidth="1"/>
    <col min="2572" max="2572" width="11.42578125" style="77" customWidth="1"/>
    <col min="2573" max="2573" width="14.85546875" style="77" customWidth="1"/>
    <col min="2574" max="2574" width="16.5703125" style="77" customWidth="1"/>
    <col min="2575" max="2575" width="10.5703125" style="77" customWidth="1"/>
    <col min="2576" max="2576" width="12.28515625" style="77" bestFit="1" customWidth="1"/>
    <col min="2577" max="2810" width="9.140625" style="77"/>
    <col min="2811" max="2812" width="10" style="77" customWidth="1"/>
    <col min="2813" max="2813" width="9.140625" style="77"/>
    <col min="2814" max="2814" width="24" style="77" customWidth="1"/>
    <col min="2815" max="2815" width="4.7109375" style="77" customWidth="1"/>
    <col min="2816" max="2817" width="13.140625" style="77" customWidth="1"/>
    <col min="2818" max="2818" width="9.140625" style="77"/>
    <col min="2819" max="2819" width="12.85546875" style="77" customWidth="1"/>
    <col min="2820" max="2820" width="9.140625" style="77"/>
    <col min="2821" max="2821" width="20" style="77" customWidth="1"/>
    <col min="2822" max="2823" width="13.140625" style="77" customWidth="1"/>
    <col min="2824" max="2824" width="11.7109375" style="77" customWidth="1"/>
    <col min="2825" max="2825" width="14.85546875" style="77" customWidth="1"/>
    <col min="2826" max="2826" width="11.42578125" style="77" customWidth="1"/>
    <col min="2827" max="2827" width="14.85546875" style="77" customWidth="1"/>
    <col min="2828" max="2828" width="11.42578125" style="77" customWidth="1"/>
    <col min="2829" max="2829" width="14.85546875" style="77" customWidth="1"/>
    <col min="2830" max="2830" width="16.5703125" style="77" customWidth="1"/>
    <col min="2831" max="2831" width="10.5703125" style="77" customWidth="1"/>
    <col min="2832" max="2832" width="12.28515625" style="77" bestFit="1" customWidth="1"/>
    <col min="2833" max="3066" width="9.140625" style="77"/>
    <col min="3067" max="3068" width="10" style="77" customWidth="1"/>
    <col min="3069" max="3069" width="9.140625" style="77"/>
    <col min="3070" max="3070" width="24" style="77" customWidth="1"/>
    <col min="3071" max="3071" width="4.7109375" style="77" customWidth="1"/>
    <col min="3072" max="3073" width="13.140625" style="77" customWidth="1"/>
    <col min="3074" max="3074" width="9.140625" style="77"/>
    <col min="3075" max="3075" width="12.85546875" style="77" customWidth="1"/>
    <col min="3076" max="3076" width="9.140625" style="77"/>
    <col min="3077" max="3077" width="20" style="77" customWidth="1"/>
    <col min="3078" max="3079" width="13.140625" style="77" customWidth="1"/>
    <col min="3080" max="3080" width="11.7109375" style="77" customWidth="1"/>
    <col min="3081" max="3081" width="14.85546875" style="77" customWidth="1"/>
    <col min="3082" max="3082" width="11.42578125" style="77" customWidth="1"/>
    <col min="3083" max="3083" width="14.85546875" style="77" customWidth="1"/>
    <col min="3084" max="3084" width="11.42578125" style="77" customWidth="1"/>
    <col min="3085" max="3085" width="14.85546875" style="77" customWidth="1"/>
    <col min="3086" max="3086" width="16.5703125" style="77" customWidth="1"/>
    <col min="3087" max="3087" width="10.5703125" style="77" customWidth="1"/>
    <col min="3088" max="3088" width="12.28515625" style="77" bestFit="1" customWidth="1"/>
    <col min="3089" max="3322" width="9.140625" style="77"/>
    <col min="3323" max="3324" width="10" style="77" customWidth="1"/>
    <col min="3325" max="3325" width="9.140625" style="77"/>
    <col min="3326" max="3326" width="24" style="77" customWidth="1"/>
    <col min="3327" max="3327" width="4.7109375" style="77" customWidth="1"/>
    <col min="3328" max="3329" width="13.140625" style="77" customWidth="1"/>
    <col min="3330" max="3330" width="9.140625" style="77"/>
    <col min="3331" max="3331" width="12.85546875" style="77" customWidth="1"/>
    <col min="3332" max="3332" width="9.140625" style="77"/>
    <col min="3333" max="3333" width="20" style="77" customWidth="1"/>
    <col min="3334" max="3335" width="13.140625" style="77" customWidth="1"/>
    <col min="3336" max="3336" width="11.7109375" style="77" customWidth="1"/>
    <col min="3337" max="3337" width="14.85546875" style="77" customWidth="1"/>
    <col min="3338" max="3338" width="11.42578125" style="77" customWidth="1"/>
    <col min="3339" max="3339" width="14.85546875" style="77" customWidth="1"/>
    <col min="3340" max="3340" width="11.42578125" style="77" customWidth="1"/>
    <col min="3341" max="3341" width="14.85546875" style="77" customWidth="1"/>
    <col min="3342" max="3342" width="16.5703125" style="77" customWidth="1"/>
    <col min="3343" max="3343" width="10.5703125" style="77" customWidth="1"/>
    <col min="3344" max="3344" width="12.28515625" style="77" bestFit="1" customWidth="1"/>
    <col min="3345" max="3578" width="9.140625" style="77"/>
    <col min="3579" max="3580" width="10" style="77" customWidth="1"/>
    <col min="3581" max="3581" width="9.140625" style="77"/>
    <col min="3582" max="3582" width="24" style="77" customWidth="1"/>
    <col min="3583" max="3583" width="4.7109375" style="77" customWidth="1"/>
    <col min="3584" max="3585" width="13.140625" style="77" customWidth="1"/>
    <col min="3586" max="3586" width="9.140625" style="77"/>
    <col min="3587" max="3587" width="12.85546875" style="77" customWidth="1"/>
    <col min="3588" max="3588" width="9.140625" style="77"/>
    <col min="3589" max="3589" width="20" style="77" customWidth="1"/>
    <col min="3590" max="3591" width="13.140625" style="77" customWidth="1"/>
    <col min="3592" max="3592" width="11.7109375" style="77" customWidth="1"/>
    <col min="3593" max="3593" width="14.85546875" style="77" customWidth="1"/>
    <col min="3594" max="3594" width="11.42578125" style="77" customWidth="1"/>
    <col min="3595" max="3595" width="14.85546875" style="77" customWidth="1"/>
    <col min="3596" max="3596" width="11.42578125" style="77" customWidth="1"/>
    <col min="3597" max="3597" width="14.85546875" style="77" customWidth="1"/>
    <col min="3598" max="3598" width="16.5703125" style="77" customWidth="1"/>
    <col min="3599" max="3599" width="10.5703125" style="77" customWidth="1"/>
    <col min="3600" max="3600" width="12.28515625" style="77" bestFit="1" customWidth="1"/>
    <col min="3601" max="3834" width="9.140625" style="77"/>
    <col min="3835" max="3836" width="10" style="77" customWidth="1"/>
    <col min="3837" max="3837" width="9.140625" style="77"/>
    <col min="3838" max="3838" width="24" style="77" customWidth="1"/>
    <col min="3839" max="3839" width="4.7109375" style="77" customWidth="1"/>
    <col min="3840" max="3841" width="13.140625" style="77" customWidth="1"/>
    <col min="3842" max="3842" width="9.140625" style="77"/>
    <col min="3843" max="3843" width="12.85546875" style="77" customWidth="1"/>
    <col min="3844" max="3844" width="9.140625" style="77"/>
    <col min="3845" max="3845" width="20" style="77" customWidth="1"/>
    <col min="3846" max="3847" width="13.140625" style="77" customWidth="1"/>
    <col min="3848" max="3848" width="11.7109375" style="77" customWidth="1"/>
    <col min="3849" max="3849" width="14.85546875" style="77" customWidth="1"/>
    <col min="3850" max="3850" width="11.42578125" style="77" customWidth="1"/>
    <col min="3851" max="3851" width="14.85546875" style="77" customWidth="1"/>
    <col min="3852" max="3852" width="11.42578125" style="77" customWidth="1"/>
    <col min="3853" max="3853" width="14.85546875" style="77" customWidth="1"/>
    <col min="3854" max="3854" width="16.5703125" style="77" customWidth="1"/>
    <col min="3855" max="3855" width="10.5703125" style="77" customWidth="1"/>
    <col min="3856" max="3856" width="12.28515625" style="77" bestFit="1" customWidth="1"/>
    <col min="3857" max="4090" width="9.140625" style="77"/>
    <col min="4091" max="4092" width="10" style="77" customWidth="1"/>
    <col min="4093" max="4093" width="9.140625" style="77"/>
    <col min="4094" max="4094" width="24" style="77" customWidth="1"/>
    <col min="4095" max="4095" width="4.7109375" style="77" customWidth="1"/>
    <col min="4096" max="4097" width="13.140625" style="77" customWidth="1"/>
    <col min="4098" max="4098" width="9.140625" style="77"/>
    <col min="4099" max="4099" width="12.85546875" style="77" customWidth="1"/>
    <col min="4100" max="4100" width="9.140625" style="77"/>
    <col min="4101" max="4101" width="20" style="77" customWidth="1"/>
    <col min="4102" max="4103" width="13.140625" style="77" customWidth="1"/>
    <col min="4104" max="4104" width="11.7109375" style="77" customWidth="1"/>
    <col min="4105" max="4105" width="14.85546875" style="77" customWidth="1"/>
    <col min="4106" max="4106" width="11.42578125" style="77" customWidth="1"/>
    <col min="4107" max="4107" width="14.85546875" style="77" customWidth="1"/>
    <col min="4108" max="4108" width="11.42578125" style="77" customWidth="1"/>
    <col min="4109" max="4109" width="14.85546875" style="77" customWidth="1"/>
    <col min="4110" max="4110" width="16.5703125" style="77" customWidth="1"/>
    <col min="4111" max="4111" width="10.5703125" style="77" customWidth="1"/>
    <col min="4112" max="4112" width="12.28515625" style="77" bestFit="1" customWidth="1"/>
    <col min="4113" max="4346" width="9.140625" style="77"/>
    <col min="4347" max="4348" width="10" style="77" customWidth="1"/>
    <col min="4349" max="4349" width="9.140625" style="77"/>
    <col min="4350" max="4350" width="24" style="77" customWidth="1"/>
    <col min="4351" max="4351" width="4.7109375" style="77" customWidth="1"/>
    <col min="4352" max="4353" width="13.140625" style="77" customWidth="1"/>
    <col min="4354" max="4354" width="9.140625" style="77"/>
    <col min="4355" max="4355" width="12.85546875" style="77" customWidth="1"/>
    <col min="4356" max="4356" width="9.140625" style="77"/>
    <col min="4357" max="4357" width="20" style="77" customWidth="1"/>
    <col min="4358" max="4359" width="13.140625" style="77" customWidth="1"/>
    <col min="4360" max="4360" width="11.7109375" style="77" customWidth="1"/>
    <col min="4361" max="4361" width="14.85546875" style="77" customWidth="1"/>
    <col min="4362" max="4362" width="11.42578125" style="77" customWidth="1"/>
    <col min="4363" max="4363" width="14.85546875" style="77" customWidth="1"/>
    <col min="4364" max="4364" width="11.42578125" style="77" customWidth="1"/>
    <col min="4365" max="4365" width="14.85546875" style="77" customWidth="1"/>
    <col min="4366" max="4366" width="16.5703125" style="77" customWidth="1"/>
    <col min="4367" max="4367" width="10.5703125" style="77" customWidth="1"/>
    <col min="4368" max="4368" width="12.28515625" style="77" bestFit="1" customWidth="1"/>
    <col min="4369" max="4602" width="9.140625" style="77"/>
    <col min="4603" max="4604" width="10" style="77" customWidth="1"/>
    <col min="4605" max="4605" width="9.140625" style="77"/>
    <col min="4606" max="4606" width="24" style="77" customWidth="1"/>
    <col min="4607" max="4607" width="4.7109375" style="77" customWidth="1"/>
    <col min="4608" max="4609" width="13.140625" style="77" customWidth="1"/>
    <col min="4610" max="4610" width="9.140625" style="77"/>
    <col min="4611" max="4611" width="12.85546875" style="77" customWidth="1"/>
    <col min="4612" max="4612" width="9.140625" style="77"/>
    <col min="4613" max="4613" width="20" style="77" customWidth="1"/>
    <col min="4614" max="4615" width="13.140625" style="77" customWidth="1"/>
    <col min="4616" max="4616" width="11.7109375" style="77" customWidth="1"/>
    <col min="4617" max="4617" width="14.85546875" style="77" customWidth="1"/>
    <col min="4618" max="4618" width="11.42578125" style="77" customWidth="1"/>
    <col min="4619" max="4619" width="14.85546875" style="77" customWidth="1"/>
    <col min="4620" max="4620" width="11.42578125" style="77" customWidth="1"/>
    <col min="4621" max="4621" width="14.85546875" style="77" customWidth="1"/>
    <col min="4622" max="4622" width="16.5703125" style="77" customWidth="1"/>
    <col min="4623" max="4623" width="10.5703125" style="77" customWidth="1"/>
    <col min="4624" max="4624" width="12.28515625" style="77" bestFit="1" customWidth="1"/>
    <col min="4625" max="4858" width="9.140625" style="77"/>
    <col min="4859" max="4860" width="10" style="77" customWidth="1"/>
    <col min="4861" max="4861" width="9.140625" style="77"/>
    <col min="4862" max="4862" width="24" style="77" customWidth="1"/>
    <col min="4863" max="4863" width="4.7109375" style="77" customWidth="1"/>
    <col min="4864" max="4865" width="13.140625" style="77" customWidth="1"/>
    <col min="4866" max="4866" width="9.140625" style="77"/>
    <col min="4867" max="4867" width="12.85546875" style="77" customWidth="1"/>
    <col min="4868" max="4868" width="9.140625" style="77"/>
    <col min="4869" max="4869" width="20" style="77" customWidth="1"/>
    <col min="4870" max="4871" width="13.140625" style="77" customWidth="1"/>
    <col min="4872" max="4872" width="11.7109375" style="77" customWidth="1"/>
    <col min="4873" max="4873" width="14.85546875" style="77" customWidth="1"/>
    <col min="4874" max="4874" width="11.42578125" style="77" customWidth="1"/>
    <col min="4875" max="4875" width="14.85546875" style="77" customWidth="1"/>
    <col min="4876" max="4876" width="11.42578125" style="77" customWidth="1"/>
    <col min="4877" max="4877" width="14.85546875" style="77" customWidth="1"/>
    <col min="4878" max="4878" width="16.5703125" style="77" customWidth="1"/>
    <col min="4879" max="4879" width="10.5703125" style="77" customWidth="1"/>
    <col min="4880" max="4880" width="12.28515625" style="77" bestFit="1" customWidth="1"/>
    <col min="4881" max="5114" width="9.140625" style="77"/>
    <col min="5115" max="5116" width="10" style="77" customWidth="1"/>
    <col min="5117" max="5117" width="9.140625" style="77"/>
    <col min="5118" max="5118" width="24" style="77" customWidth="1"/>
    <col min="5119" max="5119" width="4.7109375" style="77" customWidth="1"/>
    <col min="5120" max="5121" width="13.140625" style="77" customWidth="1"/>
    <col min="5122" max="5122" width="9.140625" style="77"/>
    <col min="5123" max="5123" width="12.85546875" style="77" customWidth="1"/>
    <col min="5124" max="5124" width="9.140625" style="77"/>
    <col min="5125" max="5125" width="20" style="77" customWidth="1"/>
    <col min="5126" max="5127" width="13.140625" style="77" customWidth="1"/>
    <col min="5128" max="5128" width="11.7109375" style="77" customWidth="1"/>
    <col min="5129" max="5129" width="14.85546875" style="77" customWidth="1"/>
    <col min="5130" max="5130" width="11.42578125" style="77" customWidth="1"/>
    <col min="5131" max="5131" width="14.85546875" style="77" customWidth="1"/>
    <col min="5132" max="5132" width="11.42578125" style="77" customWidth="1"/>
    <col min="5133" max="5133" width="14.85546875" style="77" customWidth="1"/>
    <col min="5134" max="5134" width="16.5703125" style="77" customWidth="1"/>
    <col min="5135" max="5135" width="10.5703125" style="77" customWidth="1"/>
    <col min="5136" max="5136" width="12.28515625" style="77" bestFit="1" customWidth="1"/>
    <col min="5137" max="5370" width="9.140625" style="77"/>
    <col min="5371" max="5372" width="10" style="77" customWidth="1"/>
    <col min="5373" max="5373" width="9.140625" style="77"/>
    <col min="5374" max="5374" width="24" style="77" customWidth="1"/>
    <col min="5375" max="5375" width="4.7109375" style="77" customWidth="1"/>
    <col min="5376" max="5377" width="13.140625" style="77" customWidth="1"/>
    <col min="5378" max="5378" width="9.140625" style="77"/>
    <col min="5379" max="5379" width="12.85546875" style="77" customWidth="1"/>
    <col min="5380" max="5380" width="9.140625" style="77"/>
    <col min="5381" max="5381" width="20" style="77" customWidth="1"/>
    <col min="5382" max="5383" width="13.140625" style="77" customWidth="1"/>
    <col min="5384" max="5384" width="11.7109375" style="77" customWidth="1"/>
    <col min="5385" max="5385" width="14.85546875" style="77" customWidth="1"/>
    <col min="5386" max="5386" width="11.42578125" style="77" customWidth="1"/>
    <col min="5387" max="5387" width="14.85546875" style="77" customWidth="1"/>
    <col min="5388" max="5388" width="11.42578125" style="77" customWidth="1"/>
    <col min="5389" max="5389" width="14.85546875" style="77" customWidth="1"/>
    <col min="5390" max="5390" width="16.5703125" style="77" customWidth="1"/>
    <col min="5391" max="5391" width="10.5703125" style="77" customWidth="1"/>
    <col min="5392" max="5392" width="12.28515625" style="77" bestFit="1" customWidth="1"/>
    <col min="5393" max="5626" width="9.140625" style="77"/>
    <col min="5627" max="5628" width="10" style="77" customWidth="1"/>
    <col min="5629" max="5629" width="9.140625" style="77"/>
    <col min="5630" max="5630" width="24" style="77" customWidth="1"/>
    <col min="5631" max="5631" width="4.7109375" style="77" customWidth="1"/>
    <col min="5632" max="5633" width="13.140625" style="77" customWidth="1"/>
    <col min="5634" max="5634" width="9.140625" style="77"/>
    <col min="5635" max="5635" width="12.85546875" style="77" customWidth="1"/>
    <col min="5636" max="5636" width="9.140625" style="77"/>
    <col min="5637" max="5637" width="20" style="77" customWidth="1"/>
    <col min="5638" max="5639" width="13.140625" style="77" customWidth="1"/>
    <col min="5640" max="5640" width="11.7109375" style="77" customWidth="1"/>
    <col min="5641" max="5641" width="14.85546875" style="77" customWidth="1"/>
    <col min="5642" max="5642" width="11.42578125" style="77" customWidth="1"/>
    <col min="5643" max="5643" width="14.85546875" style="77" customWidth="1"/>
    <col min="5644" max="5644" width="11.42578125" style="77" customWidth="1"/>
    <col min="5645" max="5645" width="14.85546875" style="77" customWidth="1"/>
    <col min="5646" max="5646" width="16.5703125" style="77" customWidth="1"/>
    <col min="5647" max="5647" width="10.5703125" style="77" customWidth="1"/>
    <col min="5648" max="5648" width="12.28515625" style="77" bestFit="1" customWidth="1"/>
    <col min="5649" max="5882" width="9.140625" style="77"/>
    <col min="5883" max="5884" width="10" style="77" customWidth="1"/>
    <col min="5885" max="5885" width="9.140625" style="77"/>
    <col min="5886" max="5886" width="24" style="77" customWidth="1"/>
    <col min="5887" max="5887" width="4.7109375" style="77" customWidth="1"/>
    <col min="5888" max="5889" width="13.140625" style="77" customWidth="1"/>
    <col min="5890" max="5890" width="9.140625" style="77"/>
    <col min="5891" max="5891" width="12.85546875" style="77" customWidth="1"/>
    <col min="5892" max="5892" width="9.140625" style="77"/>
    <col min="5893" max="5893" width="20" style="77" customWidth="1"/>
    <col min="5894" max="5895" width="13.140625" style="77" customWidth="1"/>
    <col min="5896" max="5896" width="11.7109375" style="77" customWidth="1"/>
    <col min="5897" max="5897" width="14.85546875" style="77" customWidth="1"/>
    <col min="5898" max="5898" width="11.42578125" style="77" customWidth="1"/>
    <col min="5899" max="5899" width="14.85546875" style="77" customWidth="1"/>
    <col min="5900" max="5900" width="11.42578125" style="77" customWidth="1"/>
    <col min="5901" max="5901" width="14.85546875" style="77" customWidth="1"/>
    <col min="5902" max="5902" width="16.5703125" style="77" customWidth="1"/>
    <col min="5903" max="5903" width="10.5703125" style="77" customWidth="1"/>
    <col min="5904" max="5904" width="12.28515625" style="77" bestFit="1" customWidth="1"/>
    <col min="5905" max="6138" width="9.140625" style="77"/>
    <col min="6139" max="6140" width="10" style="77" customWidth="1"/>
    <col min="6141" max="6141" width="9.140625" style="77"/>
    <col min="6142" max="6142" width="24" style="77" customWidth="1"/>
    <col min="6143" max="6143" width="4.7109375" style="77" customWidth="1"/>
    <col min="6144" max="6145" width="13.140625" style="77" customWidth="1"/>
    <col min="6146" max="6146" width="9.140625" style="77"/>
    <col min="6147" max="6147" width="12.85546875" style="77" customWidth="1"/>
    <col min="6148" max="6148" width="9.140625" style="77"/>
    <col min="6149" max="6149" width="20" style="77" customWidth="1"/>
    <col min="6150" max="6151" width="13.140625" style="77" customWidth="1"/>
    <col min="6152" max="6152" width="11.7109375" style="77" customWidth="1"/>
    <col min="6153" max="6153" width="14.85546875" style="77" customWidth="1"/>
    <col min="6154" max="6154" width="11.42578125" style="77" customWidth="1"/>
    <col min="6155" max="6155" width="14.85546875" style="77" customWidth="1"/>
    <col min="6156" max="6156" width="11.42578125" style="77" customWidth="1"/>
    <col min="6157" max="6157" width="14.85546875" style="77" customWidth="1"/>
    <col min="6158" max="6158" width="16.5703125" style="77" customWidth="1"/>
    <col min="6159" max="6159" width="10.5703125" style="77" customWidth="1"/>
    <col min="6160" max="6160" width="12.28515625" style="77" bestFit="1" customWidth="1"/>
    <col min="6161" max="6394" width="9.140625" style="77"/>
    <col min="6395" max="6396" width="10" style="77" customWidth="1"/>
    <col min="6397" max="6397" width="9.140625" style="77"/>
    <col min="6398" max="6398" width="24" style="77" customWidth="1"/>
    <col min="6399" max="6399" width="4.7109375" style="77" customWidth="1"/>
    <col min="6400" max="6401" width="13.140625" style="77" customWidth="1"/>
    <col min="6402" max="6402" width="9.140625" style="77"/>
    <col min="6403" max="6403" width="12.85546875" style="77" customWidth="1"/>
    <col min="6404" max="6404" width="9.140625" style="77"/>
    <col min="6405" max="6405" width="20" style="77" customWidth="1"/>
    <col min="6406" max="6407" width="13.140625" style="77" customWidth="1"/>
    <col min="6408" max="6408" width="11.7109375" style="77" customWidth="1"/>
    <col min="6409" max="6409" width="14.85546875" style="77" customWidth="1"/>
    <col min="6410" max="6410" width="11.42578125" style="77" customWidth="1"/>
    <col min="6411" max="6411" width="14.85546875" style="77" customWidth="1"/>
    <col min="6412" max="6412" width="11.42578125" style="77" customWidth="1"/>
    <col min="6413" max="6413" width="14.85546875" style="77" customWidth="1"/>
    <col min="6414" max="6414" width="16.5703125" style="77" customWidth="1"/>
    <col min="6415" max="6415" width="10.5703125" style="77" customWidth="1"/>
    <col min="6416" max="6416" width="12.28515625" style="77" bestFit="1" customWidth="1"/>
    <col min="6417" max="6650" width="9.140625" style="77"/>
    <col min="6651" max="6652" width="10" style="77" customWidth="1"/>
    <col min="6653" max="6653" width="9.140625" style="77"/>
    <col min="6654" max="6654" width="24" style="77" customWidth="1"/>
    <col min="6655" max="6655" width="4.7109375" style="77" customWidth="1"/>
    <col min="6656" max="6657" width="13.140625" style="77" customWidth="1"/>
    <col min="6658" max="6658" width="9.140625" style="77"/>
    <col min="6659" max="6659" width="12.85546875" style="77" customWidth="1"/>
    <col min="6660" max="6660" width="9.140625" style="77"/>
    <col min="6661" max="6661" width="20" style="77" customWidth="1"/>
    <col min="6662" max="6663" width="13.140625" style="77" customWidth="1"/>
    <col min="6664" max="6664" width="11.7109375" style="77" customWidth="1"/>
    <col min="6665" max="6665" width="14.85546875" style="77" customWidth="1"/>
    <col min="6666" max="6666" width="11.42578125" style="77" customWidth="1"/>
    <col min="6667" max="6667" width="14.85546875" style="77" customWidth="1"/>
    <col min="6668" max="6668" width="11.42578125" style="77" customWidth="1"/>
    <col min="6669" max="6669" width="14.85546875" style="77" customWidth="1"/>
    <col min="6670" max="6670" width="16.5703125" style="77" customWidth="1"/>
    <col min="6671" max="6671" width="10.5703125" style="77" customWidth="1"/>
    <col min="6672" max="6672" width="12.28515625" style="77" bestFit="1" customWidth="1"/>
    <col min="6673" max="6906" width="9.140625" style="77"/>
    <col min="6907" max="6908" width="10" style="77" customWidth="1"/>
    <col min="6909" max="6909" width="9.140625" style="77"/>
    <col min="6910" max="6910" width="24" style="77" customWidth="1"/>
    <col min="6911" max="6911" width="4.7109375" style="77" customWidth="1"/>
    <col min="6912" max="6913" width="13.140625" style="77" customWidth="1"/>
    <col min="6914" max="6914" width="9.140625" style="77"/>
    <col min="6915" max="6915" width="12.85546875" style="77" customWidth="1"/>
    <col min="6916" max="6916" width="9.140625" style="77"/>
    <col min="6917" max="6917" width="20" style="77" customWidth="1"/>
    <col min="6918" max="6919" width="13.140625" style="77" customWidth="1"/>
    <col min="6920" max="6920" width="11.7109375" style="77" customWidth="1"/>
    <col min="6921" max="6921" width="14.85546875" style="77" customWidth="1"/>
    <col min="6922" max="6922" width="11.42578125" style="77" customWidth="1"/>
    <col min="6923" max="6923" width="14.85546875" style="77" customWidth="1"/>
    <col min="6924" max="6924" width="11.42578125" style="77" customWidth="1"/>
    <col min="6925" max="6925" width="14.85546875" style="77" customWidth="1"/>
    <col min="6926" max="6926" width="16.5703125" style="77" customWidth="1"/>
    <col min="6927" max="6927" width="10.5703125" style="77" customWidth="1"/>
    <col min="6928" max="6928" width="12.28515625" style="77" bestFit="1" customWidth="1"/>
    <col min="6929" max="7162" width="9.140625" style="77"/>
    <col min="7163" max="7164" width="10" style="77" customWidth="1"/>
    <col min="7165" max="7165" width="9.140625" style="77"/>
    <col min="7166" max="7166" width="24" style="77" customWidth="1"/>
    <col min="7167" max="7167" width="4.7109375" style="77" customWidth="1"/>
    <col min="7168" max="7169" width="13.140625" style="77" customWidth="1"/>
    <col min="7170" max="7170" width="9.140625" style="77"/>
    <col min="7171" max="7171" width="12.85546875" style="77" customWidth="1"/>
    <col min="7172" max="7172" width="9.140625" style="77"/>
    <col min="7173" max="7173" width="20" style="77" customWidth="1"/>
    <col min="7174" max="7175" width="13.140625" style="77" customWidth="1"/>
    <col min="7176" max="7176" width="11.7109375" style="77" customWidth="1"/>
    <col min="7177" max="7177" width="14.85546875" style="77" customWidth="1"/>
    <col min="7178" max="7178" width="11.42578125" style="77" customWidth="1"/>
    <col min="7179" max="7179" width="14.85546875" style="77" customWidth="1"/>
    <col min="7180" max="7180" width="11.42578125" style="77" customWidth="1"/>
    <col min="7181" max="7181" width="14.85546875" style="77" customWidth="1"/>
    <col min="7182" max="7182" width="16.5703125" style="77" customWidth="1"/>
    <col min="7183" max="7183" width="10.5703125" style="77" customWidth="1"/>
    <col min="7184" max="7184" width="12.28515625" style="77" bestFit="1" customWidth="1"/>
    <col min="7185" max="7418" width="9.140625" style="77"/>
    <col min="7419" max="7420" width="10" style="77" customWidth="1"/>
    <col min="7421" max="7421" width="9.140625" style="77"/>
    <col min="7422" max="7422" width="24" style="77" customWidth="1"/>
    <col min="7423" max="7423" width="4.7109375" style="77" customWidth="1"/>
    <col min="7424" max="7425" width="13.140625" style="77" customWidth="1"/>
    <col min="7426" max="7426" width="9.140625" style="77"/>
    <col min="7427" max="7427" width="12.85546875" style="77" customWidth="1"/>
    <col min="7428" max="7428" width="9.140625" style="77"/>
    <col min="7429" max="7429" width="20" style="77" customWidth="1"/>
    <col min="7430" max="7431" width="13.140625" style="77" customWidth="1"/>
    <col min="7432" max="7432" width="11.7109375" style="77" customWidth="1"/>
    <col min="7433" max="7433" width="14.85546875" style="77" customWidth="1"/>
    <col min="7434" max="7434" width="11.42578125" style="77" customWidth="1"/>
    <col min="7435" max="7435" width="14.85546875" style="77" customWidth="1"/>
    <col min="7436" max="7436" width="11.42578125" style="77" customWidth="1"/>
    <col min="7437" max="7437" width="14.85546875" style="77" customWidth="1"/>
    <col min="7438" max="7438" width="16.5703125" style="77" customWidth="1"/>
    <col min="7439" max="7439" width="10.5703125" style="77" customWidth="1"/>
    <col min="7440" max="7440" width="12.28515625" style="77" bestFit="1" customWidth="1"/>
    <col min="7441" max="7674" width="9.140625" style="77"/>
    <col min="7675" max="7676" width="10" style="77" customWidth="1"/>
    <col min="7677" max="7677" width="9.140625" style="77"/>
    <col min="7678" max="7678" width="24" style="77" customWidth="1"/>
    <col min="7679" max="7679" width="4.7109375" style="77" customWidth="1"/>
    <col min="7680" max="7681" width="13.140625" style="77" customWidth="1"/>
    <col min="7682" max="7682" width="9.140625" style="77"/>
    <col min="7683" max="7683" width="12.85546875" style="77" customWidth="1"/>
    <col min="7684" max="7684" width="9.140625" style="77"/>
    <col min="7685" max="7685" width="20" style="77" customWidth="1"/>
    <col min="7686" max="7687" width="13.140625" style="77" customWidth="1"/>
    <col min="7688" max="7688" width="11.7109375" style="77" customWidth="1"/>
    <col min="7689" max="7689" width="14.85546875" style="77" customWidth="1"/>
    <col min="7690" max="7690" width="11.42578125" style="77" customWidth="1"/>
    <col min="7691" max="7691" width="14.85546875" style="77" customWidth="1"/>
    <col min="7692" max="7692" width="11.42578125" style="77" customWidth="1"/>
    <col min="7693" max="7693" width="14.85546875" style="77" customWidth="1"/>
    <col min="7694" max="7694" width="16.5703125" style="77" customWidth="1"/>
    <col min="7695" max="7695" width="10.5703125" style="77" customWidth="1"/>
    <col min="7696" max="7696" width="12.28515625" style="77" bestFit="1" customWidth="1"/>
    <col min="7697" max="7930" width="9.140625" style="77"/>
    <col min="7931" max="7932" width="10" style="77" customWidth="1"/>
    <col min="7933" max="7933" width="9.140625" style="77"/>
    <col min="7934" max="7934" width="24" style="77" customWidth="1"/>
    <col min="7935" max="7935" width="4.7109375" style="77" customWidth="1"/>
    <col min="7936" max="7937" width="13.140625" style="77" customWidth="1"/>
    <col min="7938" max="7938" width="9.140625" style="77"/>
    <col min="7939" max="7939" width="12.85546875" style="77" customWidth="1"/>
    <col min="7940" max="7940" width="9.140625" style="77"/>
    <col min="7941" max="7941" width="20" style="77" customWidth="1"/>
    <col min="7942" max="7943" width="13.140625" style="77" customWidth="1"/>
    <col min="7944" max="7944" width="11.7109375" style="77" customWidth="1"/>
    <col min="7945" max="7945" width="14.85546875" style="77" customWidth="1"/>
    <col min="7946" max="7946" width="11.42578125" style="77" customWidth="1"/>
    <col min="7947" max="7947" width="14.85546875" style="77" customWidth="1"/>
    <col min="7948" max="7948" width="11.42578125" style="77" customWidth="1"/>
    <col min="7949" max="7949" width="14.85546875" style="77" customWidth="1"/>
    <col min="7950" max="7950" width="16.5703125" style="77" customWidth="1"/>
    <col min="7951" max="7951" width="10.5703125" style="77" customWidth="1"/>
    <col min="7952" max="7952" width="12.28515625" style="77" bestFit="1" customWidth="1"/>
    <col min="7953" max="8186" width="9.140625" style="77"/>
    <col min="8187" max="8188" width="10" style="77" customWidth="1"/>
    <col min="8189" max="8189" width="9.140625" style="77"/>
    <col min="8190" max="8190" width="24" style="77" customWidth="1"/>
    <col min="8191" max="8191" width="4.7109375" style="77" customWidth="1"/>
    <col min="8192" max="8193" width="13.140625" style="77" customWidth="1"/>
    <col min="8194" max="8194" width="9.140625" style="77"/>
    <col min="8195" max="8195" width="12.85546875" style="77" customWidth="1"/>
    <col min="8196" max="8196" width="9.140625" style="77"/>
    <col min="8197" max="8197" width="20" style="77" customWidth="1"/>
    <col min="8198" max="8199" width="13.140625" style="77" customWidth="1"/>
    <col min="8200" max="8200" width="11.7109375" style="77" customWidth="1"/>
    <col min="8201" max="8201" width="14.85546875" style="77" customWidth="1"/>
    <col min="8202" max="8202" width="11.42578125" style="77" customWidth="1"/>
    <col min="8203" max="8203" width="14.85546875" style="77" customWidth="1"/>
    <col min="8204" max="8204" width="11.42578125" style="77" customWidth="1"/>
    <col min="8205" max="8205" width="14.85546875" style="77" customWidth="1"/>
    <col min="8206" max="8206" width="16.5703125" style="77" customWidth="1"/>
    <col min="8207" max="8207" width="10.5703125" style="77" customWidth="1"/>
    <col min="8208" max="8208" width="12.28515625" style="77" bestFit="1" customWidth="1"/>
    <col min="8209" max="8442" width="9.140625" style="77"/>
    <col min="8443" max="8444" width="10" style="77" customWidth="1"/>
    <col min="8445" max="8445" width="9.140625" style="77"/>
    <col min="8446" max="8446" width="24" style="77" customWidth="1"/>
    <col min="8447" max="8447" width="4.7109375" style="77" customWidth="1"/>
    <col min="8448" max="8449" width="13.140625" style="77" customWidth="1"/>
    <col min="8450" max="8450" width="9.140625" style="77"/>
    <col min="8451" max="8451" width="12.85546875" style="77" customWidth="1"/>
    <col min="8452" max="8452" width="9.140625" style="77"/>
    <col min="8453" max="8453" width="20" style="77" customWidth="1"/>
    <col min="8454" max="8455" width="13.140625" style="77" customWidth="1"/>
    <col min="8456" max="8456" width="11.7109375" style="77" customWidth="1"/>
    <col min="8457" max="8457" width="14.85546875" style="77" customWidth="1"/>
    <col min="8458" max="8458" width="11.42578125" style="77" customWidth="1"/>
    <col min="8459" max="8459" width="14.85546875" style="77" customWidth="1"/>
    <col min="8460" max="8460" width="11.42578125" style="77" customWidth="1"/>
    <col min="8461" max="8461" width="14.85546875" style="77" customWidth="1"/>
    <col min="8462" max="8462" width="16.5703125" style="77" customWidth="1"/>
    <col min="8463" max="8463" width="10.5703125" style="77" customWidth="1"/>
    <col min="8464" max="8464" width="12.28515625" style="77" bestFit="1" customWidth="1"/>
    <col min="8465" max="8698" width="9.140625" style="77"/>
    <col min="8699" max="8700" width="10" style="77" customWidth="1"/>
    <col min="8701" max="8701" width="9.140625" style="77"/>
    <col min="8702" max="8702" width="24" style="77" customWidth="1"/>
    <col min="8703" max="8703" width="4.7109375" style="77" customWidth="1"/>
    <col min="8704" max="8705" width="13.140625" style="77" customWidth="1"/>
    <col min="8706" max="8706" width="9.140625" style="77"/>
    <col min="8707" max="8707" width="12.85546875" style="77" customWidth="1"/>
    <col min="8708" max="8708" width="9.140625" style="77"/>
    <col min="8709" max="8709" width="20" style="77" customWidth="1"/>
    <col min="8710" max="8711" width="13.140625" style="77" customWidth="1"/>
    <col min="8712" max="8712" width="11.7109375" style="77" customWidth="1"/>
    <col min="8713" max="8713" width="14.85546875" style="77" customWidth="1"/>
    <col min="8714" max="8714" width="11.42578125" style="77" customWidth="1"/>
    <col min="8715" max="8715" width="14.85546875" style="77" customWidth="1"/>
    <col min="8716" max="8716" width="11.42578125" style="77" customWidth="1"/>
    <col min="8717" max="8717" width="14.85546875" style="77" customWidth="1"/>
    <col min="8718" max="8718" width="16.5703125" style="77" customWidth="1"/>
    <col min="8719" max="8719" width="10.5703125" style="77" customWidth="1"/>
    <col min="8720" max="8720" width="12.28515625" style="77" bestFit="1" customWidth="1"/>
    <col min="8721" max="8954" width="9.140625" style="77"/>
    <col min="8955" max="8956" width="10" style="77" customWidth="1"/>
    <col min="8957" max="8957" width="9.140625" style="77"/>
    <col min="8958" max="8958" width="24" style="77" customWidth="1"/>
    <col min="8959" max="8959" width="4.7109375" style="77" customWidth="1"/>
    <col min="8960" max="8961" width="13.140625" style="77" customWidth="1"/>
    <col min="8962" max="8962" width="9.140625" style="77"/>
    <col min="8963" max="8963" width="12.85546875" style="77" customWidth="1"/>
    <col min="8964" max="8964" width="9.140625" style="77"/>
    <col min="8965" max="8965" width="20" style="77" customWidth="1"/>
    <col min="8966" max="8967" width="13.140625" style="77" customWidth="1"/>
    <col min="8968" max="8968" width="11.7109375" style="77" customWidth="1"/>
    <col min="8969" max="8969" width="14.85546875" style="77" customWidth="1"/>
    <col min="8970" max="8970" width="11.42578125" style="77" customWidth="1"/>
    <col min="8971" max="8971" width="14.85546875" style="77" customWidth="1"/>
    <col min="8972" max="8972" width="11.42578125" style="77" customWidth="1"/>
    <col min="8973" max="8973" width="14.85546875" style="77" customWidth="1"/>
    <col min="8974" max="8974" width="16.5703125" style="77" customWidth="1"/>
    <col min="8975" max="8975" width="10.5703125" style="77" customWidth="1"/>
    <col min="8976" max="8976" width="12.28515625" style="77" bestFit="1" customWidth="1"/>
    <col min="8977" max="9210" width="9.140625" style="77"/>
    <col min="9211" max="9212" width="10" style="77" customWidth="1"/>
    <col min="9213" max="9213" width="9.140625" style="77"/>
    <col min="9214" max="9214" width="24" style="77" customWidth="1"/>
    <col min="9215" max="9215" width="4.7109375" style="77" customWidth="1"/>
    <col min="9216" max="9217" width="13.140625" style="77" customWidth="1"/>
    <col min="9218" max="9218" width="9.140625" style="77"/>
    <col min="9219" max="9219" width="12.85546875" style="77" customWidth="1"/>
    <col min="9220" max="9220" width="9.140625" style="77"/>
    <col min="9221" max="9221" width="20" style="77" customWidth="1"/>
    <col min="9222" max="9223" width="13.140625" style="77" customWidth="1"/>
    <col min="9224" max="9224" width="11.7109375" style="77" customWidth="1"/>
    <col min="9225" max="9225" width="14.85546875" style="77" customWidth="1"/>
    <col min="9226" max="9226" width="11.42578125" style="77" customWidth="1"/>
    <col min="9227" max="9227" width="14.85546875" style="77" customWidth="1"/>
    <col min="9228" max="9228" width="11.42578125" style="77" customWidth="1"/>
    <col min="9229" max="9229" width="14.85546875" style="77" customWidth="1"/>
    <col min="9230" max="9230" width="16.5703125" style="77" customWidth="1"/>
    <col min="9231" max="9231" width="10.5703125" style="77" customWidth="1"/>
    <col min="9232" max="9232" width="12.28515625" style="77" bestFit="1" customWidth="1"/>
    <col min="9233" max="9466" width="9.140625" style="77"/>
    <col min="9467" max="9468" width="10" style="77" customWidth="1"/>
    <col min="9469" max="9469" width="9.140625" style="77"/>
    <col min="9470" max="9470" width="24" style="77" customWidth="1"/>
    <col min="9471" max="9471" width="4.7109375" style="77" customWidth="1"/>
    <col min="9472" max="9473" width="13.140625" style="77" customWidth="1"/>
    <col min="9474" max="9474" width="9.140625" style="77"/>
    <col min="9475" max="9475" width="12.85546875" style="77" customWidth="1"/>
    <col min="9476" max="9476" width="9.140625" style="77"/>
    <col min="9477" max="9477" width="20" style="77" customWidth="1"/>
    <col min="9478" max="9479" width="13.140625" style="77" customWidth="1"/>
    <col min="9480" max="9480" width="11.7109375" style="77" customWidth="1"/>
    <col min="9481" max="9481" width="14.85546875" style="77" customWidth="1"/>
    <col min="9482" max="9482" width="11.42578125" style="77" customWidth="1"/>
    <col min="9483" max="9483" width="14.85546875" style="77" customWidth="1"/>
    <col min="9484" max="9484" width="11.42578125" style="77" customWidth="1"/>
    <col min="9485" max="9485" width="14.85546875" style="77" customWidth="1"/>
    <col min="9486" max="9486" width="16.5703125" style="77" customWidth="1"/>
    <col min="9487" max="9487" width="10.5703125" style="77" customWidth="1"/>
    <col min="9488" max="9488" width="12.28515625" style="77" bestFit="1" customWidth="1"/>
    <col min="9489" max="9722" width="9.140625" style="77"/>
    <col min="9723" max="9724" width="10" style="77" customWidth="1"/>
    <col min="9725" max="9725" width="9.140625" style="77"/>
    <col min="9726" max="9726" width="24" style="77" customWidth="1"/>
    <col min="9727" max="9727" width="4.7109375" style="77" customWidth="1"/>
    <col min="9728" max="9729" width="13.140625" style="77" customWidth="1"/>
    <col min="9730" max="9730" width="9.140625" style="77"/>
    <col min="9731" max="9731" width="12.85546875" style="77" customWidth="1"/>
    <col min="9732" max="9732" width="9.140625" style="77"/>
    <col min="9733" max="9733" width="20" style="77" customWidth="1"/>
    <col min="9734" max="9735" width="13.140625" style="77" customWidth="1"/>
    <col min="9736" max="9736" width="11.7109375" style="77" customWidth="1"/>
    <col min="9737" max="9737" width="14.85546875" style="77" customWidth="1"/>
    <col min="9738" max="9738" width="11.42578125" style="77" customWidth="1"/>
    <col min="9739" max="9739" width="14.85546875" style="77" customWidth="1"/>
    <col min="9740" max="9740" width="11.42578125" style="77" customWidth="1"/>
    <col min="9741" max="9741" width="14.85546875" style="77" customWidth="1"/>
    <col min="9742" max="9742" width="16.5703125" style="77" customWidth="1"/>
    <col min="9743" max="9743" width="10.5703125" style="77" customWidth="1"/>
    <col min="9744" max="9744" width="12.28515625" style="77" bestFit="1" customWidth="1"/>
    <col min="9745" max="9978" width="9.140625" style="77"/>
    <col min="9979" max="9980" width="10" style="77" customWidth="1"/>
    <col min="9981" max="9981" width="9.140625" style="77"/>
    <col min="9982" max="9982" width="24" style="77" customWidth="1"/>
    <col min="9983" max="9983" width="4.7109375" style="77" customWidth="1"/>
    <col min="9984" max="9985" width="13.140625" style="77" customWidth="1"/>
    <col min="9986" max="9986" width="9.140625" style="77"/>
    <col min="9987" max="9987" width="12.85546875" style="77" customWidth="1"/>
    <col min="9988" max="9988" width="9.140625" style="77"/>
    <col min="9989" max="9989" width="20" style="77" customWidth="1"/>
    <col min="9990" max="9991" width="13.140625" style="77" customWidth="1"/>
    <col min="9992" max="9992" width="11.7109375" style="77" customWidth="1"/>
    <col min="9993" max="9993" width="14.85546875" style="77" customWidth="1"/>
    <col min="9994" max="9994" width="11.42578125" style="77" customWidth="1"/>
    <col min="9995" max="9995" width="14.85546875" style="77" customWidth="1"/>
    <col min="9996" max="9996" width="11.42578125" style="77" customWidth="1"/>
    <col min="9997" max="9997" width="14.85546875" style="77" customWidth="1"/>
    <col min="9998" max="9998" width="16.5703125" style="77" customWidth="1"/>
    <col min="9999" max="9999" width="10.5703125" style="77" customWidth="1"/>
    <col min="10000" max="10000" width="12.28515625" style="77" bestFit="1" customWidth="1"/>
    <col min="10001" max="10234" width="9.140625" style="77"/>
    <col min="10235" max="10236" width="10" style="77" customWidth="1"/>
    <col min="10237" max="10237" width="9.140625" style="77"/>
    <col min="10238" max="10238" width="24" style="77" customWidth="1"/>
    <col min="10239" max="10239" width="4.7109375" style="77" customWidth="1"/>
    <col min="10240" max="10241" width="13.140625" style="77" customWidth="1"/>
    <col min="10242" max="10242" width="9.140625" style="77"/>
    <col min="10243" max="10243" width="12.85546875" style="77" customWidth="1"/>
    <col min="10244" max="10244" width="9.140625" style="77"/>
    <col min="10245" max="10245" width="20" style="77" customWidth="1"/>
    <col min="10246" max="10247" width="13.140625" style="77" customWidth="1"/>
    <col min="10248" max="10248" width="11.7109375" style="77" customWidth="1"/>
    <col min="10249" max="10249" width="14.85546875" style="77" customWidth="1"/>
    <col min="10250" max="10250" width="11.42578125" style="77" customWidth="1"/>
    <col min="10251" max="10251" width="14.85546875" style="77" customWidth="1"/>
    <col min="10252" max="10252" width="11.42578125" style="77" customWidth="1"/>
    <col min="10253" max="10253" width="14.85546875" style="77" customWidth="1"/>
    <col min="10254" max="10254" width="16.5703125" style="77" customWidth="1"/>
    <col min="10255" max="10255" width="10.5703125" style="77" customWidth="1"/>
    <col min="10256" max="10256" width="12.28515625" style="77" bestFit="1" customWidth="1"/>
    <col min="10257" max="10490" width="9.140625" style="77"/>
    <col min="10491" max="10492" width="10" style="77" customWidth="1"/>
    <col min="10493" max="10493" width="9.140625" style="77"/>
    <col min="10494" max="10494" width="24" style="77" customWidth="1"/>
    <col min="10495" max="10495" width="4.7109375" style="77" customWidth="1"/>
    <col min="10496" max="10497" width="13.140625" style="77" customWidth="1"/>
    <col min="10498" max="10498" width="9.140625" style="77"/>
    <col min="10499" max="10499" width="12.85546875" style="77" customWidth="1"/>
    <col min="10500" max="10500" width="9.140625" style="77"/>
    <col min="10501" max="10501" width="20" style="77" customWidth="1"/>
    <col min="10502" max="10503" width="13.140625" style="77" customWidth="1"/>
    <col min="10504" max="10504" width="11.7109375" style="77" customWidth="1"/>
    <col min="10505" max="10505" width="14.85546875" style="77" customWidth="1"/>
    <col min="10506" max="10506" width="11.42578125" style="77" customWidth="1"/>
    <col min="10507" max="10507" width="14.85546875" style="77" customWidth="1"/>
    <col min="10508" max="10508" width="11.42578125" style="77" customWidth="1"/>
    <col min="10509" max="10509" width="14.85546875" style="77" customWidth="1"/>
    <col min="10510" max="10510" width="16.5703125" style="77" customWidth="1"/>
    <col min="10511" max="10511" width="10.5703125" style="77" customWidth="1"/>
    <col min="10512" max="10512" width="12.28515625" style="77" bestFit="1" customWidth="1"/>
    <col min="10513" max="10746" width="9.140625" style="77"/>
    <col min="10747" max="10748" width="10" style="77" customWidth="1"/>
    <col min="10749" max="10749" width="9.140625" style="77"/>
    <col min="10750" max="10750" width="24" style="77" customWidth="1"/>
    <col min="10751" max="10751" width="4.7109375" style="77" customWidth="1"/>
    <col min="10752" max="10753" width="13.140625" style="77" customWidth="1"/>
    <col min="10754" max="10754" width="9.140625" style="77"/>
    <col min="10755" max="10755" width="12.85546875" style="77" customWidth="1"/>
    <col min="10756" max="10756" width="9.140625" style="77"/>
    <col min="10757" max="10757" width="20" style="77" customWidth="1"/>
    <col min="10758" max="10759" width="13.140625" style="77" customWidth="1"/>
    <col min="10760" max="10760" width="11.7109375" style="77" customWidth="1"/>
    <col min="10761" max="10761" width="14.85546875" style="77" customWidth="1"/>
    <col min="10762" max="10762" width="11.42578125" style="77" customWidth="1"/>
    <col min="10763" max="10763" width="14.85546875" style="77" customWidth="1"/>
    <col min="10764" max="10764" width="11.42578125" style="77" customWidth="1"/>
    <col min="10765" max="10765" width="14.85546875" style="77" customWidth="1"/>
    <col min="10766" max="10766" width="16.5703125" style="77" customWidth="1"/>
    <col min="10767" max="10767" width="10.5703125" style="77" customWidth="1"/>
    <col min="10768" max="10768" width="12.28515625" style="77" bestFit="1" customWidth="1"/>
    <col min="10769" max="11002" width="9.140625" style="77"/>
    <col min="11003" max="11004" width="10" style="77" customWidth="1"/>
    <col min="11005" max="11005" width="9.140625" style="77"/>
    <col min="11006" max="11006" width="24" style="77" customWidth="1"/>
    <col min="11007" max="11007" width="4.7109375" style="77" customWidth="1"/>
    <col min="11008" max="11009" width="13.140625" style="77" customWidth="1"/>
    <col min="11010" max="11010" width="9.140625" style="77"/>
    <col min="11011" max="11011" width="12.85546875" style="77" customWidth="1"/>
    <col min="11012" max="11012" width="9.140625" style="77"/>
    <col min="11013" max="11013" width="20" style="77" customWidth="1"/>
    <col min="11014" max="11015" width="13.140625" style="77" customWidth="1"/>
    <col min="11016" max="11016" width="11.7109375" style="77" customWidth="1"/>
    <col min="11017" max="11017" width="14.85546875" style="77" customWidth="1"/>
    <col min="11018" max="11018" width="11.42578125" style="77" customWidth="1"/>
    <col min="11019" max="11019" width="14.85546875" style="77" customWidth="1"/>
    <col min="11020" max="11020" width="11.42578125" style="77" customWidth="1"/>
    <col min="11021" max="11021" width="14.85546875" style="77" customWidth="1"/>
    <col min="11022" max="11022" width="16.5703125" style="77" customWidth="1"/>
    <col min="11023" max="11023" width="10.5703125" style="77" customWidth="1"/>
    <col min="11024" max="11024" width="12.28515625" style="77" bestFit="1" customWidth="1"/>
    <col min="11025" max="11258" width="9.140625" style="77"/>
    <col min="11259" max="11260" width="10" style="77" customWidth="1"/>
    <col min="11261" max="11261" width="9.140625" style="77"/>
    <col min="11262" max="11262" width="24" style="77" customWidth="1"/>
    <col min="11263" max="11263" width="4.7109375" style="77" customWidth="1"/>
    <col min="11264" max="11265" width="13.140625" style="77" customWidth="1"/>
    <col min="11266" max="11266" width="9.140625" style="77"/>
    <col min="11267" max="11267" width="12.85546875" style="77" customWidth="1"/>
    <col min="11268" max="11268" width="9.140625" style="77"/>
    <col min="11269" max="11269" width="20" style="77" customWidth="1"/>
    <col min="11270" max="11271" width="13.140625" style="77" customWidth="1"/>
    <col min="11272" max="11272" width="11.7109375" style="77" customWidth="1"/>
    <col min="11273" max="11273" width="14.85546875" style="77" customWidth="1"/>
    <col min="11274" max="11274" width="11.42578125" style="77" customWidth="1"/>
    <col min="11275" max="11275" width="14.85546875" style="77" customWidth="1"/>
    <col min="11276" max="11276" width="11.42578125" style="77" customWidth="1"/>
    <col min="11277" max="11277" width="14.85546875" style="77" customWidth="1"/>
    <col min="11278" max="11278" width="16.5703125" style="77" customWidth="1"/>
    <col min="11279" max="11279" width="10.5703125" style="77" customWidth="1"/>
    <col min="11280" max="11280" width="12.28515625" style="77" bestFit="1" customWidth="1"/>
    <col min="11281" max="11514" width="9.140625" style="77"/>
    <col min="11515" max="11516" width="10" style="77" customWidth="1"/>
    <col min="11517" max="11517" width="9.140625" style="77"/>
    <col min="11518" max="11518" width="24" style="77" customWidth="1"/>
    <col min="11519" max="11519" width="4.7109375" style="77" customWidth="1"/>
    <col min="11520" max="11521" width="13.140625" style="77" customWidth="1"/>
    <col min="11522" max="11522" width="9.140625" style="77"/>
    <col min="11523" max="11523" width="12.85546875" style="77" customWidth="1"/>
    <col min="11524" max="11524" width="9.140625" style="77"/>
    <col min="11525" max="11525" width="20" style="77" customWidth="1"/>
    <col min="11526" max="11527" width="13.140625" style="77" customWidth="1"/>
    <col min="11528" max="11528" width="11.7109375" style="77" customWidth="1"/>
    <col min="11529" max="11529" width="14.85546875" style="77" customWidth="1"/>
    <col min="11530" max="11530" width="11.42578125" style="77" customWidth="1"/>
    <col min="11531" max="11531" width="14.85546875" style="77" customWidth="1"/>
    <col min="11532" max="11532" width="11.42578125" style="77" customWidth="1"/>
    <col min="11533" max="11533" width="14.85546875" style="77" customWidth="1"/>
    <col min="11534" max="11534" width="16.5703125" style="77" customWidth="1"/>
    <col min="11535" max="11535" width="10.5703125" style="77" customWidth="1"/>
    <col min="11536" max="11536" width="12.28515625" style="77" bestFit="1" customWidth="1"/>
    <col min="11537" max="11770" width="9.140625" style="77"/>
    <col min="11771" max="11772" width="10" style="77" customWidth="1"/>
    <col min="11773" max="11773" width="9.140625" style="77"/>
    <col min="11774" max="11774" width="24" style="77" customWidth="1"/>
    <col min="11775" max="11775" width="4.7109375" style="77" customWidth="1"/>
    <col min="11776" max="11777" width="13.140625" style="77" customWidth="1"/>
    <col min="11778" max="11778" width="9.140625" style="77"/>
    <col min="11779" max="11779" width="12.85546875" style="77" customWidth="1"/>
    <col min="11780" max="11780" width="9.140625" style="77"/>
    <col min="11781" max="11781" width="20" style="77" customWidth="1"/>
    <col min="11782" max="11783" width="13.140625" style="77" customWidth="1"/>
    <col min="11784" max="11784" width="11.7109375" style="77" customWidth="1"/>
    <col min="11785" max="11785" width="14.85546875" style="77" customWidth="1"/>
    <col min="11786" max="11786" width="11.42578125" style="77" customWidth="1"/>
    <col min="11787" max="11787" width="14.85546875" style="77" customWidth="1"/>
    <col min="11788" max="11788" width="11.42578125" style="77" customWidth="1"/>
    <col min="11789" max="11789" width="14.85546875" style="77" customWidth="1"/>
    <col min="11790" max="11790" width="16.5703125" style="77" customWidth="1"/>
    <col min="11791" max="11791" width="10.5703125" style="77" customWidth="1"/>
    <col min="11792" max="11792" width="12.28515625" style="77" bestFit="1" customWidth="1"/>
    <col min="11793" max="12026" width="9.140625" style="77"/>
    <col min="12027" max="12028" width="10" style="77" customWidth="1"/>
    <col min="12029" max="12029" width="9.140625" style="77"/>
    <col min="12030" max="12030" width="24" style="77" customWidth="1"/>
    <col min="12031" max="12031" width="4.7109375" style="77" customWidth="1"/>
    <col min="12032" max="12033" width="13.140625" style="77" customWidth="1"/>
    <col min="12034" max="12034" width="9.140625" style="77"/>
    <col min="12035" max="12035" width="12.85546875" style="77" customWidth="1"/>
    <col min="12036" max="12036" width="9.140625" style="77"/>
    <col min="12037" max="12037" width="20" style="77" customWidth="1"/>
    <col min="12038" max="12039" width="13.140625" style="77" customWidth="1"/>
    <col min="12040" max="12040" width="11.7109375" style="77" customWidth="1"/>
    <col min="12041" max="12041" width="14.85546875" style="77" customWidth="1"/>
    <col min="12042" max="12042" width="11.42578125" style="77" customWidth="1"/>
    <col min="12043" max="12043" width="14.85546875" style="77" customWidth="1"/>
    <col min="12044" max="12044" width="11.42578125" style="77" customWidth="1"/>
    <col min="12045" max="12045" width="14.85546875" style="77" customWidth="1"/>
    <col min="12046" max="12046" width="16.5703125" style="77" customWidth="1"/>
    <col min="12047" max="12047" width="10.5703125" style="77" customWidth="1"/>
    <col min="12048" max="12048" width="12.28515625" style="77" bestFit="1" customWidth="1"/>
    <col min="12049" max="12282" width="9.140625" style="77"/>
    <col min="12283" max="12284" width="10" style="77" customWidth="1"/>
    <col min="12285" max="12285" width="9.140625" style="77"/>
    <col min="12286" max="12286" width="24" style="77" customWidth="1"/>
    <col min="12287" max="12287" width="4.7109375" style="77" customWidth="1"/>
    <col min="12288" max="12289" width="13.140625" style="77" customWidth="1"/>
    <col min="12290" max="12290" width="9.140625" style="77"/>
    <col min="12291" max="12291" width="12.85546875" style="77" customWidth="1"/>
    <col min="12292" max="12292" width="9.140625" style="77"/>
    <col min="12293" max="12293" width="20" style="77" customWidth="1"/>
    <col min="12294" max="12295" width="13.140625" style="77" customWidth="1"/>
    <col min="12296" max="12296" width="11.7109375" style="77" customWidth="1"/>
    <col min="12297" max="12297" width="14.85546875" style="77" customWidth="1"/>
    <col min="12298" max="12298" width="11.42578125" style="77" customWidth="1"/>
    <col min="12299" max="12299" width="14.85546875" style="77" customWidth="1"/>
    <col min="12300" max="12300" width="11.42578125" style="77" customWidth="1"/>
    <col min="12301" max="12301" width="14.85546875" style="77" customWidth="1"/>
    <col min="12302" max="12302" width="16.5703125" style="77" customWidth="1"/>
    <col min="12303" max="12303" width="10.5703125" style="77" customWidth="1"/>
    <col min="12304" max="12304" width="12.28515625" style="77" bestFit="1" customWidth="1"/>
    <col min="12305" max="12538" width="9.140625" style="77"/>
    <col min="12539" max="12540" width="10" style="77" customWidth="1"/>
    <col min="12541" max="12541" width="9.140625" style="77"/>
    <col min="12542" max="12542" width="24" style="77" customWidth="1"/>
    <col min="12543" max="12543" width="4.7109375" style="77" customWidth="1"/>
    <col min="12544" max="12545" width="13.140625" style="77" customWidth="1"/>
    <col min="12546" max="12546" width="9.140625" style="77"/>
    <col min="12547" max="12547" width="12.85546875" style="77" customWidth="1"/>
    <col min="12548" max="12548" width="9.140625" style="77"/>
    <col min="12549" max="12549" width="20" style="77" customWidth="1"/>
    <col min="12550" max="12551" width="13.140625" style="77" customWidth="1"/>
    <col min="12552" max="12552" width="11.7109375" style="77" customWidth="1"/>
    <col min="12553" max="12553" width="14.85546875" style="77" customWidth="1"/>
    <col min="12554" max="12554" width="11.42578125" style="77" customWidth="1"/>
    <col min="12555" max="12555" width="14.85546875" style="77" customWidth="1"/>
    <col min="12556" max="12556" width="11.42578125" style="77" customWidth="1"/>
    <col min="12557" max="12557" width="14.85546875" style="77" customWidth="1"/>
    <col min="12558" max="12558" width="16.5703125" style="77" customWidth="1"/>
    <col min="12559" max="12559" width="10.5703125" style="77" customWidth="1"/>
    <col min="12560" max="12560" width="12.28515625" style="77" bestFit="1" customWidth="1"/>
    <col min="12561" max="12794" width="9.140625" style="77"/>
    <col min="12795" max="12796" width="10" style="77" customWidth="1"/>
    <col min="12797" max="12797" width="9.140625" style="77"/>
    <col min="12798" max="12798" width="24" style="77" customWidth="1"/>
    <col min="12799" max="12799" width="4.7109375" style="77" customWidth="1"/>
    <col min="12800" max="12801" width="13.140625" style="77" customWidth="1"/>
    <col min="12802" max="12802" width="9.140625" style="77"/>
    <col min="12803" max="12803" width="12.85546875" style="77" customWidth="1"/>
    <col min="12804" max="12804" width="9.140625" style="77"/>
    <col min="12805" max="12805" width="20" style="77" customWidth="1"/>
    <col min="12806" max="12807" width="13.140625" style="77" customWidth="1"/>
    <col min="12808" max="12808" width="11.7109375" style="77" customWidth="1"/>
    <col min="12809" max="12809" width="14.85546875" style="77" customWidth="1"/>
    <col min="12810" max="12810" width="11.42578125" style="77" customWidth="1"/>
    <col min="12811" max="12811" width="14.85546875" style="77" customWidth="1"/>
    <col min="12812" max="12812" width="11.42578125" style="77" customWidth="1"/>
    <col min="12813" max="12813" width="14.85546875" style="77" customWidth="1"/>
    <col min="12814" max="12814" width="16.5703125" style="77" customWidth="1"/>
    <col min="12815" max="12815" width="10.5703125" style="77" customWidth="1"/>
    <col min="12816" max="12816" width="12.28515625" style="77" bestFit="1" customWidth="1"/>
    <col min="12817" max="13050" width="9.140625" style="77"/>
    <col min="13051" max="13052" width="10" style="77" customWidth="1"/>
    <col min="13053" max="13053" width="9.140625" style="77"/>
    <col min="13054" max="13054" width="24" style="77" customWidth="1"/>
    <col min="13055" max="13055" width="4.7109375" style="77" customWidth="1"/>
    <col min="13056" max="13057" width="13.140625" style="77" customWidth="1"/>
    <col min="13058" max="13058" width="9.140625" style="77"/>
    <col min="13059" max="13059" width="12.85546875" style="77" customWidth="1"/>
    <col min="13060" max="13060" width="9.140625" style="77"/>
    <col min="13061" max="13061" width="20" style="77" customWidth="1"/>
    <col min="13062" max="13063" width="13.140625" style="77" customWidth="1"/>
    <col min="13064" max="13064" width="11.7109375" style="77" customWidth="1"/>
    <col min="13065" max="13065" width="14.85546875" style="77" customWidth="1"/>
    <col min="13066" max="13066" width="11.42578125" style="77" customWidth="1"/>
    <col min="13067" max="13067" width="14.85546875" style="77" customWidth="1"/>
    <col min="13068" max="13068" width="11.42578125" style="77" customWidth="1"/>
    <col min="13069" max="13069" width="14.85546875" style="77" customWidth="1"/>
    <col min="13070" max="13070" width="16.5703125" style="77" customWidth="1"/>
    <col min="13071" max="13071" width="10.5703125" style="77" customWidth="1"/>
    <col min="13072" max="13072" width="12.28515625" style="77" bestFit="1" customWidth="1"/>
    <col min="13073" max="13306" width="9.140625" style="77"/>
    <col min="13307" max="13308" width="10" style="77" customWidth="1"/>
    <col min="13309" max="13309" width="9.140625" style="77"/>
    <col min="13310" max="13310" width="24" style="77" customWidth="1"/>
    <col min="13311" max="13311" width="4.7109375" style="77" customWidth="1"/>
    <col min="13312" max="13313" width="13.140625" style="77" customWidth="1"/>
    <col min="13314" max="13314" width="9.140625" style="77"/>
    <col min="13315" max="13315" width="12.85546875" style="77" customWidth="1"/>
    <col min="13316" max="13316" width="9.140625" style="77"/>
    <col min="13317" max="13317" width="20" style="77" customWidth="1"/>
    <col min="13318" max="13319" width="13.140625" style="77" customWidth="1"/>
    <col min="13320" max="13320" width="11.7109375" style="77" customWidth="1"/>
    <col min="13321" max="13321" width="14.85546875" style="77" customWidth="1"/>
    <col min="13322" max="13322" width="11.42578125" style="77" customWidth="1"/>
    <col min="13323" max="13323" width="14.85546875" style="77" customWidth="1"/>
    <col min="13324" max="13324" width="11.42578125" style="77" customWidth="1"/>
    <col min="13325" max="13325" width="14.85546875" style="77" customWidth="1"/>
    <col min="13326" max="13326" width="16.5703125" style="77" customWidth="1"/>
    <col min="13327" max="13327" width="10.5703125" style="77" customWidth="1"/>
    <col min="13328" max="13328" width="12.28515625" style="77" bestFit="1" customWidth="1"/>
    <col min="13329" max="13562" width="9.140625" style="77"/>
    <col min="13563" max="13564" width="10" style="77" customWidth="1"/>
    <col min="13565" max="13565" width="9.140625" style="77"/>
    <col min="13566" max="13566" width="24" style="77" customWidth="1"/>
    <col min="13567" max="13567" width="4.7109375" style="77" customWidth="1"/>
    <col min="13568" max="13569" width="13.140625" style="77" customWidth="1"/>
    <col min="13570" max="13570" width="9.140625" style="77"/>
    <col min="13571" max="13571" width="12.85546875" style="77" customWidth="1"/>
    <col min="13572" max="13572" width="9.140625" style="77"/>
    <col min="13573" max="13573" width="20" style="77" customWidth="1"/>
    <col min="13574" max="13575" width="13.140625" style="77" customWidth="1"/>
    <col min="13576" max="13576" width="11.7109375" style="77" customWidth="1"/>
    <col min="13577" max="13577" width="14.85546875" style="77" customWidth="1"/>
    <col min="13578" max="13578" width="11.42578125" style="77" customWidth="1"/>
    <col min="13579" max="13579" width="14.85546875" style="77" customWidth="1"/>
    <col min="13580" max="13580" width="11.42578125" style="77" customWidth="1"/>
    <col min="13581" max="13581" width="14.85546875" style="77" customWidth="1"/>
    <col min="13582" max="13582" width="16.5703125" style="77" customWidth="1"/>
    <col min="13583" max="13583" width="10.5703125" style="77" customWidth="1"/>
    <col min="13584" max="13584" width="12.28515625" style="77" bestFit="1" customWidth="1"/>
    <col min="13585" max="13818" width="9.140625" style="77"/>
    <col min="13819" max="13820" width="10" style="77" customWidth="1"/>
    <col min="13821" max="13821" width="9.140625" style="77"/>
    <col min="13822" max="13822" width="24" style="77" customWidth="1"/>
    <col min="13823" max="13823" width="4.7109375" style="77" customWidth="1"/>
    <col min="13824" max="13825" width="13.140625" style="77" customWidth="1"/>
    <col min="13826" max="13826" width="9.140625" style="77"/>
    <col min="13827" max="13827" width="12.85546875" style="77" customWidth="1"/>
    <col min="13828" max="13828" width="9.140625" style="77"/>
    <col min="13829" max="13829" width="20" style="77" customWidth="1"/>
    <col min="13830" max="13831" width="13.140625" style="77" customWidth="1"/>
    <col min="13832" max="13832" width="11.7109375" style="77" customWidth="1"/>
    <col min="13833" max="13833" width="14.85546875" style="77" customWidth="1"/>
    <col min="13834" max="13834" width="11.42578125" style="77" customWidth="1"/>
    <col min="13835" max="13835" width="14.85546875" style="77" customWidth="1"/>
    <col min="13836" max="13836" width="11.42578125" style="77" customWidth="1"/>
    <col min="13837" max="13837" width="14.85546875" style="77" customWidth="1"/>
    <col min="13838" max="13838" width="16.5703125" style="77" customWidth="1"/>
    <col min="13839" max="13839" width="10.5703125" style="77" customWidth="1"/>
    <col min="13840" max="13840" width="12.28515625" style="77" bestFit="1" customWidth="1"/>
    <col min="13841" max="14074" width="9.140625" style="77"/>
    <col min="14075" max="14076" width="10" style="77" customWidth="1"/>
    <col min="14077" max="14077" width="9.140625" style="77"/>
    <col min="14078" max="14078" width="24" style="77" customWidth="1"/>
    <col min="14079" max="14079" width="4.7109375" style="77" customWidth="1"/>
    <col min="14080" max="14081" width="13.140625" style="77" customWidth="1"/>
    <col min="14082" max="14082" width="9.140625" style="77"/>
    <col min="14083" max="14083" width="12.85546875" style="77" customWidth="1"/>
    <col min="14084" max="14084" width="9.140625" style="77"/>
    <col min="14085" max="14085" width="20" style="77" customWidth="1"/>
    <col min="14086" max="14087" width="13.140625" style="77" customWidth="1"/>
    <col min="14088" max="14088" width="11.7109375" style="77" customWidth="1"/>
    <col min="14089" max="14089" width="14.85546875" style="77" customWidth="1"/>
    <col min="14090" max="14090" width="11.42578125" style="77" customWidth="1"/>
    <col min="14091" max="14091" width="14.85546875" style="77" customWidth="1"/>
    <col min="14092" max="14092" width="11.42578125" style="77" customWidth="1"/>
    <col min="14093" max="14093" width="14.85546875" style="77" customWidth="1"/>
    <col min="14094" max="14094" width="16.5703125" style="77" customWidth="1"/>
    <col min="14095" max="14095" width="10.5703125" style="77" customWidth="1"/>
    <col min="14096" max="14096" width="12.28515625" style="77" bestFit="1" customWidth="1"/>
    <col min="14097" max="14330" width="9.140625" style="77"/>
    <col min="14331" max="14332" width="10" style="77" customWidth="1"/>
    <col min="14333" max="14333" width="9.140625" style="77"/>
    <col min="14334" max="14334" width="24" style="77" customWidth="1"/>
    <col min="14335" max="14335" width="4.7109375" style="77" customWidth="1"/>
    <col min="14336" max="14337" width="13.140625" style="77" customWidth="1"/>
    <col min="14338" max="14338" width="9.140625" style="77"/>
    <col min="14339" max="14339" width="12.85546875" style="77" customWidth="1"/>
    <col min="14340" max="14340" width="9.140625" style="77"/>
    <col min="14341" max="14341" width="20" style="77" customWidth="1"/>
    <col min="14342" max="14343" width="13.140625" style="77" customWidth="1"/>
    <col min="14344" max="14344" width="11.7109375" style="77" customWidth="1"/>
    <col min="14345" max="14345" width="14.85546875" style="77" customWidth="1"/>
    <col min="14346" max="14346" width="11.42578125" style="77" customWidth="1"/>
    <col min="14347" max="14347" width="14.85546875" style="77" customWidth="1"/>
    <col min="14348" max="14348" width="11.42578125" style="77" customWidth="1"/>
    <col min="14349" max="14349" width="14.85546875" style="77" customWidth="1"/>
    <col min="14350" max="14350" width="16.5703125" style="77" customWidth="1"/>
    <col min="14351" max="14351" width="10.5703125" style="77" customWidth="1"/>
    <col min="14352" max="14352" width="12.28515625" style="77" bestFit="1" customWidth="1"/>
    <col min="14353" max="14586" width="9.140625" style="77"/>
    <col min="14587" max="14588" width="10" style="77" customWidth="1"/>
    <col min="14589" max="14589" width="9.140625" style="77"/>
    <col min="14590" max="14590" width="24" style="77" customWidth="1"/>
    <col min="14591" max="14591" width="4.7109375" style="77" customWidth="1"/>
    <col min="14592" max="14593" width="13.140625" style="77" customWidth="1"/>
    <col min="14594" max="14594" width="9.140625" style="77"/>
    <col min="14595" max="14595" width="12.85546875" style="77" customWidth="1"/>
    <col min="14596" max="14596" width="9.140625" style="77"/>
    <col min="14597" max="14597" width="20" style="77" customWidth="1"/>
    <col min="14598" max="14599" width="13.140625" style="77" customWidth="1"/>
    <col min="14600" max="14600" width="11.7109375" style="77" customWidth="1"/>
    <col min="14601" max="14601" width="14.85546875" style="77" customWidth="1"/>
    <col min="14602" max="14602" width="11.42578125" style="77" customWidth="1"/>
    <col min="14603" max="14603" width="14.85546875" style="77" customWidth="1"/>
    <col min="14604" max="14604" width="11.42578125" style="77" customWidth="1"/>
    <col min="14605" max="14605" width="14.85546875" style="77" customWidth="1"/>
    <col min="14606" max="14606" width="16.5703125" style="77" customWidth="1"/>
    <col min="14607" max="14607" width="10.5703125" style="77" customWidth="1"/>
    <col min="14608" max="14608" width="12.28515625" style="77" bestFit="1" customWidth="1"/>
    <col min="14609" max="14842" width="9.140625" style="77"/>
    <col min="14843" max="14844" width="10" style="77" customWidth="1"/>
    <col min="14845" max="14845" width="9.140625" style="77"/>
    <col min="14846" max="14846" width="24" style="77" customWidth="1"/>
    <col min="14847" max="14847" width="4.7109375" style="77" customWidth="1"/>
    <col min="14848" max="14849" width="13.140625" style="77" customWidth="1"/>
    <col min="14850" max="14850" width="9.140625" style="77"/>
    <col min="14851" max="14851" width="12.85546875" style="77" customWidth="1"/>
    <col min="14852" max="14852" width="9.140625" style="77"/>
    <col min="14853" max="14853" width="20" style="77" customWidth="1"/>
    <col min="14854" max="14855" width="13.140625" style="77" customWidth="1"/>
    <col min="14856" max="14856" width="11.7109375" style="77" customWidth="1"/>
    <col min="14857" max="14857" width="14.85546875" style="77" customWidth="1"/>
    <col min="14858" max="14858" width="11.42578125" style="77" customWidth="1"/>
    <col min="14859" max="14859" width="14.85546875" style="77" customWidth="1"/>
    <col min="14860" max="14860" width="11.42578125" style="77" customWidth="1"/>
    <col min="14861" max="14861" width="14.85546875" style="77" customWidth="1"/>
    <col min="14862" max="14862" width="16.5703125" style="77" customWidth="1"/>
    <col min="14863" max="14863" width="10.5703125" style="77" customWidth="1"/>
    <col min="14864" max="14864" width="12.28515625" style="77" bestFit="1" customWidth="1"/>
    <col min="14865" max="15098" width="9.140625" style="77"/>
    <col min="15099" max="15100" width="10" style="77" customWidth="1"/>
    <col min="15101" max="15101" width="9.140625" style="77"/>
    <col min="15102" max="15102" width="24" style="77" customWidth="1"/>
    <col min="15103" max="15103" width="4.7109375" style="77" customWidth="1"/>
    <col min="15104" max="15105" width="13.140625" style="77" customWidth="1"/>
    <col min="15106" max="15106" width="9.140625" style="77"/>
    <col min="15107" max="15107" width="12.85546875" style="77" customWidth="1"/>
    <col min="15108" max="15108" width="9.140625" style="77"/>
    <col min="15109" max="15109" width="20" style="77" customWidth="1"/>
    <col min="15110" max="15111" width="13.140625" style="77" customWidth="1"/>
    <col min="15112" max="15112" width="11.7109375" style="77" customWidth="1"/>
    <col min="15113" max="15113" width="14.85546875" style="77" customWidth="1"/>
    <col min="15114" max="15114" width="11.42578125" style="77" customWidth="1"/>
    <col min="15115" max="15115" width="14.85546875" style="77" customWidth="1"/>
    <col min="15116" max="15116" width="11.42578125" style="77" customWidth="1"/>
    <col min="15117" max="15117" width="14.85546875" style="77" customWidth="1"/>
    <col min="15118" max="15118" width="16.5703125" style="77" customWidth="1"/>
    <col min="15119" max="15119" width="10.5703125" style="77" customWidth="1"/>
    <col min="15120" max="15120" width="12.28515625" style="77" bestFit="1" customWidth="1"/>
    <col min="15121" max="15354" width="9.140625" style="77"/>
    <col min="15355" max="15356" width="10" style="77" customWidth="1"/>
    <col min="15357" max="15357" width="9.140625" style="77"/>
    <col min="15358" max="15358" width="24" style="77" customWidth="1"/>
    <col min="15359" max="15359" width="4.7109375" style="77" customWidth="1"/>
    <col min="15360" max="15361" width="13.140625" style="77" customWidth="1"/>
    <col min="15362" max="15362" width="9.140625" style="77"/>
    <col min="15363" max="15363" width="12.85546875" style="77" customWidth="1"/>
    <col min="15364" max="15364" width="9.140625" style="77"/>
    <col min="15365" max="15365" width="20" style="77" customWidth="1"/>
    <col min="15366" max="15367" width="13.140625" style="77" customWidth="1"/>
    <col min="15368" max="15368" width="11.7109375" style="77" customWidth="1"/>
    <col min="15369" max="15369" width="14.85546875" style="77" customWidth="1"/>
    <col min="15370" max="15370" width="11.42578125" style="77" customWidth="1"/>
    <col min="15371" max="15371" width="14.85546875" style="77" customWidth="1"/>
    <col min="15372" max="15372" width="11.42578125" style="77" customWidth="1"/>
    <col min="15373" max="15373" width="14.85546875" style="77" customWidth="1"/>
    <col min="15374" max="15374" width="16.5703125" style="77" customWidth="1"/>
    <col min="15375" max="15375" width="10.5703125" style="77" customWidth="1"/>
    <col min="15376" max="15376" width="12.28515625" style="77" bestFit="1" customWidth="1"/>
    <col min="15377" max="15610" width="9.140625" style="77"/>
    <col min="15611" max="15612" width="10" style="77" customWidth="1"/>
    <col min="15613" max="15613" width="9.140625" style="77"/>
    <col min="15614" max="15614" width="24" style="77" customWidth="1"/>
    <col min="15615" max="15615" width="4.7109375" style="77" customWidth="1"/>
    <col min="15616" max="15617" width="13.140625" style="77" customWidth="1"/>
    <col min="15618" max="15618" width="9.140625" style="77"/>
    <col min="15619" max="15619" width="12.85546875" style="77" customWidth="1"/>
    <col min="15620" max="15620" width="9.140625" style="77"/>
    <col min="15621" max="15621" width="20" style="77" customWidth="1"/>
    <col min="15622" max="15623" width="13.140625" style="77" customWidth="1"/>
    <col min="15624" max="15624" width="11.7109375" style="77" customWidth="1"/>
    <col min="15625" max="15625" width="14.85546875" style="77" customWidth="1"/>
    <col min="15626" max="15626" width="11.42578125" style="77" customWidth="1"/>
    <col min="15627" max="15627" width="14.85546875" style="77" customWidth="1"/>
    <col min="15628" max="15628" width="11.42578125" style="77" customWidth="1"/>
    <col min="15629" max="15629" width="14.85546875" style="77" customWidth="1"/>
    <col min="15630" max="15630" width="16.5703125" style="77" customWidth="1"/>
    <col min="15631" max="15631" width="10.5703125" style="77" customWidth="1"/>
    <col min="15632" max="15632" width="12.28515625" style="77" bestFit="1" customWidth="1"/>
    <col min="15633" max="15866" width="9.140625" style="77"/>
    <col min="15867" max="15868" width="10" style="77" customWidth="1"/>
    <col min="15869" max="15869" width="9.140625" style="77"/>
    <col min="15870" max="15870" width="24" style="77" customWidth="1"/>
    <col min="15871" max="15871" width="4.7109375" style="77" customWidth="1"/>
    <col min="15872" max="15873" width="13.140625" style="77" customWidth="1"/>
    <col min="15874" max="15874" width="9.140625" style="77"/>
    <col min="15875" max="15875" width="12.85546875" style="77" customWidth="1"/>
    <col min="15876" max="15876" width="9.140625" style="77"/>
    <col min="15877" max="15877" width="20" style="77" customWidth="1"/>
    <col min="15878" max="15879" width="13.140625" style="77" customWidth="1"/>
    <col min="15880" max="15880" width="11.7109375" style="77" customWidth="1"/>
    <col min="15881" max="15881" width="14.85546875" style="77" customWidth="1"/>
    <col min="15882" max="15882" width="11.42578125" style="77" customWidth="1"/>
    <col min="15883" max="15883" width="14.85546875" style="77" customWidth="1"/>
    <col min="15884" max="15884" width="11.42578125" style="77" customWidth="1"/>
    <col min="15885" max="15885" width="14.85546875" style="77" customWidth="1"/>
    <col min="15886" max="15886" width="16.5703125" style="77" customWidth="1"/>
    <col min="15887" max="15887" width="10.5703125" style="77" customWidth="1"/>
    <col min="15888" max="15888" width="12.28515625" style="77" bestFit="1" customWidth="1"/>
    <col min="15889" max="16122" width="9.140625" style="77"/>
    <col min="16123" max="16124" width="10" style="77" customWidth="1"/>
    <col min="16125" max="16125" width="9.140625" style="77"/>
    <col min="16126" max="16126" width="24" style="77" customWidth="1"/>
    <col min="16127" max="16127" width="4.7109375" style="77" customWidth="1"/>
    <col min="16128" max="16129" width="13.140625" style="77" customWidth="1"/>
    <col min="16130" max="16130" width="9.140625" style="77"/>
    <col min="16131" max="16131" width="12.85546875" style="77" customWidth="1"/>
    <col min="16132" max="16132" width="9.140625" style="77"/>
    <col min="16133" max="16133" width="20" style="77" customWidth="1"/>
    <col min="16134" max="16135" width="13.140625" style="77" customWidth="1"/>
    <col min="16136" max="16136" width="11.7109375" style="77" customWidth="1"/>
    <col min="16137" max="16137" width="14.85546875" style="77" customWidth="1"/>
    <col min="16138" max="16138" width="11.42578125" style="77" customWidth="1"/>
    <col min="16139" max="16139" width="14.85546875" style="77" customWidth="1"/>
    <col min="16140" max="16140" width="11.42578125" style="77" customWidth="1"/>
    <col min="16141" max="16141" width="14.85546875" style="77" customWidth="1"/>
    <col min="16142" max="16142" width="16.5703125" style="77" customWidth="1"/>
    <col min="16143" max="16143" width="10.5703125" style="77" customWidth="1"/>
    <col min="16144" max="16144" width="12.28515625" style="77" bestFit="1" customWidth="1"/>
    <col min="16145" max="16384" width="9.140625" style="77"/>
  </cols>
  <sheetData>
    <row r="1" spans="1:23" x14ac:dyDescent="0.2">
      <c r="A1" s="75" t="s">
        <v>102</v>
      </c>
      <c r="B1" s="76"/>
    </row>
    <row r="2" spans="1:23" x14ac:dyDescent="0.2">
      <c r="A2" s="76" t="s">
        <v>126</v>
      </c>
      <c r="B2" s="76"/>
      <c r="J2" s="97" t="s">
        <v>103</v>
      </c>
      <c r="M2" s="371" t="s">
        <v>104</v>
      </c>
    </row>
    <row r="3" spans="1:23" x14ac:dyDescent="0.2">
      <c r="A3" s="76" t="s">
        <v>127</v>
      </c>
      <c r="B3" s="76"/>
      <c r="J3" s="97"/>
    </row>
    <row r="4" spans="1:23" x14ac:dyDescent="0.2">
      <c r="A4" s="192" t="s">
        <v>113</v>
      </c>
      <c r="B4" s="371" t="s">
        <v>128</v>
      </c>
      <c r="J4" s="192" t="s">
        <v>92</v>
      </c>
      <c r="M4" s="371" t="s">
        <v>129</v>
      </c>
    </row>
    <row r="5" spans="1:23" x14ac:dyDescent="0.2">
      <c r="A5" s="76"/>
      <c r="B5" s="76"/>
    </row>
    <row r="6" spans="1:23" x14ac:dyDescent="0.2">
      <c r="A6" s="76" t="s">
        <v>1</v>
      </c>
      <c r="B6" s="188">
        <v>2012</v>
      </c>
    </row>
    <row r="8" spans="1:23" s="81" customFormat="1" ht="51" x14ac:dyDescent="0.2">
      <c r="A8" s="186" t="s">
        <v>4</v>
      </c>
      <c r="B8" s="186" t="s">
        <v>5</v>
      </c>
      <c r="C8" s="186" t="s">
        <v>7</v>
      </c>
      <c r="D8" s="168" t="s">
        <v>106</v>
      </c>
      <c r="E8" s="186" t="s">
        <v>9</v>
      </c>
      <c r="F8" s="168" t="s">
        <v>107</v>
      </c>
      <c r="G8" s="168" t="s">
        <v>105</v>
      </c>
      <c r="H8" s="169" t="s">
        <v>13</v>
      </c>
      <c r="I8" s="186" t="s">
        <v>108</v>
      </c>
      <c r="J8" s="186" t="s">
        <v>15</v>
      </c>
      <c r="K8" s="170" t="s">
        <v>111</v>
      </c>
      <c r="L8" s="187" t="s">
        <v>110</v>
      </c>
      <c r="M8" s="187" t="s">
        <v>109</v>
      </c>
      <c r="N8" s="187" t="s">
        <v>112</v>
      </c>
      <c r="O8" s="168" t="s">
        <v>101</v>
      </c>
      <c r="P8" s="196"/>
      <c r="Q8" s="83"/>
      <c r="R8" s="83"/>
      <c r="S8" s="83">
        <v>45</v>
      </c>
      <c r="T8" s="83"/>
      <c r="U8" s="83"/>
      <c r="V8" s="83"/>
      <c r="W8" s="83"/>
    </row>
    <row r="9" spans="1:23" x14ac:dyDescent="0.2">
      <c r="A9" s="203" t="s">
        <v>119</v>
      </c>
      <c r="B9" s="204" t="s">
        <v>137</v>
      </c>
      <c r="C9" s="205"/>
      <c r="D9" s="206">
        <v>1969</v>
      </c>
      <c r="E9" s="206">
        <v>30</v>
      </c>
      <c r="F9" s="206">
        <f t="shared" ref="F9:F16" si="0">+D9+E9-1</f>
        <v>1998</v>
      </c>
      <c r="G9" s="207">
        <f t="shared" ref="G9:G17" si="1">IF(E9&gt;0,1/E9,0)</f>
        <v>3.3333333333333333E-2</v>
      </c>
      <c r="H9" s="222">
        <v>667344.93000000005</v>
      </c>
      <c r="I9" s="173">
        <f>IF(+H9&gt;0,IF(+$B$6-D9+1&gt;E9,E9,+$B$6-D9+1),0)</f>
        <v>30</v>
      </c>
      <c r="J9" s="173">
        <f>IF(F9&gt;=$B$6,+E9-I9,0)</f>
        <v>0</v>
      </c>
      <c r="K9" s="222">
        <v>29536</v>
      </c>
      <c r="L9" s="222">
        <f>IF(F9&gt;=$B$6,+K9,0)</f>
        <v>0</v>
      </c>
      <c r="M9" s="222">
        <f>+H9</f>
        <v>667344.93000000005</v>
      </c>
      <c r="N9" s="222">
        <v>0</v>
      </c>
      <c r="O9" s="206"/>
      <c r="Q9" s="395">
        <f t="shared" ref="Q9:Q19" si="2">+H9-M9</f>
        <v>0</v>
      </c>
    </row>
    <row r="10" spans="1:23" x14ac:dyDescent="0.2">
      <c r="A10" s="203" t="s">
        <v>120</v>
      </c>
      <c r="B10" s="204" t="s">
        <v>138</v>
      </c>
      <c r="C10" s="205">
        <v>29586</v>
      </c>
      <c r="D10" s="206">
        <v>1980</v>
      </c>
      <c r="E10" s="206">
        <v>30</v>
      </c>
      <c r="F10" s="206">
        <f t="shared" si="0"/>
        <v>2009</v>
      </c>
      <c r="G10" s="207">
        <f t="shared" si="1"/>
        <v>3.3333333333333333E-2</v>
      </c>
      <c r="H10" s="220">
        <v>35423.97</v>
      </c>
      <c r="I10" s="173">
        <f>IF(+H10&gt;0,IF(+$B$6-D10+1&gt;E10,E10,+$B$6-D10+1),0)</f>
        <v>30</v>
      </c>
      <c r="J10" s="173">
        <f>IF(F10&gt;=$B$6,+E10-I10,0)</f>
        <v>0</v>
      </c>
      <c r="K10" s="220">
        <f>+H10*G10</f>
        <v>1180.799</v>
      </c>
      <c r="L10" s="220">
        <f>IF(F10&gt;=$B$6,+K10,0)</f>
        <v>0</v>
      </c>
      <c r="M10" s="220">
        <f>+K10*I10</f>
        <v>35423.97</v>
      </c>
      <c r="N10" s="220">
        <f>+H10-M10</f>
        <v>0</v>
      </c>
      <c r="O10" s="206"/>
      <c r="Q10" s="395">
        <f t="shared" si="2"/>
        <v>0</v>
      </c>
    </row>
    <row r="11" spans="1:23" x14ac:dyDescent="0.2">
      <c r="A11" s="203" t="s">
        <v>121</v>
      </c>
      <c r="B11" s="204" t="s">
        <v>138</v>
      </c>
      <c r="C11" s="205">
        <v>29951</v>
      </c>
      <c r="D11" s="206">
        <v>1981</v>
      </c>
      <c r="E11" s="206">
        <v>30</v>
      </c>
      <c r="F11" s="206">
        <f t="shared" si="0"/>
        <v>2010</v>
      </c>
      <c r="G11" s="207">
        <f t="shared" si="1"/>
        <v>3.3333333333333333E-2</v>
      </c>
      <c r="H11" s="220">
        <v>7287.78</v>
      </c>
      <c r="I11" s="173">
        <f>IF(+H11&gt;0,IF(+$B$6-D11+1&gt;E11,E11,+$B$6-D11+1),0)</f>
        <v>30</v>
      </c>
      <c r="J11" s="173">
        <f>IF(F11&gt;=$B$6,+E11-I11,0)</f>
        <v>0</v>
      </c>
      <c r="K11" s="220">
        <f>+H11*G11</f>
        <v>242.92599999999999</v>
      </c>
      <c r="L11" s="220">
        <f>IF(F11&gt;=$B$6,+K11,0)</f>
        <v>0</v>
      </c>
      <c r="M11" s="220">
        <f>+K11*I11</f>
        <v>7287.78</v>
      </c>
      <c r="N11" s="220">
        <f>+H11-M11</f>
        <v>0</v>
      </c>
      <c r="O11" s="206"/>
      <c r="Q11" s="395">
        <f t="shared" si="2"/>
        <v>0</v>
      </c>
    </row>
    <row r="12" spans="1:23" x14ac:dyDescent="0.2">
      <c r="A12" s="203" t="s">
        <v>122</v>
      </c>
      <c r="B12" s="204" t="s">
        <v>138</v>
      </c>
      <c r="C12" s="205">
        <v>31047</v>
      </c>
      <c r="D12" s="206">
        <v>1984</v>
      </c>
      <c r="E12" s="206">
        <v>30</v>
      </c>
      <c r="F12" s="206">
        <f t="shared" si="0"/>
        <v>2013</v>
      </c>
      <c r="G12" s="207">
        <f t="shared" si="1"/>
        <v>3.3333333333333333E-2</v>
      </c>
      <c r="H12" s="220">
        <v>56832.61</v>
      </c>
      <c r="I12" s="173">
        <f>IF(+H12&gt;0,IF(+$B$6-D12+1&gt;E12,E12,+$B$6-D12+1),0)</f>
        <v>29</v>
      </c>
      <c r="J12" s="173">
        <f>IF(F12&gt;=$B$6,+E12-I12,0)</f>
        <v>1</v>
      </c>
      <c r="K12" s="220">
        <f>+H12*G12</f>
        <v>1894.4203333333332</v>
      </c>
      <c r="L12" s="220">
        <f>IF(F12&gt;=$B$6,+K12,0)</f>
        <v>1894.4203333333332</v>
      </c>
      <c r="M12" s="220">
        <f>+K12*I12</f>
        <v>54938.189666666665</v>
      </c>
      <c r="N12" s="220">
        <f>+H12-M12</f>
        <v>1894.4203333333353</v>
      </c>
      <c r="O12" s="206"/>
      <c r="Q12" s="395">
        <f t="shared" si="2"/>
        <v>1894.4203333333353</v>
      </c>
      <c r="R12" s="397">
        <f>+Q12/$Q$22</f>
        <v>0.1335939977372578</v>
      </c>
      <c r="S12" s="77">
        <f t="shared" ref="S12:S19" si="3">45-I12</f>
        <v>16</v>
      </c>
      <c r="T12" s="77">
        <f>+R12*S12</f>
        <v>2.1375039637961248</v>
      </c>
    </row>
    <row r="13" spans="1:23" x14ac:dyDescent="0.2">
      <c r="A13" s="203" t="s">
        <v>123</v>
      </c>
      <c r="B13" s="204" t="s">
        <v>138</v>
      </c>
      <c r="C13" s="205">
        <v>35430</v>
      </c>
      <c r="D13" s="206">
        <v>1996</v>
      </c>
      <c r="E13" s="206">
        <v>30</v>
      </c>
      <c r="F13" s="206">
        <f t="shared" si="0"/>
        <v>2025</v>
      </c>
      <c r="G13" s="207">
        <f t="shared" si="1"/>
        <v>3.3333333333333333E-2</v>
      </c>
      <c r="H13" s="220">
        <v>0</v>
      </c>
      <c r="I13" s="173">
        <f>IF(+H13&gt;0,IF(+$B$6-D13+1&gt;E13,E13,+$B$6-D13+1),0)</f>
        <v>0</v>
      </c>
      <c r="J13" s="173">
        <f>IF(F13&gt;=$B$6,+E13-I13,0)</f>
        <v>30</v>
      </c>
      <c r="K13" s="220">
        <f>+H13*G13</f>
        <v>0</v>
      </c>
      <c r="L13" s="220">
        <f>IF(F13&gt;=$B$6,+K13,0)</f>
        <v>0</v>
      </c>
      <c r="M13" s="220">
        <f>+K13*I13</f>
        <v>0</v>
      </c>
      <c r="N13" s="220">
        <f>+H13-M13</f>
        <v>0</v>
      </c>
      <c r="O13" s="206"/>
      <c r="Q13" s="395">
        <f t="shared" si="2"/>
        <v>0</v>
      </c>
      <c r="R13" s="397">
        <f t="shared" ref="R13:R19" si="4">+Q13/$Q$22</f>
        <v>0</v>
      </c>
      <c r="S13" s="77">
        <f t="shared" si="3"/>
        <v>45</v>
      </c>
      <c r="T13" s="77">
        <f t="shared" ref="T13:T19" si="5">+R13*S13</f>
        <v>0</v>
      </c>
    </row>
    <row r="14" spans="1:23" x14ac:dyDescent="0.2">
      <c r="A14" s="203" t="s">
        <v>124</v>
      </c>
      <c r="B14" s="204" t="s">
        <v>138</v>
      </c>
      <c r="C14" s="205">
        <v>35795</v>
      </c>
      <c r="D14" s="206">
        <v>1997</v>
      </c>
      <c r="E14" s="206">
        <v>30</v>
      </c>
      <c r="F14" s="206">
        <f t="shared" si="0"/>
        <v>2026</v>
      </c>
      <c r="G14" s="207">
        <v>3.3000000000000002E-2</v>
      </c>
      <c r="H14" s="220">
        <v>373380</v>
      </c>
      <c r="I14" s="173">
        <v>5</v>
      </c>
      <c r="J14" s="173">
        <v>25</v>
      </c>
      <c r="K14" s="220">
        <v>12446</v>
      </c>
      <c r="L14" s="220">
        <v>12446</v>
      </c>
      <c r="M14" s="220">
        <v>49784</v>
      </c>
      <c r="N14" s="220">
        <v>323596</v>
      </c>
      <c r="O14" s="206"/>
      <c r="Q14" s="395">
        <f t="shared" si="2"/>
        <v>323596</v>
      </c>
      <c r="R14" s="397">
        <f t="shared" si="4"/>
        <v>22.819900383838942</v>
      </c>
      <c r="S14" s="77">
        <f t="shared" si="3"/>
        <v>40</v>
      </c>
      <c r="T14" s="77">
        <f t="shared" si="5"/>
        <v>912.79601535355766</v>
      </c>
    </row>
    <row r="15" spans="1:23" x14ac:dyDescent="0.2">
      <c r="A15" s="203" t="s">
        <v>125</v>
      </c>
      <c r="B15" s="204" t="s">
        <v>138</v>
      </c>
      <c r="C15" s="205">
        <v>36160</v>
      </c>
      <c r="D15" s="206">
        <v>1998</v>
      </c>
      <c r="E15" s="206">
        <v>30</v>
      </c>
      <c r="F15" s="206">
        <f t="shared" si="0"/>
        <v>2027</v>
      </c>
      <c r="G15" s="207">
        <v>3.3000000000000002E-2</v>
      </c>
      <c r="H15" s="220">
        <f>388332.36-388332.36</f>
        <v>0</v>
      </c>
      <c r="I15" s="173">
        <v>0</v>
      </c>
      <c r="J15" s="173">
        <v>30</v>
      </c>
      <c r="K15" s="220">
        <v>0</v>
      </c>
      <c r="L15" s="220">
        <v>0</v>
      </c>
      <c r="M15" s="220">
        <v>0</v>
      </c>
      <c r="N15" s="220">
        <v>0</v>
      </c>
      <c r="O15" s="206"/>
      <c r="Q15" s="395">
        <f t="shared" si="2"/>
        <v>0</v>
      </c>
      <c r="R15" s="397">
        <f t="shared" si="4"/>
        <v>0</v>
      </c>
      <c r="S15" s="77">
        <f t="shared" si="3"/>
        <v>45</v>
      </c>
      <c r="T15" s="77">
        <f t="shared" si="5"/>
        <v>0</v>
      </c>
    </row>
    <row r="16" spans="1:23" x14ac:dyDescent="0.2">
      <c r="A16" s="203" t="s">
        <v>81</v>
      </c>
      <c r="B16" s="204" t="s">
        <v>138</v>
      </c>
      <c r="C16" s="205">
        <v>36891</v>
      </c>
      <c r="D16" s="206">
        <v>2000</v>
      </c>
      <c r="E16" s="206">
        <v>30</v>
      </c>
      <c r="F16" s="206">
        <f t="shared" si="0"/>
        <v>2029</v>
      </c>
      <c r="G16" s="207">
        <f>IF(E16&gt;0,1/E16,0)</f>
        <v>3.3333333333333333E-2</v>
      </c>
      <c r="H16" s="220">
        <f>9521.47+439.17+35.13</f>
        <v>9995.7699999999986</v>
      </c>
      <c r="I16" s="173">
        <f>IF(+H16&gt;0,IF(+$B$6-D16+1&gt;E16,E16,+$B$6-D16+1),0)</f>
        <v>13</v>
      </c>
      <c r="J16" s="173">
        <f>IF(F16&gt;=$B$6,+E16-I16,0)</f>
        <v>17</v>
      </c>
      <c r="K16" s="220">
        <f>+H16*G16</f>
        <v>333.19233333333329</v>
      </c>
      <c r="L16" s="220">
        <f>IF(F16&gt;=$B$6,+K16,0)</f>
        <v>333.19233333333329</v>
      </c>
      <c r="M16" s="220">
        <f>+K16*I16</f>
        <v>4331.5003333333325</v>
      </c>
      <c r="N16" s="220">
        <f>+H16-M16</f>
        <v>5664.2696666666661</v>
      </c>
      <c r="O16" s="206"/>
      <c r="Q16" s="395">
        <f t="shared" si="2"/>
        <v>5664.2696666666661</v>
      </c>
      <c r="R16" s="397">
        <f t="shared" si="4"/>
        <v>0.39944272963984079</v>
      </c>
      <c r="S16" s="77">
        <f t="shared" si="3"/>
        <v>32</v>
      </c>
      <c r="T16" s="77">
        <f t="shared" si="5"/>
        <v>12.782167348474905</v>
      </c>
    </row>
    <row r="17" spans="1:20" x14ac:dyDescent="0.2">
      <c r="A17" s="203" t="s">
        <v>81</v>
      </c>
      <c r="B17" s="204" t="s">
        <v>138</v>
      </c>
      <c r="C17" s="205">
        <v>36891</v>
      </c>
      <c r="D17" s="206">
        <v>2000</v>
      </c>
      <c r="E17" s="206">
        <v>30</v>
      </c>
      <c r="F17" s="343">
        <f>+F14</f>
        <v>2026</v>
      </c>
      <c r="G17" s="207">
        <f t="shared" si="1"/>
        <v>3.3333333333333333E-2</v>
      </c>
      <c r="H17" s="220">
        <f>-H14</f>
        <v>-373380</v>
      </c>
      <c r="I17" s="343">
        <f>+I14</f>
        <v>5</v>
      </c>
      <c r="J17" s="343">
        <f>IF(F17&gt;=$B$6,+E17-I17,0)</f>
        <v>25</v>
      </c>
      <c r="K17" s="238">
        <f>-K14</f>
        <v>-12446</v>
      </c>
      <c r="L17" s="238">
        <f>-L14</f>
        <v>-12446</v>
      </c>
      <c r="M17" s="238">
        <v>-12446</v>
      </c>
      <c r="N17" s="238">
        <v>-360934</v>
      </c>
      <c r="O17" s="206"/>
      <c r="P17" s="68"/>
      <c r="Q17" s="395">
        <f t="shared" si="2"/>
        <v>-360934</v>
      </c>
      <c r="R17" s="397">
        <f t="shared" si="4"/>
        <v>-25.452965812743436</v>
      </c>
      <c r="S17" s="77">
        <f t="shared" si="3"/>
        <v>40</v>
      </c>
      <c r="T17" s="77">
        <f t="shared" si="5"/>
        <v>-1018.1186325097374</v>
      </c>
    </row>
    <row r="18" spans="1:20" x14ac:dyDescent="0.2">
      <c r="A18" s="203" t="s">
        <v>81</v>
      </c>
      <c r="B18" s="204" t="s">
        <v>138</v>
      </c>
      <c r="C18" s="205">
        <v>37256</v>
      </c>
      <c r="D18" s="206">
        <v>2001</v>
      </c>
      <c r="E18" s="206">
        <v>30</v>
      </c>
      <c r="F18" s="206">
        <f>+D18+E18-1</f>
        <v>2030</v>
      </c>
      <c r="G18" s="207">
        <f>IF(E18&gt;0,1/E18,0)</f>
        <v>3.3333333333333333E-2</v>
      </c>
      <c r="H18" s="220">
        <f>850124.96-776885.06</f>
        <v>73239.899999999907</v>
      </c>
      <c r="I18" s="173">
        <f>IF(+H18&gt;0,IF(+$B$6-D18+1&gt;E18,E18,+$B$6-D18+1),0)</f>
        <v>12</v>
      </c>
      <c r="J18" s="173">
        <f>IF(F18&gt;=$B$6,+E18-I18,0)</f>
        <v>18</v>
      </c>
      <c r="K18" s="220">
        <f>+H18*G18</f>
        <v>2441.3299999999967</v>
      </c>
      <c r="L18" s="220">
        <f>IF(F18&gt;=$B$6,+K18,0)</f>
        <v>2441.3299999999967</v>
      </c>
      <c r="M18" s="220">
        <f>+K18*I18</f>
        <v>29295.959999999963</v>
      </c>
      <c r="N18" s="220">
        <f>+H18-M18</f>
        <v>43943.939999999944</v>
      </c>
      <c r="O18" s="206"/>
      <c r="P18" s="68"/>
      <c r="Q18" s="395">
        <f t="shared" si="2"/>
        <v>43943.939999999944</v>
      </c>
      <c r="R18" s="397">
        <f t="shared" si="4"/>
        <v>3.0989144898991152</v>
      </c>
      <c r="S18" s="77">
        <f>45-I18</f>
        <v>33</v>
      </c>
      <c r="T18" s="77">
        <f t="shared" si="5"/>
        <v>102.2641781666708</v>
      </c>
    </row>
    <row r="19" spans="1:20" x14ac:dyDescent="0.2">
      <c r="A19" s="203"/>
      <c r="B19" s="204" t="s">
        <v>296</v>
      </c>
      <c r="C19" s="205"/>
      <c r="D19" s="206">
        <v>2002</v>
      </c>
      <c r="E19" s="206"/>
      <c r="F19" s="206"/>
      <c r="G19" s="206"/>
      <c r="H19" s="220">
        <v>0</v>
      </c>
      <c r="I19" s="173">
        <v>0</v>
      </c>
      <c r="J19" s="173">
        <v>0</v>
      </c>
      <c r="K19" s="220">
        <v>0</v>
      </c>
      <c r="L19" s="220">
        <v>0</v>
      </c>
      <c r="M19" s="220">
        <v>-15.8</v>
      </c>
      <c r="N19" s="220">
        <v>15.8</v>
      </c>
      <c r="O19" s="206"/>
      <c r="Q19" s="395">
        <f t="shared" si="2"/>
        <v>15.8</v>
      </c>
      <c r="R19" s="397">
        <f t="shared" si="4"/>
        <v>1.1142116282792595E-3</v>
      </c>
      <c r="S19" s="77">
        <f t="shared" si="3"/>
        <v>45</v>
      </c>
      <c r="T19" s="77">
        <f t="shared" si="5"/>
        <v>5.0139523272566676E-2</v>
      </c>
    </row>
    <row r="20" spans="1:20" x14ac:dyDescent="0.2">
      <c r="A20" s="203"/>
      <c r="B20" s="215"/>
      <c r="C20" s="191"/>
      <c r="D20" s="173"/>
      <c r="E20" s="173"/>
      <c r="F20" s="173"/>
      <c r="G20" s="173"/>
      <c r="H20" s="221"/>
      <c r="I20" s="229"/>
      <c r="J20" s="213"/>
      <c r="K20" s="221"/>
      <c r="L20" s="221"/>
      <c r="M20" s="221"/>
      <c r="N20" s="221"/>
      <c r="O20" s="173"/>
      <c r="P20" s="214"/>
    </row>
    <row r="21" spans="1:20" s="81" customFormat="1" x14ac:dyDescent="0.2">
      <c r="A21" s="148"/>
      <c r="B21" s="180" t="s">
        <v>26</v>
      </c>
      <c r="C21" s="179"/>
      <c r="D21" s="179"/>
      <c r="E21" s="179"/>
      <c r="F21" s="179"/>
      <c r="G21" s="179"/>
      <c r="H21" s="223">
        <f>SUM(H9:H20)</f>
        <v>850124.96</v>
      </c>
      <c r="I21" s="224"/>
      <c r="J21" s="223"/>
      <c r="K21" s="223"/>
      <c r="L21" s="230">
        <f>SUM(L9:L20)</f>
        <v>4668.9426666666623</v>
      </c>
      <c r="M21" s="223">
        <f>SUM(M9:M20)</f>
        <v>835944.53</v>
      </c>
      <c r="N21" s="223">
        <f>+H21-M21</f>
        <v>14180.429999999935</v>
      </c>
      <c r="O21" s="179"/>
      <c r="P21" s="216"/>
      <c r="Q21" s="96"/>
    </row>
    <row r="22" spans="1:20" s="81" customFormat="1" x14ac:dyDescent="0.2">
      <c r="B22" s="132"/>
      <c r="C22" s="193"/>
      <c r="D22" s="193"/>
      <c r="E22" s="193"/>
      <c r="F22" s="193"/>
      <c r="G22" s="193"/>
      <c r="H22" s="225"/>
      <c r="I22" s="226"/>
      <c r="J22" s="225"/>
      <c r="K22" s="225"/>
      <c r="L22" s="225"/>
      <c r="M22" s="225"/>
      <c r="N22" s="225"/>
      <c r="O22" s="193"/>
      <c r="P22" s="214"/>
      <c r="Q22" s="396">
        <f>SUM(Q9:Q21)</f>
        <v>14180.429999999946</v>
      </c>
      <c r="T22" s="81">
        <f>SUM(T12:T21)</f>
        <v>11.911371846034672</v>
      </c>
    </row>
    <row r="23" spans="1:20" s="81" customFormat="1" x14ac:dyDescent="0.2">
      <c r="B23" s="132"/>
      <c r="C23" s="193"/>
      <c r="D23" s="193"/>
      <c r="E23" s="193"/>
      <c r="F23" s="193"/>
      <c r="G23" s="227"/>
      <c r="H23" s="225"/>
      <c r="I23" s="226"/>
      <c r="J23" s="225"/>
      <c r="K23" s="225"/>
      <c r="L23" s="225"/>
      <c r="M23" s="225">
        <v>831275.62</v>
      </c>
      <c r="N23" s="225"/>
      <c r="O23" s="193"/>
      <c r="P23" s="216"/>
    </row>
    <row r="24" spans="1:20" s="81" customFormat="1" x14ac:dyDescent="0.2">
      <c r="B24" s="132"/>
      <c r="C24" s="193"/>
      <c r="D24" s="193"/>
      <c r="E24" s="193"/>
      <c r="F24" s="193"/>
      <c r="G24" s="193"/>
      <c r="H24" s="225"/>
      <c r="I24" s="226"/>
      <c r="J24" s="225"/>
      <c r="K24" s="226"/>
      <c r="L24" s="225"/>
      <c r="M24" s="225"/>
      <c r="N24" s="225"/>
      <c r="O24" s="193"/>
      <c r="P24" s="97"/>
      <c r="R24" s="81" t="s">
        <v>300</v>
      </c>
    </row>
    <row r="25" spans="1:20" s="81" customFormat="1" x14ac:dyDescent="0.2">
      <c r="B25" s="132"/>
      <c r="C25" s="193"/>
      <c r="D25" s="193"/>
      <c r="E25" s="193"/>
      <c r="F25" s="193"/>
      <c r="G25" s="193"/>
      <c r="H25" s="225"/>
      <c r="I25" s="226"/>
      <c r="J25" s="225"/>
      <c r="K25" s="225"/>
      <c r="L25" s="225"/>
      <c r="M25" s="374">
        <f>+M21-M23</f>
        <v>4668.9100000000326</v>
      </c>
      <c r="N25" s="225"/>
      <c r="O25" s="193"/>
      <c r="P25" s="217"/>
    </row>
    <row r="26" spans="1:20" x14ac:dyDescent="0.2">
      <c r="B26" s="113"/>
      <c r="C26" s="111"/>
      <c r="D26" s="111"/>
      <c r="E26" s="111"/>
      <c r="F26" s="111"/>
      <c r="G26" s="111"/>
      <c r="H26" s="116"/>
      <c r="I26" s="125"/>
      <c r="J26" s="112"/>
      <c r="K26" s="112"/>
      <c r="L26" s="112"/>
      <c r="M26" s="218"/>
      <c r="N26" s="112"/>
      <c r="O26" s="111"/>
      <c r="P26" s="214"/>
    </row>
    <row r="27" spans="1:20" x14ac:dyDescent="0.2">
      <c r="B27" s="113"/>
      <c r="C27" s="111"/>
      <c r="D27" s="111"/>
      <c r="E27" s="111"/>
      <c r="F27" s="111"/>
      <c r="G27" s="111"/>
      <c r="H27" s="112"/>
      <c r="I27" s="219"/>
      <c r="J27" s="112"/>
      <c r="K27" s="112"/>
      <c r="L27" s="112"/>
      <c r="M27" s="112"/>
      <c r="N27" s="112"/>
      <c r="O27" s="111"/>
      <c r="P27" s="214"/>
    </row>
    <row r="28" spans="1:20" x14ac:dyDescent="0.2">
      <c r="B28" s="113"/>
      <c r="C28" s="111"/>
      <c r="D28" s="111"/>
      <c r="E28" s="111"/>
      <c r="F28" s="111"/>
      <c r="G28" s="111"/>
      <c r="H28" s="112"/>
      <c r="I28" s="111"/>
      <c r="J28" s="112"/>
      <c r="K28" s="112"/>
      <c r="L28" s="112"/>
      <c r="M28" s="112"/>
      <c r="N28" s="112"/>
      <c r="O28" s="111"/>
      <c r="P28" s="214"/>
    </row>
    <row r="29" spans="1:20" x14ac:dyDescent="0.2">
      <c r="B29" s="113"/>
      <c r="C29" s="111"/>
      <c r="D29" s="111"/>
      <c r="E29" s="111"/>
      <c r="F29" s="111"/>
      <c r="G29" s="378"/>
      <c r="H29" s="112"/>
      <c r="I29" s="111"/>
      <c r="J29" s="112"/>
      <c r="K29" s="112"/>
      <c r="L29" s="121"/>
      <c r="M29" s="121"/>
      <c r="N29" s="112"/>
      <c r="O29" s="111"/>
      <c r="P29" s="214"/>
    </row>
    <row r="30" spans="1:20" x14ac:dyDescent="0.2">
      <c r="L30" s="135"/>
      <c r="M30" s="135"/>
      <c r="N30" s="252"/>
    </row>
    <row r="31" spans="1:20" x14ac:dyDescent="0.2">
      <c r="L31" s="198"/>
      <c r="M31" s="199"/>
    </row>
    <row r="32" spans="1:20" x14ac:dyDescent="0.2">
      <c r="L32" s="135"/>
      <c r="M32" s="200"/>
    </row>
    <row r="33" spans="12:13" x14ac:dyDescent="0.2">
      <c r="L33" s="201"/>
      <c r="M33" s="200"/>
    </row>
    <row r="34" spans="12:13" x14ac:dyDescent="0.2">
      <c r="L34" s="135"/>
      <c r="M34" s="200"/>
    </row>
    <row r="35" spans="12:13" x14ac:dyDescent="0.2">
      <c r="L35" s="201"/>
      <c r="M35" s="200"/>
    </row>
    <row r="36" spans="12:13" x14ac:dyDescent="0.2">
      <c r="L36" s="135"/>
      <c r="M36" s="200"/>
    </row>
    <row r="37" spans="12:13" x14ac:dyDescent="0.2">
      <c r="L37" s="202"/>
      <c r="M37" s="202"/>
    </row>
  </sheetData>
  <printOptions horizontalCentered="1"/>
  <pageMargins left="0.39370078740157483" right="0.39370078740157483" top="0.39370078740157483" bottom="0.78740157480314965" header="0" footer="0.59055118110236227"/>
  <pageSetup scale="58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workbookViewId="0">
      <selection activeCell="D19" sqref="D19:H22"/>
    </sheetView>
  </sheetViews>
  <sheetFormatPr defaultColWidth="9.140625" defaultRowHeight="12.75" x14ac:dyDescent="0.2"/>
  <cols>
    <col min="1" max="1" width="24" style="78" customWidth="1"/>
    <col min="2" max="2" width="13.140625" style="79" customWidth="1"/>
    <col min="3" max="3" width="9.28515625" style="79" customWidth="1"/>
    <col min="4" max="4" width="6.5703125" style="79" customWidth="1"/>
    <col min="5" max="5" width="10.140625" style="79" bestFit="1" customWidth="1"/>
    <col min="6" max="6" width="8.5703125" style="79" customWidth="1"/>
    <col min="7" max="7" width="11" style="77" bestFit="1" customWidth="1"/>
    <col min="8" max="8" width="9.7109375" style="79" bestFit="1" customWidth="1"/>
    <col min="9" max="9" width="10.28515625" style="77" bestFit="1" customWidth="1"/>
    <col min="10" max="10" width="9.7109375" style="77" customWidth="1"/>
    <col min="11" max="11" width="11.5703125" style="77" bestFit="1" customWidth="1"/>
    <col min="12" max="12" width="12.42578125" style="77" customWidth="1"/>
    <col min="13" max="13" width="11.7109375" style="77" customWidth="1"/>
    <col min="14" max="14" width="10.5703125" style="79" customWidth="1"/>
    <col min="15" max="15" width="9.85546875" style="77" bestFit="1" customWidth="1"/>
    <col min="16" max="249" width="9.140625" style="77"/>
    <col min="250" max="250" width="10" style="77" customWidth="1"/>
    <col min="251" max="251" width="6.85546875" style="77" customWidth="1"/>
    <col min="252" max="252" width="9.140625" style="77"/>
    <col min="253" max="253" width="24" style="77" customWidth="1"/>
    <col min="254" max="254" width="7.85546875" style="77" customWidth="1"/>
    <col min="255" max="256" width="13.140625" style="77" customWidth="1"/>
    <col min="257" max="257" width="9.140625" style="77"/>
    <col min="258" max="258" width="12.85546875" style="77" customWidth="1"/>
    <col min="259" max="259" width="9.140625" style="77"/>
    <col min="260" max="260" width="7" style="77" customWidth="1"/>
    <col min="261" max="262" width="13.140625" style="77" customWidth="1"/>
    <col min="263" max="263" width="11.7109375" style="77" customWidth="1"/>
    <col min="264" max="264" width="14.85546875" style="77" customWidth="1"/>
    <col min="265" max="265" width="9.7109375" style="77" customWidth="1"/>
    <col min="266" max="266" width="14.85546875" style="77" customWidth="1"/>
    <col min="267" max="267" width="16.140625" style="77" customWidth="1"/>
    <col min="268" max="268" width="14.85546875" style="77" customWidth="1"/>
    <col min="269" max="269" width="16.5703125" style="77" customWidth="1"/>
    <col min="270" max="270" width="10.5703125" style="77" customWidth="1"/>
    <col min="271" max="271" width="9.85546875" style="77" bestFit="1" customWidth="1"/>
    <col min="272" max="505" width="9.140625" style="77"/>
    <col min="506" max="506" width="10" style="77" customWidth="1"/>
    <col min="507" max="507" width="6.85546875" style="77" customWidth="1"/>
    <col min="508" max="508" width="9.140625" style="77"/>
    <col min="509" max="509" width="24" style="77" customWidth="1"/>
    <col min="510" max="510" width="7.85546875" style="77" customWidth="1"/>
    <col min="511" max="512" width="13.140625" style="77" customWidth="1"/>
    <col min="513" max="513" width="9.140625" style="77"/>
    <col min="514" max="514" width="12.85546875" style="77" customWidth="1"/>
    <col min="515" max="515" width="9.140625" style="77"/>
    <col min="516" max="516" width="7" style="77" customWidth="1"/>
    <col min="517" max="518" width="13.140625" style="77" customWidth="1"/>
    <col min="519" max="519" width="11.7109375" style="77" customWidth="1"/>
    <col min="520" max="520" width="14.85546875" style="77" customWidth="1"/>
    <col min="521" max="521" width="9.7109375" style="77" customWidth="1"/>
    <col min="522" max="522" width="14.85546875" style="77" customWidth="1"/>
    <col min="523" max="523" width="16.140625" style="77" customWidth="1"/>
    <col min="524" max="524" width="14.85546875" style="77" customWidth="1"/>
    <col min="525" max="525" width="16.5703125" style="77" customWidth="1"/>
    <col min="526" max="526" width="10.5703125" style="77" customWidth="1"/>
    <col min="527" max="527" width="9.85546875" style="77" bestFit="1" customWidth="1"/>
    <col min="528" max="761" width="9.140625" style="77"/>
    <col min="762" max="762" width="10" style="77" customWidth="1"/>
    <col min="763" max="763" width="6.85546875" style="77" customWidth="1"/>
    <col min="764" max="764" width="9.140625" style="77"/>
    <col min="765" max="765" width="24" style="77" customWidth="1"/>
    <col min="766" max="766" width="7.85546875" style="77" customWidth="1"/>
    <col min="767" max="768" width="13.140625" style="77" customWidth="1"/>
    <col min="769" max="769" width="9.140625" style="77"/>
    <col min="770" max="770" width="12.85546875" style="77" customWidth="1"/>
    <col min="771" max="771" width="9.140625" style="77"/>
    <col min="772" max="772" width="7" style="77" customWidth="1"/>
    <col min="773" max="774" width="13.140625" style="77" customWidth="1"/>
    <col min="775" max="775" width="11.7109375" style="77" customWidth="1"/>
    <col min="776" max="776" width="14.85546875" style="77" customWidth="1"/>
    <col min="777" max="777" width="9.7109375" style="77" customWidth="1"/>
    <col min="778" max="778" width="14.85546875" style="77" customWidth="1"/>
    <col min="779" max="779" width="16.140625" style="77" customWidth="1"/>
    <col min="780" max="780" width="14.85546875" style="77" customWidth="1"/>
    <col min="781" max="781" width="16.5703125" style="77" customWidth="1"/>
    <col min="782" max="782" width="10.5703125" style="77" customWidth="1"/>
    <col min="783" max="783" width="9.85546875" style="77" bestFit="1" customWidth="1"/>
    <col min="784" max="1017" width="9.140625" style="77"/>
    <col min="1018" max="1018" width="10" style="77" customWidth="1"/>
    <col min="1019" max="1019" width="6.85546875" style="77" customWidth="1"/>
    <col min="1020" max="1020" width="9.140625" style="77"/>
    <col min="1021" max="1021" width="24" style="77" customWidth="1"/>
    <col min="1022" max="1022" width="7.85546875" style="77" customWidth="1"/>
    <col min="1023" max="1024" width="13.140625" style="77" customWidth="1"/>
    <col min="1025" max="1025" width="9.140625" style="77"/>
    <col min="1026" max="1026" width="12.85546875" style="77" customWidth="1"/>
    <col min="1027" max="1027" width="9.140625" style="77"/>
    <col min="1028" max="1028" width="7" style="77" customWidth="1"/>
    <col min="1029" max="1030" width="13.140625" style="77" customWidth="1"/>
    <col min="1031" max="1031" width="11.7109375" style="77" customWidth="1"/>
    <col min="1032" max="1032" width="14.85546875" style="77" customWidth="1"/>
    <col min="1033" max="1033" width="9.7109375" style="77" customWidth="1"/>
    <col min="1034" max="1034" width="14.85546875" style="77" customWidth="1"/>
    <col min="1035" max="1035" width="16.140625" style="77" customWidth="1"/>
    <col min="1036" max="1036" width="14.85546875" style="77" customWidth="1"/>
    <col min="1037" max="1037" width="16.5703125" style="77" customWidth="1"/>
    <col min="1038" max="1038" width="10.5703125" style="77" customWidth="1"/>
    <col min="1039" max="1039" width="9.85546875" style="77" bestFit="1" customWidth="1"/>
    <col min="1040" max="1273" width="9.140625" style="77"/>
    <col min="1274" max="1274" width="10" style="77" customWidth="1"/>
    <col min="1275" max="1275" width="6.85546875" style="77" customWidth="1"/>
    <col min="1276" max="1276" width="9.140625" style="77"/>
    <col min="1277" max="1277" width="24" style="77" customWidth="1"/>
    <col min="1278" max="1278" width="7.85546875" style="77" customWidth="1"/>
    <col min="1279" max="1280" width="13.140625" style="77" customWidth="1"/>
    <col min="1281" max="1281" width="9.140625" style="77"/>
    <col min="1282" max="1282" width="12.85546875" style="77" customWidth="1"/>
    <col min="1283" max="1283" width="9.140625" style="77"/>
    <col min="1284" max="1284" width="7" style="77" customWidth="1"/>
    <col min="1285" max="1286" width="13.140625" style="77" customWidth="1"/>
    <col min="1287" max="1287" width="11.7109375" style="77" customWidth="1"/>
    <col min="1288" max="1288" width="14.85546875" style="77" customWidth="1"/>
    <col min="1289" max="1289" width="9.7109375" style="77" customWidth="1"/>
    <col min="1290" max="1290" width="14.85546875" style="77" customWidth="1"/>
    <col min="1291" max="1291" width="16.140625" style="77" customWidth="1"/>
    <col min="1292" max="1292" width="14.85546875" style="77" customWidth="1"/>
    <col min="1293" max="1293" width="16.5703125" style="77" customWidth="1"/>
    <col min="1294" max="1294" width="10.5703125" style="77" customWidth="1"/>
    <col min="1295" max="1295" width="9.85546875" style="77" bestFit="1" customWidth="1"/>
    <col min="1296" max="1529" width="9.140625" style="77"/>
    <col min="1530" max="1530" width="10" style="77" customWidth="1"/>
    <col min="1531" max="1531" width="6.85546875" style="77" customWidth="1"/>
    <col min="1532" max="1532" width="9.140625" style="77"/>
    <col min="1533" max="1533" width="24" style="77" customWidth="1"/>
    <col min="1534" max="1534" width="7.85546875" style="77" customWidth="1"/>
    <col min="1535" max="1536" width="13.140625" style="77" customWidth="1"/>
    <col min="1537" max="1537" width="9.140625" style="77"/>
    <col min="1538" max="1538" width="12.85546875" style="77" customWidth="1"/>
    <col min="1539" max="1539" width="9.140625" style="77"/>
    <col min="1540" max="1540" width="7" style="77" customWidth="1"/>
    <col min="1541" max="1542" width="13.140625" style="77" customWidth="1"/>
    <col min="1543" max="1543" width="11.7109375" style="77" customWidth="1"/>
    <col min="1544" max="1544" width="14.85546875" style="77" customWidth="1"/>
    <col min="1545" max="1545" width="9.7109375" style="77" customWidth="1"/>
    <col min="1546" max="1546" width="14.85546875" style="77" customWidth="1"/>
    <col min="1547" max="1547" width="16.140625" style="77" customWidth="1"/>
    <col min="1548" max="1548" width="14.85546875" style="77" customWidth="1"/>
    <col min="1549" max="1549" width="16.5703125" style="77" customWidth="1"/>
    <col min="1550" max="1550" width="10.5703125" style="77" customWidth="1"/>
    <col min="1551" max="1551" width="9.85546875" style="77" bestFit="1" customWidth="1"/>
    <col min="1552" max="1785" width="9.140625" style="77"/>
    <col min="1786" max="1786" width="10" style="77" customWidth="1"/>
    <col min="1787" max="1787" width="6.85546875" style="77" customWidth="1"/>
    <col min="1788" max="1788" width="9.140625" style="77"/>
    <col min="1789" max="1789" width="24" style="77" customWidth="1"/>
    <col min="1790" max="1790" width="7.85546875" style="77" customWidth="1"/>
    <col min="1791" max="1792" width="13.140625" style="77" customWidth="1"/>
    <col min="1793" max="1793" width="9.140625" style="77"/>
    <col min="1794" max="1794" width="12.85546875" style="77" customWidth="1"/>
    <col min="1795" max="1795" width="9.140625" style="77"/>
    <col min="1796" max="1796" width="7" style="77" customWidth="1"/>
    <col min="1797" max="1798" width="13.140625" style="77" customWidth="1"/>
    <col min="1799" max="1799" width="11.7109375" style="77" customWidth="1"/>
    <col min="1800" max="1800" width="14.85546875" style="77" customWidth="1"/>
    <col min="1801" max="1801" width="9.7109375" style="77" customWidth="1"/>
    <col min="1802" max="1802" width="14.85546875" style="77" customWidth="1"/>
    <col min="1803" max="1803" width="16.140625" style="77" customWidth="1"/>
    <col min="1804" max="1804" width="14.85546875" style="77" customWidth="1"/>
    <col min="1805" max="1805" width="16.5703125" style="77" customWidth="1"/>
    <col min="1806" max="1806" width="10.5703125" style="77" customWidth="1"/>
    <col min="1807" max="1807" width="9.85546875" style="77" bestFit="1" customWidth="1"/>
    <col min="1808" max="2041" width="9.140625" style="77"/>
    <col min="2042" max="2042" width="10" style="77" customWidth="1"/>
    <col min="2043" max="2043" width="6.85546875" style="77" customWidth="1"/>
    <col min="2044" max="2044" width="9.140625" style="77"/>
    <col min="2045" max="2045" width="24" style="77" customWidth="1"/>
    <col min="2046" max="2046" width="7.85546875" style="77" customWidth="1"/>
    <col min="2047" max="2048" width="13.140625" style="77" customWidth="1"/>
    <col min="2049" max="2049" width="9.140625" style="77"/>
    <col min="2050" max="2050" width="12.85546875" style="77" customWidth="1"/>
    <col min="2051" max="2051" width="9.140625" style="77"/>
    <col min="2052" max="2052" width="7" style="77" customWidth="1"/>
    <col min="2053" max="2054" width="13.140625" style="77" customWidth="1"/>
    <col min="2055" max="2055" width="11.7109375" style="77" customWidth="1"/>
    <col min="2056" max="2056" width="14.85546875" style="77" customWidth="1"/>
    <col min="2057" max="2057" width="9.7109375" style="77" customWidth="1"/>
    <col min="2058" max="2058" width="14.85546875" style="77" customWidth="1"/>
    <col min="2059" max="2059" width="16.140625" style="77" customWidth="1"/>
    <col min="2060" max="2060" width="14.85546875" style="77" customWidth="1"/>
    <col min="2061" max="2061" width="16.5703125" style="77" customWidth="1"/>
    <col min="2062" max="2062" width="10.5703125" style="77" customWidth="1"/>
    <col min="2063" max="2063" width="9.85546875" style="77" bestFit="1" customWidth="1"/>
    <col min="2064" max="2297" width="9.140625" style="77"/>
    <col min="2298" max="2298" width="10" style="77" customWidth="1"/>
    <col min="2299" max="2299" width="6.85546875" style="77" customWidth="1"/>
    <col min="2300" max="2300" width="9.140625" style="77"/>
    <col min="2301" max="2301" width="24" style="77" customWidth="1"/>
    <col min="2302" max="2302" width="7.85546875" style="77" customWidth="1"/>
    <col min="2303" max="2304" width="13.140625" style="77" customWidth="1"/>
    <col min="2305" max="2305" width="9.140625" style="77"/>
    <col min="2306" max="2306" width="12.85546875" style="77" customWidth="1"/>
    <col min="2307" max="2307" width="9.140625" style="77"/>
    <col min="2308" max="2308" width="7" style="77" customWidth="1"/>
    <col min="2309" max="2310" width="13.140625" style="77" customWidth="1"/>
    <col min="2311" max="2311" width="11.7109375" style="77" customWidth="1"/>
    <col min="2312" max="2312" width="14.85546875" style="77" customWidth="1"/>
    <col min="2313" max="2313" width="9.7109375" style="77" customWidth="1"/>
    <col min="2314" max="2314" width="14.85546875" style="77" customWidth="1"/>
    <col min="2315" max="2315" width="16.140625" style="77" customWidth="1"/>
    <col min="2316" max="2316" width="14.85546875" style="77" customWidth="1"/>
    <col min="2317" max="2317" width="16.5703125" style="77" customWidth="1"/>
    <col min="2318" max="2318" width="10.5703125" style="77" customWidth="1"/>
    <col min="2319" max="2319" width="9.85546875" style="77" bestFit="1" customWidth="1"/>
    <col min="2320" max="2553" width="9.140625" style="77"/>
    <col min="2554" max="2554" width="10" style="77" customWidth="1"/>
    <col min="2555" max="2555" width="6.85546875" style="77" customWidth="1"/>
    <col min="2556" max="2556" width="9.140625" style="77"/>
    <col min="2557" max="2557" width="24" style="77" customWidth="1"/>
    <col min="2558" max="2558" width="7.85546875" style="77" customWidth="1"/>
    <col min="2559" max="2560" width="13.140625" style="77" customWidth="1"/>
    <col min="2561" max="2561" width="9.140625" style="77"/>
    <col min="2562" max="2562" width="12.85546875" style="77" customWidth="1"/>
    <col min="2563" max="2563" width="9.140625" style="77"/>
    <col min="2564" max="2564" width="7" style="77" customWidth="1"/>
    <col min="2565" max="2566" width="13.140625" style="77" customWidth="1"/>
    <col min="2567" max="2567" width="11.7109375" style="77" customWidth="1"/>
    <col min="2568" max="2568" width="14.85546875" style="77" customWidth="1"/>
    <col min="2569" max="2569" width="9.7109375" style="77" customWidth="1"/>
    <col min="2570" max="2570" width="14.85546875" style="77" customWidth="1"/>
    <col min="2571" max="2571" width="16.140625" style="77" customWidth="1"/>
    <col min="2572" max="2572" width="14.85546875" style="77" customWidth="1"/>
    <col min="2573" max="2573" width="16.5703125" style="77" customWidth="1"/>
    <col min="2574" max="2574" width="10.5703125" style="77" customWidth="1"/>
    <col min="2575" max="2575" width="9.85546875" style="77" bestFit="1" customWidth="1"/>
    <col min="2576" max="2809" width="9.140625" style="77"/>
    <col min="2810" max="2810" width="10" style="77" customWidth="1"/>
    <col min="2811" max="2811" width="6.85546875" style="77" customWidth="1"/>
    <col min="2812" max="2812" width="9.140625" style="77"/>
    <col min="2813" max="2813" width="24" style="77" customWidth="1"/>
    <col min="2814" max="2814" width="7.85546875" style="77" customWidth="1"/>
    <col min="2815" max="2816" width="13.140625" style="77" customWidth="1"/>
    <col min="2817" max="2817" width="9.140625" style="77"/>
    <col min="2818" max="2818" width="12.85546875" style="77" customWidth="1"/>
    <col min="2819" max="2819" width="9.140625" style="77"/>
    <col min="2820" max="2820" width="7" style="77" customWidth="1"/>
    <col min="2821" max="2822" width="13.140625" style="77" customWidth="1"/>
    <col min="2823" max="2823" width="11.7109375" style="77" customWidth="1"/>
    <col min="2824" max="2824" width="14.85546875" style="77" customWidth="1"/>
    <col min="2825" max="2825" width="9.7109375" style="77" customWidth="1"/>
    <col min="2826" max="2826" width="14.85546875" style="77" customWidth="1"/>
    <col min="2827" max="2827" width="16.140625" style="77" customWidth="1"/>
    <col min="2828" max="2828" width="14.85546875" style="77" customWidth="1"/>
    <col min="2829" max="2829" width="16.5703125" style="77" customWidth="1"/>
    <col min="2830" max="2830" width="10.5703125" style="77" customWidth="1"/>
    <col min="2831" max="2831" width="9.85546875" style="77" bestFit="1" customWidth="1"/>
    <col min="2832" max="3065" width="9.140625" style="77"/>
    <col min="3066" max="3066" width="10" style="77" customWidth="1"/>
    <col min="3067" max="3067" width="6.85546875" style="77" customWidth="1"/>
    <col min="3068" max="3068" width="9.140625" style="77"/>
    <col min="3069" max="3069" width="24" style="77" customWidth="1"/>
    <col min="3070" max="3070" width="7.85546875" style="77" customWidth="1"/>
    <col min="3071" max="3072" width="13.140625" style="77" customWidth="1"/>
    <col min="3073" max="3073" width="9.140625" style="77"/>
    <col min="3074" max="3074" width="12.85546875" style="77" customWidth="1"/>
    <col min="3075" max="3075" width="9.140625" style="77"/>
    <col min="3076" max="3076" width="7" style="77" customWidth="1"/>
    <col min="3077" max="3078" width="13.140625" style="77" customWidth="1"/>
    <col min="3079" max="3079" width="11.7109375" style="77" customWidth="1"/>
    <col min="3080" max="3080" width="14.85546875" style="77" customWidth="1"/>
    <col min="3081" max="3081" width="9.7109375" style="77" customWidth="1"/>
    <col min="3082" max="3082" width="14.85546875" style="77" customWidth="1"/>
    <col min="3083" max="3083" width="16.140625" style="77" customWidth="1"/>
    <col min="3084" max="3084" width="14.85546875" style="77" customWidth="1"/>
    <col min="3085" max="3085" width="16.5703125" style="77" customWidth="1"/>
    <col min="3086" max="3086" width="10.5703125" style="77" customWidth="1"/>
    <col min="3087" max="3087" width="9.85546875" style="77" bestFit="1" customWidth="1"/>
    <col min="3088" max="3321" width="9.140625" style="77"/>
    <col min="3322" max="3322" width="10" style="77" customWidth="1"/>
    <col min="3323" max="3323" width="6.85546875" style="77" customWidth="1"/>
    <col min="3324" max="3324" width="9.140625" style="77"/>
    <col min="3325" max="3325" width="24" style="77" customWidth="1"/>
    <col min="3326" max="3326" width="7.85546875" style="77" customWidth="1"/>
    <col min="3327" max="3328" width="13.140625" style="77" customWidth="1"/>
    <col min="3329" max="3329" width="9.140625" style="77"/>
    <col min="3330" max="3330" width="12.85546875" style="77" customWidth="1"/>
    <col min="3331" max="3331" width="9.140625" style="77"/>
    <col min="3332" max="3332" width="7" style="77" customWidth="1"/>
    <col min="3333" max="3334" width="13.140625" style="77" customWidth="1"/>
    <col min="3335" max="3335" width="11.7109375" style="77" customWidth="1"/>
    <col min="3336" max="3336" width="14.85546875" style="77" customWidth="1"/>
    <col min="3337" max="3337" width="9.7109375" style="77" customWidth="1"/>
    <col min="3338" max="3338" width="14.85546875" style="77" customWidth="1"/>
    <col min="3339" max="3339" width="16.140625" style="77" customWidth="1"/>
    <col min="3340" max="3340" width="14.85546875" style="77" customWidth="1"/>
    <col min="3341" max="3341" width="16.5703125" style="77" customWidth="1"/>
    <col min="3342" max="3342" width="10.5703125" style="77" customWidth="1"/>
    <col min="3343" max="3343" width="9.85546875" style="77" bestFit="1" customWidth="1"/>
    <col min="3344" max="3577" width="9.140625" style="77"/>
    <col min="3578" max="3578" width="10" style="77" customWidth="1"/>
    <col min="3579" max="3579" width="6.85546875" style="77" customWidth="1"/>
    <col min="3580" max="3580" width="9.140625" style="77"/>
    <col min="3581" max="3581" width="24" style="77" customWidth="1"/>
    <col min="3582" max="3582" width="7.85546875" style="77" customWidth="1"/>
    <col min="3583" max="3584" width="13.140625" style="77" customWidth="1"/>
    <col min="3585" max="3585" width="9.140625" style="77"/>
    <col min="3586" max="3586" width="12.85546875" style="77" customWidth="1"/>
    <col min="3587" max="3587" width="9.140625" style="77"/>
    <col min="3588" max="3588" width="7" style="77" customWidth="1"/>
    <col min="3589" max="3590" width="13.140625" style="77" customWidth="1"/>
    <col min="3591" max="3591" width="11.7109375" style="77" customWidth="1"/>
    <col min="3592" max="3592" width="14.85546875" style="77" customWidth="1"/>
    <col min="3593" max="3593" width="9.7109375" style="77" customWidth="1"/>
    <col min="3594" max="3594" width="14.85546875" style="77" customWidth="1"/>
    <col min="3595" max="3595" width="16.140625" style="77" customWidth="1"/>
    <col min="3596" max="3596" width="14.85546875" style="77" customWidth="1"/>
    <col min="3597" max="3597" width="16.5703125" style="77" customWidth="1"/>
    <col min="3598" max="3598" width="10.5703125" style="77" customWidth="1"/>
    <col min="3599" max="3599" width="9.85546875" style="77" bestFit="1" customWidth="1"/>
    <col min="3600" max="3833" width="9.140625" style="77"/>
    <col min="3834" max="3834" width="10" style="77" customWidth="1"/>
    <col min="3835" max="3835" width="6.85546875" style="77" customWidth="1"/>
    <col min="3836" max="3836" width="9.140625" style="77"/>
    <col min="3837" max="3837" width="24" style="77" customWidth="1"/>
    <col min="3838" max="3838" width="7.85546875" style="77" customWidth="1"/>
    <col min="3839" max="3840" width="13.140625" style="77" customWidth="1"/>
    <col min="3841" max="3841" width="9.140625" style="77"/>
    <col min="3842" max="3842" width="12.85546875" style="77" customWidth="1"/>
    <col min="3843" max="3843" width="9.140625" style="77"/>
    <col min="3844" max="3844" width="7" style="77" customWidth="1"/>
    <col min="3845" max="3846" width="13.140625" style="77" customWidth="1"/>
    <col min="3847" max="3847" width="11.7109375" style="77" customWidth="1"/>
    <col min="3848" max="3848" width="14.85546875" style="77" customWidth="1"/>
    <col min="3849" max="3849" width="9.7109375" style="77" customWidth="1"/>
    <col min="3850" max="3850" width="14.85546875" style="77" customWidth="1"/>
    <col min="3851" max="3851" width="16.140625" style="77" customWidth="1"/>
    <col min="3852" max="3852" width="14.85546875" style="77" customWidth="1"/>
    <col min="3853" max="3853" width="16.5703125" style="77" customWidth="1"/>
    <col min="3854" max="3854" width="10.5703125" style="77" customWidth="1"/>
    <col min="3855" max="3855" width="9.85546875" style="77" bestFit="1" customWidth="1"/>
    <col min="3856" max="4089" width="9.140625" style="77"/>
    <col min="4090" max="4090" width="10" style="77" customWidth="1"/>
    <col min="4091" max="4091" width="6.85546875" style="77" customWidth="1"/>
    <col min="4092" max="4092" width="9.140625" style="77"/>
    <col min="4093" max="4093" width="24" style="77" customWidth="1"/>
    <col min="4094" max="4094" width="7.85546875" style="77" customWidth="1"/>
    <col min="4095" max="4096" width="13.140625" style="77" customWidth="1"/>
    <col min="4097" max="4097" width="9.140625" style="77"/>
    <col min="4098" max="4098" width="12.85546875" style="77" customWidth="1"/>
    <col min="4099" max="4099" width="9.140625" style="77"/>
    <col min="4100" max="4100" width="7" style="77" customWidth="1"/>
    <col min="4101" max="4102" width="13.140625" style="77" customWidth="1"/>
    <col min="4103" max="4103" width="11.7109375" style="77" customWidth="1"/>
    <col min="4104" max="4104" width="14.85546875" style="77" customWidth="1"/>
    <col min="4105" max="4105" width="9.7109375" style="77" customWidth="1"/>
    <col min="4106" max="4106" width="14.85546875" style="77" customWidth="1"/>
    <col min="4107" max="4107" width="16.140625" style="77" customWidth="1"/>
    <col min="4108" max="4108" width="14.85546875" style="77" customWidth="1"/>
    <col min="4109" max="4109" width="16.5703125" style="77" customWidth="1"/>
    <col min="4110" max="4110" width="10.5703125" style="77" customWidth="1"/>
    <col min="4111" max="4111" width="9.85546875" style="77" bestFit="1" customWidth="1"/>
    <col min="4112" max="4345" width="9.140625" style="77"/>
    <col min="4346" max="4346" width="10" style="77" customWidth="1"/>
    <col min="4347" max="4347" width="6.85546875" style="77" customWidth="1"/>
    <col min="4348" max="4348" width="9.140625" style="77"/>
    <col min="4349" max="4349" width="24" style="77" customWidth="1"/>
    <col min="4350" max="4350" width="7.85546875" style="77" customWidth="1"/>
    <col min="4351" max="4352" width="13.140625" style="77" customWidth="1"/>
    <col min="4353" max="4353" width="9.140625" style="77"/>
    <col min="4354" max="4354" width="12.85546875" style="77" customWidth="1"/>
    <col min="4355" max="4355" width="9.140625" style="77"/>
    <col min="4356" max="4356" width="7" style="77" customWidth="1"/>
    <col min="4357" max="4358" width="13.140625" style="77" customWidth="1"/>
    <col min="4359" max="4359" width="11.7109375" style="77" customWidth="1"/>
    <col min="4360" max="4360" width="14.85546875" style="77" customWidth="1"/>
    <col min="4361" max="4361" width="9.7109375" style="77" customWidth="1"/>
    <col min="4362" max="4362" width="14.85546875" style="77" customWidth="1"/>
    <col min="4363" max="4363" width="16.140625" style="77" customWidth="1"/>
    <col min="4364" max="4364" width="14.85546875" style="77" customWidth="1"/>
    <col min="4365" max="4365" width="16.5703125" style="77" customWidth="1"/>
    <col min="4366" max="4366" width="10.5703125" style="77" customWidth="1"/>
    <col min="4367" max="4367" width="9.85546875" style="77" bestFit="1" customWidth="1"/>
    <col min="4368" max="4601" width="9.140625" style="77"/>
    <col min="4602" max="4602" width="10" style="77" customWidth="1"/>
    <col min="4603" max="4603" width="6.85546875" style="77" customWidth="1"/>
    <col min="4604" max="4604" width="9.140625" style="77"/>
    <col min="4605" max="4605" width="24" style="77" customWidth="1"/>
    <col min="4606" max="4606" width="7.85546875" style="77" customWidth="1"/>
    <col min="4607" max="4608" width="13.140625" style="77" customWidth="1"/>
    <col min="4609" max="4609" width="9.140625" style="77"/>
    <col min="4610" max="4610" width="12.85546875" style="77" customWidth="1"/>
    <col min="4611" max="4611" width="9.140625" style="77"/>
    <col min="4612" max="4612" width="7" style="77" customWidth="1"/>
    <col min="4613" max="4614" width="13.140625" style="77" customWidth="1"/>
    <col min="4615" max="4615" width="11.7109375" style="77" customWidth="1"/>
    <col min="4616" max="4616" width="14.85546875" style="77" customWidth="1"/>
    <col min="4617" max="4617" width="9.7109375" style="77" customWidth="1"/>
    <col min="4618" max="4618" width="14.85546875" style="77" customWidth="1"/>
    <col min="4619" max="4619" width="16.140625" style="77" customWidth="1"/>
    <col min="4620" max="4620" width="14.85546875" style="77" customWidth="1"/>
    <col min="4621" max="4621" width="16.5703125" style="77" customWidth="1"/>
    <col min="4622" max="4622" width="10.5703125" style="77" customWidth="1"/>
    <col min="4623" max="4623" width="9.85546875" style="77" bestFit="1" customWidth="1"/>
    <col min="4624" max="4857" width="9.140625" style="77"/>
    <col min="4858" max="4858" width="10" style="77" customWidth="1"/>
    <col min="4859" max="4859" width="6.85546875" style="77" customWidth="1"/>
    <col min="4860" max="4860" width="9.140625" style="77"/>
    <col min="4861" max="4861" width="24" style="77" customWidth="1"/>
    <col min="4862" max="4862" width="7.85546875" style="77" customWidth="1"/>
    <col min="4863" max="4864" width="13.140625" style="77" customWidth="1"/>
    <col min="4865" max="4865" width="9.140625" style="77"/>
    <col min="4866" max="4866" width="12.85546875" style="77" customWidth="1"/>
    <col min="4867" max="4867" width="9.140625" style="77"/>
    <col min="4868" max="4868" width="7" style="77" customWidth="1"/>
    <col min="4869" max="4870" width="13.140625" style="77" customWidth="1"/>
    <col min="4871" max="4871" width="11.7109375" style="77" customWidth="1"/>
    <col min="4872" max="4872" width="14.85546875" style="77" customWidth="1"/>
    <col min="4873" max="4873" width="9.7109375" style="77" customWidth="1"/>
    <col min="4874" max="4874" width="14.85546875" style="77" customWidth="1"/>
    <col min="4875" max="4875" width="16.140625" style="77" customWidth="1"/>
    <col min="4876" max="4876" width="14.85546875" style="77" customWidth="1"/>
    <col min="4877" max="4877" width="16.5703125" style="77" customWidth="1"/>
    <col min="4878" max="4878" width="10.5703125" style="77" customWidth="1"/>
    <col min="4879" max="4879" width="9.85546875" style="77" bestFit="1" customWidth="1"/>
    <col min="4880" max="5113" width="9.140625" style="77"/>
    <col min="5114" max="5114" width="10" style="77" customWidth="1"/>
    <col min="5115" max="5115" width="6.85546875" style="77" customWidth="1"/>
    <col min="5116" max="5116" width="9.140625" style="77"/>
    <col min="5117" max="5117" width="24" style="77" customWidth="1"/>
    <col min="5118" max="5118" width="7.85546875" style="77" customWidth="1"/>
    <col min="5119" max="5120" width="13.140625" style="77" customWidth="1"/>
    <col min="5121" max="5121" width="9.140625" style="77"/>
    <col min="5122" max="5122" width="12.85546875" style="77" customWidth="1"/>
    <col min="5123" max="5123" width="9.140625" style="77"/>
    <col min="5124" max="5124" width="7" style="77" customWidth="1"/>
    <col min="5125" max="5126" width="13.140625" style="77" customWidth="1"/>
    <col min="5127" max="5127" width="11.7109375" style="77" customWidth="1"/>
    <col min="5128" max="5128" width="14.85546875" style="77" customWidth="1"/>
    <col min="5129" max="5129" width="9.7109375" style="77" customWidth="1"/>
    <col min="5130" max="5130" width="14.85546875" style="77" customWidth="1"/>
    <col min="5131" max="5131" width="16.140625" style="77" customWidth="1"/>
    <col min="5132" max="5132" width="14.85546875" style="77" customWidth="1"/>
    <col min="5133" max="5133" width="16.5703125" style="77" customWidth="1"/>
    <col min="5134" max="5134" width="10.5703125" style="77" customWidth="1"/>
    <col min="5135" max="5135" width="9.85546875" style="77" bestFit="1" customWidth="1"/>
    <col min="5136" max="5369" width="9.140625" style="77"/>
    <col min="5370" max="5370" width="10" style="77" customWidth="1"/>
    <col min="5371" max="5371" width="6.85546875" style="77" customWidth="1"/>
    <col min="5372" max="5372" width="9.140625" style="77"/>
    <col min="5373" max="5373" width="24" style="77" customWidth="1"/>
    <col min="5374" max="5374" width="7.85546875" style="77" customWidth="1"/>
    <col min="5375" max="5376" width="13.140625" style="77" customWidth="1"/>
    <col min="5377" max="5377" width="9.140625" style="77"/>
    <col min="5378" max="5378" width="12.85546875" style="77" customWidth="1"/>
    <col min="5379" max="5379" width="9.140625" style="77"/>
    <col min="5380" max="5380" width="7" style="77" customWidth="1"/>
    <col min="5381" max="5382" width="13.140625" style="77" customWidth="1"/>
    <col min="5383" max="5383" width="11.7109375" style="77" customWidth="1"/>
    <col min="5384" max="5384" width="14.85546875" style="77" customWidth="1"/>
    <col min="5385" max="5385" width="9.7109375" style="77" customWidth="1"/>
    <col min="5386" max="5386" width="14.85546875" style="77" customWidth="1"/>
    <col min="5387" max="5387" width="16.140625" style="77" customWidth="1"/>
    <col min="5388" max="5388" width="14.85546875" style="77" customWidth="1"/>
    <col min="5389" max="5389" width="16.5703125" style="77" customWidth="1"/>
    <col min="5390" max="5390" width="10.5703125" style="77" customWidth="1"/>
    <col min="5391" max="5391" width="9.85546875" style="77" bestFit="1" customWidth="1"/>
    <col min="5392" max="5625" width="9.140625" style="77"/>
    <col min="5626" max="5626" width="10" style="77" customWidth="1"/>
    <col min="5627" max="5627" width="6.85546875" style="77" customWidth="1"/>
    <col min="5628" max="5628" width="9.140625" style="77"/>
    <col min="5629" max="5629" width="24" style="77" customWidth="1"/>
    <col min="5630" max="5630" width="7.85546875" style="77" customWidth="1"/>
    <col min="5631" max="5632" width="13.140625" style="77" customWidth="1"/>
    <col min="5633" max="5633" width="9.140625" style="77"/>
    <col min="5634" max="5634" width="12.85546875" style="77" customWidth="1"/>
    <col min="5635" max="5635" width="9.140625" style="77"/>
    <col min="5636" max="5636" width="7" style="77" customWidth="1"/>
    <col min="5637" max="5638" width="13.140625" style="77" customWidth="1"/>
    <col min="5639" max="5639" width="11.7109375" style="77" customWidth="1"/>
    <col min="5640" max="5640" width="14.85546875" style="77" customWidth="1"/>
    <col min="5641" max="5641" width="9.7109375" style="77" customWidth="1"/>
    <col min="5642" max="5642" width="14.85546875" style="77" customWidth="1"/>
    <col min="5643" max="5643" width="16.140625" style="77" customWidth="1"/>
    <col min="5644" max="5644" width="14.85546875" style="77" customWidth="1"/>
    <col min="5645" max="5645" width="16.5703125" style="77" customWidth="1"/>
    <col min="5646" max="5646" width="10.5703125" style="77" customWidth="1"/>
    <col min="5647" max="5647" width="9.85546875" style="77" bestFit="1" customWidth="1"/>
    <col min="5648" max="5881" width="9.140625" style="77"/>
    <col min="5882" max="5882" width="10" style="77" customWidth="1"/>
    <col min="5883" max="5883" width="6.85546875" style="77" customWidth="1"/>
    <col min="5884" max="5884" width="9.140625" style="77"/>
    <col min="5885" max="5885" width="24" style="77" customWidth="1"/>
    <col min="5886" max="5886" width="7.85546875" style="77" customWidth="1"/>
    <col min="5887" max="5888" width="13.140625" style="77" customWidth="1"/>
    <col min="5889" max="5889" width="9.140625" style="77"/>
    <col min="5890" max="5890" width="12.85546875" style="77" customWidth="1"/>
    <col min="5891" max="5891" width="9.140625" style="77"/>
    <col min="5892" max="5892" width="7" style="77" customWidth="1"/>
    <col min="5893" max="5894" width="13.140625" style="77" customWidth="1"/>
    <col min="5895" max="5895" width="11.7109375" style="77" customWidth="1"/>
    <col min="5896" max="5896" width="14.85546875" style="77" customWidth="1"/>
    <col min="5897" max="5897" width="9.7109375" style="77" customWidth="1"/>
    <col min="5898" max="5898" width="14.85546875" style="77" customWidth="1"/>
    <col min="5899" max="5899" width="16.140625" style="77" customWidth="1"/>
    <col min="5900" max="5900" width="14.85546875" style="77" customWidth="1"/>
    <col min="5901" max="5901" width="16.5703125" style="77" customWidth="1"/>
    <col min="5902" max="5902" width="10.5703125" style="77" customWidth="1"/>
    <col min="5903" max="5903" width="9.85546875" style="77" bestFit="1" customWidth="1"/>
    <col min="5904" max="6137" width="9.140625" style="77"/>
    <col min="6138" max="6138" width="10" style="77" customWidth="1"/>
    <col min="6139" max="6139" width="6.85546875" style="77" customWidth="1"/>
    <col min="6140" max="6140" width="9.140625" style="77"/>
    <col min="6141" max="6141" width="24" style="77" customWidth="1"/>
    <col min="6142" max="6142" width="7.85546875" style="77" customWidth="1"/>
    <col min="6143" max="6144" width="13.140625" style="77" customWidth="1"/>
    <col min="6145" max="6145" width="9.140625" style="77"/>
    <col min="6146" max="6146" width="12.85546875" style="77" customWidth="1"/>
    <col min="6147" max="6147" width="9.140625" style="77"/>
    <col min="6148" max="6148" width="7" style="77" customWidth="1"/>
    <col min="6149" max="6150" width="13.140625" style="77" customWidth="1"/>
    <col min="6151" max="6151" width="11.7109375" style="77" customWidth="1"/>
    <col min="6152" max="6152" width="14.85546875" style="77" customWidth="1"/>
    <col min="6153" max="6153" width="9.7109375" style="77" customWidth="1"/>
    <col min="6154" max="6154" width="14.85546875" style="77" customWidth="1"/>
    <col min="6155" max="6155" width="16.140625" style="77" customWidth="1"/>
    <col min="6156" max="6156" width="14.85546875" style="77" customWidth="1"/>
    <col min="6157" max="6157" width="16.5703125" style="77" customWidth="1"/>
    <col min="6158" max="6158" width="10.5703125" style="77" customWidth="1"/>
    <col min="6159" max="6159" width="9.85546875" style="77" bestFit="1" customWidth="1"/>
    <col min="6160" max="6393" width="9.140625" style="77"/>
    <col min="6394" max="6394" width="10" style="77" customWidth="1"/>
    <col min="6395" max="6395" width="6.85546875" style="77" customWidth="1"/>
    <col min="6396" max="6396" width="9.140625" style="77"/>
    <col min="6397" max="6397" width="24" style="77" customWidth="1"/>
    <col min="6398" max="6398" width="7.85546875" style="77" customWidth="1"/>
    <col min="6399" max="6400" width="13.140625" style="77" customWidth="1"/>
    <col min="6401" max="6401" width="9.140625" style="77"/>
    <col min="6402" max="6402" width="12.85546875" style="77" customWidth="1"/>
    <col min="6403" max="6403" width="9.140625" style="77"/>
    <col min="6404" max="6404" width="7" style="77" customWidth="1"/>
    <col min="6405" max="6406" width="13.140625" style="77" customWidth="1"/>
    <col min="6407" max="6407" width="11.7109375" style="77" customWidth="1"/>
    <col min="6408" max="6408" width="14.85546875" style="77" customWidth="1"/>
    <col min="6409" max="6409" width="9.7109375" style="77" customWidth="1"/>
    <col min="6410" max="6410" width="14.85546875" style="77" customWidth="1"/>
    <col min="6411" max="6411" width="16.140625" style="77" customWidth="1"/>
    <col min="6412" max="6412" width="14.85546875" style="77" customWidth="1"/>
    <col min="6413" max="6413" width="16.5703125" style="77" customWidth="1"/>
    <col min="6414" max="6414" width="10.5703125" style="77" customWidth="1"/>
    <col min="6415" max="6415" width="9.85546875" style="77" bestFit="1" customWidth="1"/>
    <col min="6416" max="6649" width="9.140625" style="77"/>
    <col min="6650" max="6650" width="10" style="77" customWidth="1"/>
    <col min="6651" max="6651" width="6.85546875" style="77" customWidth="1"/>
    <col min="6652" max="6652" width="9.140625" style="77"/>
    <col min="6653" max="6653" width="24" style="77" customWidth="1"/>
    <col min="6654" max="6654" width="7.85546875" style="77" customWidth="1"/>
    <col min="6655" max="6656" width="13.140625" style="77" customWidth="1"/>
    <col min="6657" max="6657" width="9.140625" style="77"/>
    <col min="6658" max="6658" width="12.85546875" style="77" customWidth="1"/>
    <col min="6659" max="6659" width="9.140625" style="77"/>
    <col min="6660" max="6660" width="7" style="77" customWidth="1"/>
    <col min="6661" max="6662" width="13.140625" style="77" customWidth="1"/>
    <col min="6663" max="6663" width="11.7109375" style="77" customWidth="1"/>
    <col min="6664" max="6664" width="14.85546875" style="77" customWidth="1"/>
    <col min="6665" max="6665" width="9.7109375" style="77" customWidth="1"/>
    <col min="6666" max="6666" width="14.85546875" style="77" customWidth="1"/>
    <col min="6667" max="6667" width="16.140625" style="77" customWidth="1"/>
    <col min="6668" max="6668" width="14.85546875" style="77" customWidth="1"/>
    <col min="6669" max="6669" width="16.5703125" style="77" customWidth="1"/>
    <col min="6670" max="6670" width="10.5703125" style="77" customWidth="1"/>
    <col min="6671" max="6671" width="9.85546875" style="77" bestFit="1" customWidth="1"/>
    <col min="6672" max="6905" width="9.140625" style="77"/>
    <col min="6906" max="6906" width="10" style="77" customWidth="1"/>
    <col min="6907" max="6907" width="6.85546875" style="77" customWidth="1"/>
    <col min="6908" max="6908" width="9.140625" style="77"/>
    <col min="6909" max="6909" width="24" style="77" customWidth="1"/>
    <col min="6910" max="6910" width="7.85546875" style="77" customWidth="1"/>
    <col min="6911" max="6912" width="13.140625" style="77" customWidth="1"/>
    <col min="6913" max="6913" width="9.140625" style="77"/>
    <col min="6914" max="6914" width="12.85546875" style="77" customWidth="1"/>
    <col min="6915" max="6915" width="9.140625" style="77"/>
    <col min="6916" max="6916" width="7" style="77" customWidth="1"/>
    <col min="6917" max="6918" width="13.140625" style="77" customWidth="1"/>
    <col min="6919" max="6919" width="11.7109375" style="77" customWidth="1"/>
    <col min="6920" max="6920" width="14.85546875" style="77" customWidth="1"/>
    <col min="6921" max="6921" width="9.7109375" style="77" customWidth="1"/>
    <col min="6922" max="6922" width="14.85546875" style="77" customWidth="1"/>
    <col min="6923" max="6923" width="16.140625" style="77" customWidth="1"/>
    <col min="6924" max="6924" width="14.85546875" style="77" customWidth="1"/>
    <col min="6925" max="6925" width="16.5703125" style="77" customWidth="1"/>
    <col min="6926" max="6926" width="10.5703125" style="77" customWidth="1"/>
    <col min="6927" max="6927" width="9.85546875" style="77" bestFit="1" customWidth="1"/>
    <col min="6928" max="7161" width="9.140625" style="77"/>
    <col min="7162" max="7162" width="10" style="77" customWidth="1"/>
    <col min="7163" max="7163" width="6.85546875" style="77" customWidth="1"/>
    <col min="7164" max="7164" width="9.140625" style="77"/>
    <col min="7165" max="7165" width="24" style="77" customWidth="1"/>
    <col min="7166" max="7166" width="7.85546875" style="77" customWidth="1"/>
    <col min="7167" max="7168" width="13.140625" style="77" customWidth="1"/>
    <col min="7169" max="7169" width="9.140625" style="77"/>
    <col min="7170" max="7170" width="12.85546875" style="77" customWidth="1"/>
    <col min="7171" max="7171" width="9.140625" style="77"/>
    <col min="7172" max="7172" width="7" style="77" customWidth="1"/>
    <col min="7173" max="7174" width="13.140625" style="77" customWidth="1"/>
    <col min="7175" max="7175" width="11.7109375" style="77" customWidth="1"/>
    <col min="7176" max="7176" width="14.85546875" style="77" customWidth="1"/>
    <col min="7177" max="7177" width="9.7109375" style="77" customWidth="1"/>
    <col min="7178" max="7178" width="14.85546875" style="77" customWidth="1"/>
    <col min="7179" max="7179" width="16.140625" style="77" customWidth="1"/>
    <col min="7180" max="7180" width="14.85546875" style="77" customWidth="1"/>
    <col min="7181" max="7181" width="16.5703125" style="77" customWidth="1"/>
    <col min="7182" max="7182" width="10.5703125" style="77" customWidth="1"/>
    <col min="7183" max="7183" width="9.85546875" style="77" bestFit="1" customWidth="1"/>
    <col min="7184" max="7417" width="9.140625" style="77"/>
    <col min="7418" max="7418" width="10" style="77" customWidth="1"/>
    <col min="7419" max="7419" width="6.85546875" style="77" customWidth="1"/>
    <col min="7420" max="7420" width="9.140625" style="77"/>
    <col min="7421" max="7421" width="24" style="77" customWidth="1"/>
    <col min="7422" max="7422" width="7.85546875" style="77" customWidth="1"/>
    <col min="7423" max="7424" width="13.140625" style="77" customWidth="1"/>
    <col min="7425" max="7425" width="9.140625" style="77"/>
    <col min="7426" max="7426" width="12.85546875" style="77" customWidth="1"/>
    <col min="7427" max="7427" width="9.140625" style="77"/>
    <col min="7428" max="7428" width="7" style="77" customWidth="1"/>
    <col min="7429" max="7430" width="13.140625" style="77" customWidth="1"/>
    <col min="7431" max="7431" width="11.7109375" style="77" customWidth="1"/>
    <col min="7432" max="7432" width="14.85546875" style="77" customWidth="1"/>
    <col min="7433" max="7433" width="9.7109375" style="77" customWidth="1"/>
    <col min="7434" max="7434" width="14.85546875" style="77" customWidth="1"/>
    <col min="7435" max="7435" width="16.140625" style="77" customWidth="1"/>
    <col min="7436" max="7436" width="14.85546875" style="77" customWidth="1"/>
    <col min="7437" max="7437" width="16.5703125" style="77" customWidth="1"/>
    <col min="7438" max="7438" width="10.5703125" style="77" customWidth="1"/>
    <col min="7439" max="7439" width="9.85546875" style="77" bestFit="1" customWidth="1"/>
    <col min="7440" max="7673" width="9.140625" style="77"/>
    <col min="7674" max="7674" width="10" style="77" customWidth="1"/>
    <col min="7675" max="7675" width="6.85546875" style="77" customWidth="1"/>
    <col min="7676" max="7676" width="9.140625" style="77"/>
    <col min="7677" max="7677" width="24" style="77" customWidth="1"/>
    <col min="7678" max="7678" width="7.85546875" style="77" customWidth="1"/>
    <col min="7679" max="7680" width="13.140625" style="77" customWidth="1"/>
    <col min="7681" max="7681" width="9.140625" style="77"/>
    <col min="7682" max="7682" width="12.85546875" style="77" customWidth="1"/>
    <col min="7683" max="7683" width="9.140625" style="77"/>
    <col min="7684" max="7684" width="7" style="77" customWidth="1"/>
    <col min="7685" max="7686" width="13.140625" style="77" customWidth="1"/>
    <col min="7687" max="7687" width="11.7109375" style="77" customWidth="1"/>
    <col min="7688" max="7688" width="14.85546875" style="77" customWidth="1"/>
    <col min="7689" max="7689" width="9.7109375" style="77" customWidth="1"/>
    <col min="7690" max="7690" width="14.85546875" style="77" customWidth="1"/>
    <col min="7691" max="7691" width="16.140625" style="77" customWidth="1"/>
    <col min="7692" max="7692" width="14.85546875" style="77" customWidth="1"/>
    <col min="7693" max="7693" width="16.5703125" style="77" customWidth="1"/>
    <col min="7694" max="7694" width="10.5703125" style="77" customWidth="1"/>
    <col min="7695" max="7695" width="9.85546875" style="77" bestFit="1" customWidth="1"/>
    <col min="7696" max="7929" width="9.140625" style="77"/>
    <col min="7930" max="7930" width="10" style="77" customWidth="1"/>
    <col min="7931" max="7931" width="6.85546875" style="77" customWidth="1"/>
    <col min="7932" max="7932" width="9.140625" style="77"/>
    <col min="7933" max="7933" width="24" style="77" customWidth="1"/>
    <col min="7934" max="7934" width="7.85546875" style="77" customWidth="1"/>
    <col min="7935" max="7936" width="13.140625" style="77" customWidth="1"/>
    <col min="7937" max="7937" width="9.140625" style="77"/>
    <col min="7938" max="7938" width="12.85546875" style="77" customWidth="1"/>
    <col min="7939" max="7939" width="9.140625" style="77"/>
    <col min="7940" max="7940" width="7" style="77" customWidth="1"/>
    <col min="7941" max="7942" width="13.140625" style="77" customWidth="1"/>
    <col min="7943" max="7943" width="11.7109375" style="77" customWidth="1"/>
    <col min="7944" max="7944" width="14.85546875" style="77" customWidth="1"/>
    <col min="7945" max="7945" width="9.7109375" style="77" customWidth="1"/>
    <col min="7946" max="7946" width="14.85546875" style="77" customWidth="1"/>
    <col min="7947" max="7947" width="16.140625" style="77" customWidth="1"/>
    <col min="7948" max="7948" width="14.85546875" style="77" customWidth="1"/>
    <col min="7949" max="7949" width="16.5703125" style="77" customWidth="1"/>
    <col min="7950" max="7950" width="10.5703125" style="77" customWidth="1"/>
    <col min="7951" max="7951" width="9.85546875" style="77" bestFit="1" customWidth="1"/>
    <col min="7952" max="8185" width="9.140625" style="77"/>
    <col min="8186" max="8186" width="10" style="77" customWidth="1"/>
    <col min="8187" max="8187" width="6.85546875" style="77" customWidth="1"/>
    <col min="8188" max="8188" width="9.140625" style="77"/>
    <col min="8189" max="8189" width="24" style="77" customWidth="1"/>
    <col min="8190" max="8190" width="7.85546875" style="77" customWidth="1"/>
    <col min="8191" max="8192" width="13.140625" style="77" customWidth="1"/>
    <col min="8193" max="8193" width="9.140625" style="77"/>
    <col min="8194" max="8194" width="12.85546875" style="77" customWidth="1"/>
    <col min="8195" max="8195" width="9.140625" style="77"/>
    <col min="8196" max="8196" width="7" style="77" customWidth="1"/>
    <col min="8197" max="8198" width="13.140625" style="77" customWidth="1"/>
    <col min="8199" max="8199" width="11.7109375" style="77" customWidth="1"/>
    <col min="8200" max="8200" width="14.85546875" style="77" customWidth="1"/>
    <col min="8201" max="8201" width="9.7109375" style="77" customWidth="1"/>
    <col min="8202" max="8202" width="14.85546875" style="77" customWidth="1"/>
    <col min="8203" max="8203" width="16.140625" style="77" customWidth="1"/>
    <col min="8204" max="8204" width="14.85546875" style="77" customWidth="1"/>
    <col min="8205" max="8205" width="16.5703125" style="77" customWidth="1"/>
    <col min="8206" max="8206" width="10.5703125" style="77" customWidth="1"/>
    <col min="8207" max="8207" width="9.85546875" style="77" bestFit="1" customWidth="1"/>
    <col min="8208" max="8441" width="9.140625" style="77"/>
    <col min="8442" max="8442" width="10" style="77" customWidth="1"/>
    <col min="8443" max="8443" width="6.85546875" style="77" customWidth="1"/>
    <col min="8444" max="8444" width="9.140625" style="77"/>
    <col min="8445" max="8445" width="24" style="77" customWidth="1"/>
    <col min="8446" max="8446" width="7.85546875" style="77" customWidth="1"/>
    <col min="8447" max="8448" width="13.140625" style="77" customWidth="1"/>
    <col min="8449" max="8449" width="9.140625" style="77"/>
    <col min="8450" max="8450" width="12.85546875" style="77" customWidth="1"/>
    <col min="8451" max="8451" width="9.140625" style="77"/>
    <col min="8452" max="8452" width="7" style="77" customWidth="1"/>
    <col min="8453" max="8454" width="13.140625" style="77" customWidth="1"/>
    <col min="8455" max="8455" width="11.7109375" style="77" customWidth="1"/>
    <col min="8456" max="8456" width="14.85546875" style="77" customWidth="1"/>
    <col min="8457" max="8457" width="9.7109375" style="77" customWidth="1"/>
    <col min="8458" max="8458" width="14.85546875" style="77" customWidth="1"/>
    <col min="8459" max="8459" width="16.140625" style="77" customWidth="1"/>
    <col min="8460" max="8460" width="14.85546875" style="77" customWidth="1"/>
    <col min="8461" max="8461" width="16.5703125" style="77" customWidth="1"/>
    <col min="8462" max="8462" width="10.5703125" style="77" customWidth="1"/>
    <col min="8463" max="8463" width="9.85546875" style="77" bestFit="1" customWidth="1"/>
    <col min="8464" max="8697" width="9.140625" style="77"/>
    <col min="8698" max="8698" width="10" style="77" customWidth="1"/>
    <col min="8699" max="8699" width="6.85546875" style="77" customWidth="1"/>
    <col min="8700" max="8700" width="9.140625" style="77"/>
    <col min="8701" max="8701" width="24" style="77" customWidth="1"/>
    <col min="8702" max="8702" width="7.85546875" style="77" customWidth="1"/>
    <col min="8703" max="8704" width="13.140625" style="77" customWidth="1"/>
    <col min="8705" max="8705" width="9.140625" style="77"/>
    <col min="8706" max="8706" width="12.85546875" style="77" customWidth="1"/>
    <col min="8707" max="8707" width="9.140625" style="77"/>
    <col min="8708" max="8708" width="7" style="77" customWidth="1"/>
    <col min="8709" max="8710" width="13.140625" style="77" customWidth="1"/>
    <col min="8711" max="8711" width="11.7109375" style="77" customWidth="1"/>
    <col min="8712" max="8712" width="14.85546875" style="77" customWidth="1"/>
    <col min="8713" max="8713" width="9.7109375" style="77" customWidth="1"/>
    <col min="8714" max="8714" width="14.85546875" style="77" customWidth="1"/>
    <col min="8715" max="8715" width="16.140625" style="77" customWidth="1"/>
    <col min="8716" max="8716" width="14.85546875" style="77" customWidth="1"/>
    <col min="8717" max="8717" width="16.5703125" style="77" customWidth="1"/>
    <col min="8718" max="8718" width="10.5703125" style="77" customWidth="1"/>
    <col min="8719" max="8719" width="9.85546875" style="77" bestFit="1" customWidth="1"/>
    <col min="8720" max="8953" width="9.140625" style="77"/>
    <col min="8954" max="8954" width="10" style="77" customWidth="1"/>
    <col min="8955" max="8955" width="6.85546875" style="77" customWidth="1"/>
    <col min="8956" max="8956" width="9.140625" style="77"/>
    <col min="8957" max="8957" width="24" style="77" customWidth="1"/>
    <col min="8958" max="8958" width="7.85546875" style="77" customWidth="1"/>
    <col min="8959" max="8960" width="13.140625" style="77" customWidth="1"/>
    <col min="8961" max="8961" width="9.140625" style="77"/>
    <col min="8962" max="8962" width="12.85546875" style="77" customWidth="1"/>
    <col min="8963" max="8963" width="9.140625" style="77"/>
    <col min="8964" max="8964" width="7" style="77" customWidth="1"/>
    <col min="8965" max="8966" width="13.140625" style="77" customWidth="1"/>
    <col min="8967" max="8967" width="11.7109375" style="77" customWidth="1"/>
    <col min="8968" max="8968" width="14.85546875" style="77" customWidth="1"/>
    <col min="8969" max="8969" width="9.7109375" style="77" customWidth="1"/>
    <col min="8970" max="8970" width="14.85546875" style="77" customWidth="1"/>
    <col min="8971" max="8971" width="16.140625" style="77" customWidth="1"/>
    <col min="8972" max="8972" width="14.85546875" style="77" customWidth="1"/>
    <col min="8973" max="8973" width="16.5703125" style="77" customWidth="1"/>
    <col min="8974" max="8974" width="10.5703125" style="77" customWidth="1"/>
    <col min="8975" max="8975" width="9.85546875" style="77" bestFit="1" customWidth="1"/>
    <col min="8976" max="9209" width="9.140625" style="77"/>
    <col min="9210" max="9210" width="10" style="77" customWidth="1"/>
    <col min="9211" max="9211" width="6.85546875" style="77" customWidth="1"/>
    <col min="9212" max="9212" width="9.140625" style="77"/>
    <col min="9213" max="9213" width="24" style="77" customWidth="1"/>
    <col min="9214" max="9214" width="7.85546875" style="77" customWidth="1"/>
    <col min="9215" max="9216" width="13.140625" style="77" customWidth="1"/>
    <col min="9217" max="9217" width="9.140625" style="77"/>
    <col min="9218" max="9218" width="12.85546875" style="77" customWidth="1"/>
    <col min="9219" max="9219" width="9.140625" style="77"/>
    <col min="9220" max="9220" width="7" style="77" customWidth="1"/>
    <col min="9221" max="9222" width="13.140625" style="77" customWidth="1"/>
    <col min="9223" max="9223" width="11.7109375" style="77" customWidth="1"/>
    <col min="9224" max="9224" width="14.85546875" style="77" customWidth="1"/>
    <col min="9225" max="9225" width="9.7109375" style="77" customWidth="1"/>
    <col min="9226" max="9226" width="14.85546875" style="77" customWidth="1"/>
    <col min="9227" max="9227" width="16.140625" style="77" customWidth="1"/>
    <col min="9228" max="9228" width="14.85546875" style="77" customWidth="1"/>
    <col min="9229" max="9229" width="16.5703125" style="77" customWidth="1"/>
    <col min="9230" max="9230" width="10.5703125" style="77" customWidth="1"/>
    <col min="9231" max="9231" width="9.85546875" style="77" bestFit="1" customWidth="1"/>
    <col min="9232" max="9465" width="9.140625" style="77"/>
    <col min="9466" max="9466" width="10" style="77" customWidth="1"/>
    <col min="9467" max="9467" width="6.85546875" style="77" customWidth="1"/>
    <col min="9468" max="9468" width="9.140625" style="77"/>
    <col min="9469" max="9469" width="24" style="77" customWidth="1"/>
    <col min="9470" max="9470" width="7.85546875" style="77" customWidth="1"/>
    <col min="9471" max="9472" width="13.140625" style="77" customWidth="1"/>
    <col min="9473" max="9473" width="9.140625" style="77"/>
    <col min="9474" max="9474" width="12.85546875" style="77" customWidth="1"/>
    <col min="9475" max="9475" width="9.140625" style="77"/>
    <col min="9476" max="9476" width="7" style="77" customWidth="1"/>
    <col min="9477" max="9478" width="13.140625" style="77" customWidth="1"/>
    <col min="9479" max="9479" width="11.7109375" style="77" customWidth="1"/>
    <col min="9480" max="9480" width="14.85546875" style="77" customWidth="1"/>
    <col min="9481" max="9481" width="9.7109375" style="77" customWidth="1"/>
    <col min="9482" max="9482" width="14.85546875" style="77" customWidth="1"/>
    <col min="9483" max="9483" width="16.140625" style="77" customWidth="1"/>
    <col min="9484" max="9484" width="14.85546875" style="77" customWidth="1"/>
    <col min="9485" max="9485" width="16.5703125" style="77" customWidth="1"/>
    <col min="9486" max="9486" width="10.5703125" style="77" customWidth="1"/>
    <col min="9487" max="9487" width="9.85546875" style="77" bestFit="1" customWidth="1"/>
    <col min="9488" max="9721" width="9.140625" style="77"/>
    <col min="9722" max="9722" width="10" style="77" customWidth="1"/>
    <col min="9723" max="9723" width="6.85546875" style="77" customWidth="1"/>
    <col min="9724" max="9724" width="9.140625" style="77"/>
    <col min="9725" max="9725" width="24" style="77" customWidth="1"/>
    <col min="9726" max="9726" width="7.85546875" style="77" customWidth="1"/>
    <col min="9727" max="9728" width="13.140625" style="77" customWidth="1"/>
    <col min="9729" max="9729" width="9.140625" style="77"/>
    <col min="9730" max="9730" width="12.85546875" style="77" customWidth="1"/>
    <col min="9731" max="9731" width="9.140625" style="77"/>
    <col min="9732" max="9732" width="7" style="77" customWidth="1"/>
    <col min="9733" max="9734" width="13.140625" style="77" customWidth="1"/>
    <col min="9735" max="9735" width="11.7109375" style="77" customWidth="1"/>
    <col min="9736" max="9736" width="14.85546875" style="77" customWidth="1"/>
    <col min="9737" max="9737" width="9.7109375" style="77" customWidth="1"/>
    <col min="9738" max="9738" width="14.85546875" style="77" customWidth="1"/>
    <col min="9739" max="9739" width="16.140625" style="77" customWidth="1"/>
    <col min="9740" max="9740" width="14.85546875" style="77" customWidth="1"/>
    <col min="9741" max="9741" width="16.5703125" style="77" customWidth="1"/>
    <col min="9742" max="9742" width="10.5703125" style="77" customWidth="1"/>
    <col min="9743" max="9743" width="9.85546875" style="77" bestFit="1" customWidth="1"/>
    <col min="9744" max="9977" width="9.140625" style="77"/>
    <col min="9978" max="9978" width="10" style="77" customWidth="1"/>
    <col min="9979" max="9979" width="6.85546875" style="77" customWidth="1"/>
    <col min="9980" max="9980" width="9.140625" style="77"/>
    <col min="9981" max="9981" width="24" style="77" customWidth="1"/>
    <col min="9982" max="9982" width="7.85546875" style="77" customWidth="1"/>
    <col min="9983" max="9984" width="13.140625" style="77" customWidth="1"/>
    <col min="9985" max="9985" width="9.140625" style="77"/>
    <col min="9986" max="9986" width="12.85546875" style="77" customWidth="1"/>
    <col min="9987" max="9987" width="9.140625" style="77"/>
    <col min="9988" max="9988" width="7" style="77" customWidth="1"/>
    <col min="9989" max="9990" width="13.140625" style="77" customWidth="1"/>
    <col min="9991" max="9991" width="11.7109375" style="77" customWidth="1"/>
    <col min="9992" max="9992" width="14.85546875" style="77" customWidth="1"/>
    <col min="9993" max="9993" width="9.7109375" style="77" customWidth="1"/>
    <col min="9994" max="9994" width="14.85546875" style="77" customWidth="1"/>
    <col min="9995" max="9995" width="16.140625" style="77" customWidth="1"/>
    <col min="9996" max="9996" width="14.85546875" style="77" customWidth="1"/>
    <col min="9997" max="9997" width="16.5703125" style="77" customWidth="1"/>
    <col min="9998" max="9998" width="10.5703125" style="77" customWidth="1"/>
    <col min="9999" max="9999" width="9.85546875" style="77" bestFit="1" customWidth="1"/>
    <col min="10000" max="10233" width="9.140625" style="77"/>
    <col min="10234" max="10234" width="10" style="77" customWidth="1"/>
    <col min="10235" max="10235" width="6.85546875" style="77" customWidth="1"/>
    <col min="10236" max="10236" width="9.140625" style="77"/>
    <col min="10237" max="10237" width="24" style="77" customWidth="1"/>
    <col min="10238" max="10238" width="7.85546875" style="77" customWidth="1"/>
    <col min="10239" max="10240" width="13.140625" style="77" customWidth="1"/>
    <col min="10241" max="10241" width="9.140625" style="77"/>
    <col min="10242" max="10242" width="12.85546875" style="77" customWidth="1"/>
    <col min="10243" max="10243" width="9.140625" style="77"/>
    <col min="10244" max="10244" width="7" style="77" customWidth="1"/>
    <col min="10245" max="10246" width="13.140625" style="77" customWidth="1"/>
    <col min="10247" max="10247" width="11.7109375" style="77" customWidth="1"/>
    <col min="10248" max="10248" width="14.85546875" style="77" customWidth="1"/>
    <col min="10249" max="10249" width="9.7109375" style="77" customWidth="1"/>
    <col min="10250" max="10250" width="14.85546875" style="77" customWidth="1"/>
    <col min="10251" max="10251" width="16.140625" style="77" customWidth="1"/>
    <col min="10252" max="10252" width="14.85546875" style="77" customWidth="1"/>
    <col min="10253" max="10253" width="16.5703125" style="77" customWidth="1"/>
    <col min="10254" max="10254" width="10.5703125" style="77" customWidth="1"/>
    <col min="10255" max="10255" width="9.85546875" style="77" bestFit="1" customWidth="1"/>
    <col min="10256" max="10489" width="9.140625" style="77"/>
    <col min="10490" max="10490" width="10" style="77" customWidth="1"/>
    <col min="10491" max="10491" width="6.85546875" style="77" customWidth="1"/>
    <col min="10492" max="10492" width="9.140625" style="77"/>
    <col min="10493" max="10493" width="24" style="77" customWidth="1"/>
    <col min="10494" max="10494" width="7.85546875" style="77" customWidth="1"/>
    <col min="10495" max="10496" width="13.140625" style="77" customWidth="1"/>
    <col min="10497" max="10497" width="9.140625" style="77"/>
    <col min="10498" max="10498" width="12.85546875" style="77" customWidth="1"/>
    <col min="10499" max="10499" width="9.140625" style="77"/>
    <col min="10500" max="10500" width="7" style="77" customWidth="1"/>
    <col min="10501" max="10502" width="13.140625" style="77" customWidth="1"/>
    <col min="10503" max="10503" width="11.7109375" style="77" customWidth="1"/>
    <col min="10504" max="10504" width="14.85546875" style="77" customWidth="1"/>
    <col min="10505" max="10505" width="9.7109375" style="77" customWidth="1"/>
    <col min="10506" max="10506" width="14.85546875" style="77" customWidth="1"/>
    <col min="10507" max="10507" width="16.140625" style="77" customWidth="1"/>
    <col min="10508" max="10508" width="14.85546875" style="77" customWidth="1"/>
    <col min="10509" max="10509" width="16.5703125" style="77" customWidth="1"/>
    <col min="10510" max="10510" width="10.5703125" style="77" customWidth="1"/>
    <col min="10511" max="10511" width="9.85546875" style="77" bestFit="1" customWidth="1"/>
    <col min="10512" max="10745" width="9.140625" style="77"/>
    <col min="10746" max="10746" width="10" style="77" customWidth="1"/>
    <col min="10747" max="10747" width="6.85546875" style="77" customWidth="1"/>
    <col min="10748" max="10748" width="9.140625" style="77"/>
    <col min="10749" max="10749" width="24" style="77" customWidth="1"/>
    <col min="10750" max="10750" width="7.85546875" style="77" customWidth="1"/>
    <col min="10751" max="10752" width="13.140625" style="77" customWidth="1"/>
    <col min="10753" max="10753" width="9.140625" style="77"/>
    <col min="10754" max="10754" width="12.85546875" style="77" customWidth="1"/>
    <col min="10755" max="10755" width="9.140625" style="77"/>
    <col min="10756" max="10756" width="7" style="77" customWidth="1"/>
    <col min="10757" max="10758" width="13.140625" style="77" customWidth="1"/>
    <col min="10759" max="10759" width="11.7109375" style="77" customWidth="1"/>
    <col min="10760" max="10760" width="14.85546875" style="77" customWidth="1"/>
    <col min="10761" max="10761" width="9.7109375" style="77" customWidth="1"/>
    <col min="10762" max="10762" width="14.85546875" style="77" customWidth="1"/>
    <col min="10763" max="10763" width="16.140625" style="77" customWidth="1"/>
    <col min="10764" max="10764" width="14.85546875" style="77" customWidth="1"/>
    <col min="10765" max="10765" width="16.5703125" style="77" customWidth="1"/>
    <col min="10766" max="10766" width="10.5703125" style="77" customWidth="1"/>
    <col min="10767" max="10767" width="9.85546875" style="77" bestFit="1" customWidth="1"/>
    <col min="10768" max="11001" width="9.140625" style="77"/>
    <col min="11002" max="11002" width="10" style="77" customWidth="1"/>
    <col min="11003" max="11003" width="6.85546875" style="77" customWidth="1"/>
    <col min="11004" max="11004" width="9.140625" style="77"/>
    <col min="11005" max="11005" width="24" style="77" customWidth="1"/>
    <col min="11006" max="11006" width="7.85546875" style="77" customWidth="1"/>
    <col min="11007" max="11008" width="13.140625" style="77" customWidth="1"/>
    <col min="11009" max="11009" width="9.140625" style="77"/>
    <col min="11010" max="11010" width="12.85546875" style="77" customWidth="1"/>
    <col min="11011" max="11011" width="9.140625" style="77"/>
    <col min="11012" max="11012" width="7" style="77" customWidth="1"/>
    <col min="11013" max="11014" width="13.140625" style="77" customWidth="1"/>
    <col min="11015" max="11015" width="11.7109375" style="77" customWidth="1"/>
    <col min="11016" max="11016" width="14.85546875" style="77" customWidth="1"/>
    <col min="11017" max="11017" width="9.7109375" style="77" customWidth="1"/>
    <col min="11018" max="11018" width="14.85546875" style="77" customWidth="1"/>
    <col min="11019" max="11019" width="16.140625" style="77" customWidth="1"/>
    <col min="11020" max="11020" width="14.85546875" style="77" customWidth="1"/>
    <col min="11021" max="11021" width="16.5703125" style="77" customWidth="1"/>
    <col min="11022" max="11022" width="10.5703125" style="77" customWidth="1"/>
    <col min="11023" max="11023" width="9.85546875" style="77" bestFit="1" customWidth="1"/>
    <col min="11024" max="11257" width="9.140625" style="77"/>
    <col min="11258" max="11258" width="10" style="77" customWidth="1"/>
    <col min="11259" max="11259" width="6.85546875" style="77" customWidth="1"/>
    <col min="11260" max="11260" width="9.140625" style="77"/>
    <col min="11261" max="11261" width="24" style="77" customWidth="1"/>
    <col min="11262" max="11262" width="7.85546875" style="77" customWidth="1"/>
    <col min="11263" max="11264" width="13.140625" style="77" customWidth="1"/>
    <col min="11265" max="11265" width="9.140625" style="77"/>
    <col min="11266" max="11266" width="12.85546875" style="77" customWidth="1"/>
    <col min="11267" max="11267" width="9.140625" style="77"/>
    <col min="11268" max="11268" width="7" style="77" customWidth="1"/>
    <col min="11269" max="11270" width="13.140625" style="77" customWidth="1"/>
    <col min="11271" max="11271" width="11.7109375" style="77" customWidth="1"/>
    <col min="11272" max="11272" width="14.85546875" style="77" customWidth="1"/>
    <col min="11273" max="11273" width="9.7109375" style="77" customWidth="1"/>
    <col min="11274" max="11274" width="14.85546875" style="77" customWidth="1"/>
    <col min="11275" max="11275" width="16.140625" style="77" customWidth="1"/>
    <col min="11276" max="11276" width="14.85546875" style="77" customWidth="1"/>
    <col min="11277" max="11277" width="16.5703125" style="77" customWidth="1"/>
    <col min="11278" max="11278" width="10.5703125" style="77" customWidth="1"/>
    <col min="11279" max="11279" width="9.85546875" style="77" bestFit="1" customWidth="1"/>
    <col min="11280" max="11513" width="9.140625" style="77"/>
    <col min="11514" max="11514" width="10" style="77" customWidth="1"/>
    <col min="11515" max="11515" width="6.85546875" style="77" customWidth="1"/>
    <col min="11516" max="11516" width="9.140625" style="77"/>
    <col min="11517" max="11517" width="24" style="77" customWidth="1"/>
    <col min="11518" max="11518" width="7.85546875" style="77" customWidth="1"/>
    <col min="11519" max="11520" width="13.140625" style="77" customWidth="1"/>
    <col min="11521" max="11521" width="9.140625" style="77"/>
    <col min="11522" max="11522" width="12.85546875" style="77" customWidth="1"/>
    <col min="11523" max="11523" width="9.140625" style="77"/>
    <col min="11524" max="11524" width="7" style="77" customWidth="1"/>
    <col min="11525" max="11526" width="13.140625" style="77" customWidth="1"/>
    <col min="11527" max="11527" width="11.7109375" style="77" customWidth="1"/>
    <col min="11528" max="11528" width="14.85546875" style="77" customWidth="1"/>
    <col min="11529" max="11529" width="9.7109375" style="77" customWidth="1"/>
    <col min="11530" max="11530" width="14.85546875" style="77" customWidth="1"/>
    <col min="11531" max="11531" width="16.140625" style="77" customWidth="1"/>
    <col min="11532" max="11532" width="14.85546875" style="77" customWidth="1"/>
    <col min="11533" max="11533" width="16.5703125" style="77" customWidth="1"/>
    <col min="11534" max="11534" width="10.5703125" style="77" customWidth="1"/>
    <col min="11535" max="11535" width="9.85546875" style="77" bestFit="1" customWidth="1"/>
    <col min="11536" max="11769" width="9.140625" style="77"/>
    <col min="11770" max="11770" width="10" style="77" customWidth="1"/>
    <col min="11771" max="11771" width="6.85546875" style="77" customWidth="1"/>
    <col min="11772" max="11772" width="9.140625" style="77"/>
    <col min="11773" max="11773" width="24" style="77" customWidth="1"/>
    <col min="11774" max="11774" width="7.85546875" style="77" customWidth="1"/>
    <col min="11775" max="11776" width="13.140625" style="77" customWidth="1"/>
    <col min="11777" max="11777" width="9.140625" style="77"/>
    <col min="11778" max="11778" width="12.85546875" style="77" customWidth="1"/>
    <col min="11779" max="11779" width="9.140625" style="77"/>
    <col min="11780" max="11780" width="7" style="77" customWidth="1"/>
    <col min="11781" max="11782" width="13.140625" style="77" customWidth="1"/>
    <col min="11783" max="11783" width="11.7109375" style="77" customWidth="1"/>
    <col min="11784" max="11784" width="14.85546875" style="77" customWidth="1"/>
    <col min="11785" max="11785" width="9.7109375" style="77" customWidth="1"/>
    <col min="11786" max="11786" width="14.85546875" style="77" customWidth="1"/>
    <col min="11787" max="11787" width="16.140625" style="77" customWidth="1"/>
    <col min="11788" max="11788" width="14.85546875" style="77" customWidth="1"/>
    <col min="11789" max="11789" width="16.5703125" style="77" customWidth="1"/>
    <col min="11790" max="11790" width="10.5703125" style="77" customWidth="1"/>
    <col min="11791" max="11791" width="9.85546875" style="77" bestFit="1" customWidth="1"/>
    <col min="11792" max="12025" width="9.140625" style="77"/>
    <col min="12026" max="12026" width="10" style="77" customWidth="1"/>
    <col min="12027" max="12027" width="6.85546875" style="77" customWidth="1"/>
    <col min="12028" max="12028" width="9.140625" style="77"/>
    <col min="12029" max="12029" width="24" style="77" customWidth="1"/>
    <col min="12030" max="12030" width="7.85546875" style="77" customWidth="1"/>
    <col min="12031" max="12032" width="13.140625" style="77" customWidth="1"/>
    <col min="12033" max="12033" width="9.140625" style="77"/>
    <col min="12034" max="12034" width="12.85546875" style="77" customWidth="1"/>
    <col min="12035" max="12035" width="9.140625" style="77"/>
    <col min="12036" max="12036" width="7" style="77" customWidth="1"/>
    <col min="12037" max="12038" width="13.140625" style="77" customWidth="1"/>
    <col min="12039" max="12039" width="11.7109375" style="77" customWidth="1"/>
    <col min="12040" max="12040" width="14.85546875" style="77" customWidth="1"/>
    <col min="12041" max="12041" width="9.7109375" style="77" customWidth="1"/>
    <col min="12042" max="12042" width="14.85546875" style="77" customWidth="1"/>
    <col min="12043" max="12043" width="16.140625" style="77" customWidth="1"/>
    <col min="12044" max="12044" width="14.85546875" style="77" customWidth="1"/>
    <col min="12045" max="12045" width="16.5703125" style="77" customWidth="1"/>
    <col min="12046" max="12046" width="10.5703125" style="77" customWidth="1"/>
    <col min="12047" max="12047" width="9.85546875" style="77" bestFit="1" customWidth="1"/>
    <col min="12048" max="12281" width="9.140625" style="77"/>
    <col min="12282" max="12282" width="10" style="77" customWidth="1"/>
    <col min="12283" max="12283" width="6.85546875" style="77" customWidth="1"/>
    <col min="12284" max="12284" width="9.140625" style="77"/>
    <col min="12285" max="12285" width="24" style="77" customWidth="1"/>
    <col min="12286" max="12286" width="7.85546875" style="77" customWidth="1"/>
    <col min="12287" max="12288" width="13.140625" style="77" customWidth="1"/>
    <col min="12289" max="12289" width="9.140625" style="77"/>
    <col min="12290" max="12290" width="12.85546875" style="77" customWidth="1"/>
    <col min="12291" max="12291" width="9.140625" style="77"/>
    <col min="12292" max="12292" width="7" style="77" customWidth="1"/>
    <col min="12293" max="12294" width="13.140625" style="77" customWidth="1"/>
    <col min="12295" max="12295" width="11.7109375" style="77" customWidth="1"/>
    <col min="12296" max="12296" width="14.85546875" style="77" customWidth="1"/>
    <col min="12297" max="12297" width="9.7109375" style="77" customWidth="1"/>
    <col min="12298" max="12298" width="14.85546875" style="77" customWidth="1"/>
    <col min="12299" max="12299" width="16.140625" style="77" customWidth="1"/>
    <col min="12300" max="12300" width="14.85546875" style="77" customWidth="1"/>
    <col min="12301" max="12301" width="16.5703125" style="77" customWidth="1"/>
    <col min="12302" max="12302" width="10.5703125" style="77" customWidth="1"/>
    <col min="12303" max="12303" width="9.85546875" style="77" bestFit="1" customWidth="1"/>
    <col min="12304" max="12537" width="9.140625" style="77"/>
    <col min="12538" max="12538" width="10" style="77" customWidth="1"/>
    <col min="12539" max="12539" width="6.85546875" style="77" customWidth="1"/>
    <col min="12540" max="12540" width="9.140625" style="77"/>
    <col min="12541" max="12541" width="24" style="77" customWidth="1"/>
    <col min="12542" max="12542" width="7.85546875" style="77" customWidth="1"/>
    <col min="12543" max="12544" width="13.140625" style="77" customWidth="1"/>
    <col min="12545" max="12545" width="9.140625" style="77"/>
    <col min="12546" max="12546" width="12.85546875" style="77" customWidth="1"/>
    <col min="12547" max="12547" width="9.140625" style="77"/>
    <col min="12548" max="12548" width="7" style="77" customWidth="1"/>
    <col min="12549" max="12550" width="13.140625" style="77" customWidth="1"/>
    <col min="12551" max="12551" width="11.7109375" style="77" customWidth="1"/>
    <col min="12552" max="12552" width="14.85546875" style="77" customWidth="1"/>
    <col min="12553" max="12553" width="9.7109375" style="77" customWidth="1"/>
    <col min="12554" max="12554" width="14.85546875" style="77" customWidth="1"/>
    <col min="12555" max="12555" width="16.140625" style="77" customWidth="1"/>
    <col min="12556" max="12556" width="14.85546875" style="77" customWidth="1"/>
    <col min="12557" max="12557" width="16.5703125" style="77" customWidth="1"/>
    <col min="12558" max="12558" width="10.5703125" style="77" customWidth="1"/>
    <col min="12559" max="12559" width="9.85546875" style="77" bestFit="1" customWidth="1"/>
    <col min="12560" max="12793" width="9.140625" style="77"/>
    <col min="12794" max="12794" width="10" style="77" customWidth="1"/>
    <col min="12795" max="12795" width="6.85546875" style="77" customWidth="1"/>
    <col min="12796" max="12796" width="9.140625" style="77"/>
    <col min="12797" max="12797" width="24" style="77" customWidth="1"/>
    <col min="12798" max="12798" width="7.85546875" style="77" customWidth="1"/>
    <col min="12799" max="12800" width="13.140625" style="77" customWidth="1"/>
    <col min="12801" max="12801" width="9.140625" style="77"/>
    <col min="12802" max="12802" width="12.85546875" style="77" customWidth="1"/>
    <col min="12803" max="12803" width="9.140625" style="77"/>
    <col min="12804" max="12804" width="7" style="77" customWidth="1"/>
    <col min="12805" max="12806" width="13.140625" style="77" customWidth="1"/>
    <col min="12807" max="12807" width="11.7109375" style="77" customWidth="1"/>
    <col min="12808" max="12808" width="14.85546875" style="77" customWidth="1"/>
    <col min="12809" max="12809" width="9.7109375" style="77" customWidth="1"/>
    <col min="12810" max="12810" width="14.85546875" style="77" customWidth="1"/>
    <col min="12811" max="12811" width="16.140625" style="77" customWidth="1"/>
    <col min="12812" max="12812" width="14.85546875" style="77" customWidth="1"/>
    <col min="12813" max="12813" width="16.5703125" style="77" customWidth="1"/>
    <col min="12814" max="12814" width="10.5703125" style="77" customWidth="1"/>
    <col min="12815" max="12815" width="9.85546875" style="77" bestFit="1" customWidth="1"/>
    <col min="12816" max="13049" width="9.140625" style="77"/>
    <col min="13050" max="13050" width="10" style="77" customWidth="1"/>
    <col min="13051" max="13051" width="6.85546875" style="77" customWidth="1"/>
    <col min="13052" max="13052" width="9.140625" style="77"/>
    <col min="13053" max="13053" width="24" style="77" customWidth="1"/>
    <col min="13054" max="13054" width="7.85546875" style="77" customWidth="1"/>
    <col min="13055" max="13056" width="13.140625" style="77" customWidth="1"/>
    <col min="13057" max="13057" width="9.140625" style="77"/>
    <col min="13058" max="13058" width="12.85546875" style="77" customWidth="1"/>
    <col min="13059" max="13059" width="9.140625" style="77"/>
    <col min="13060" max="13060" width="7" style="77" customWidth="1"/>
    <col min="13061" max="13062" width="13.140625" style="77" customWidth="1"/>
    <col min="13063" max="13063" width="11.7109375" style="77" customWidth="1"/>
    <col min="13064" max="13064" width="14.85546875" style="77" customWidth="1"/>
    <col min="13065" max="13065" width="9.7109375" style="77" customWidth="1"/>
    <col min="13066" max="13066" width="14.85546875" style="77" customWidth="1"/>
    <col min="13067" max="13067" width="16.140625" style="77" customWidth="1"/>
    <col min="13068" max="13068" width="14.85546875" style="77" customWidth="1"/>
    <col min="13069" max="13069" width="16.5703125" style="77" customWidth="1"/>
    <col min="13070" max="13070" width="10.5703125" style="77" customWidth="1"/>
    <col min="13071" max="13071" width="9.85546875" style="77" bestFit="1" customWidth="1"/>
    <col min="13072" max="13305" width="9.140625" style="77"/>
    <col min="13306" max="13306" width="10" style="77" customWidth="1"/>
    <col min="13307" max="13307" width="6.85546875" style="77" customWidth="1"/>
    <col min="13308" max="13308" width="9.140625" style="77"/>
    <col min="13309" max="13309" width="24" style="77" customWidth="1"/>
    <col min="13310" max="13310" width="7.85546875" style="77" customWidth="1"/>
    <col min="13311" max="13312" width="13.140625" style="77" customWidth="1"/>
    <col min="13313" max="13313" width="9.140625" style="77"/>
    <col min="13314" max="13314" width="12.85546875" style="77" customWidth="1"/>
    <col min="13315" max="13315" width="9.140625" style="77"/>
    <col min="13316" max="13316" width="7" style="77" customWidth="1"/>
    <col min="13317" max="13318" width="13.140625" style="77" customWidth="1"/>
    <col min="13319" max="13319" width="11.7109375" style="77" customWidth="1"/>
    <col min="13320" max="13320" width="14.85546875" style="77" customWidth="1"/>
    <col min="13321" max="13321" width="9.7109375" style="77" customWidth="1"/>
    <col min="13322" max="13322" width="14.85546875" style="77" customWidth="1"/>
    <col min="13323" max="13323" width="16.140625" style="77" customWidth="1"/>
    <col min="13324" max="13324" width="14.85546875" style="77" customWidth="1"/>
    <col min="13325" max="13325" width="16.5703125" style="77" customWidth="1"/>
    <col min="13326" max="13326" width="10.5703125" style="77" customWidth="1"/>
    <col min="13327" max="13327" width="9.85546875" style="77" bestFit="1" customWidth="1"/>
    <col min="13328" max="13561" width="9.140625" style="77"/>
    <col min="13562" max="13562" width="10" style="77" customWidth="1"/>
    <col min="13563" max="13563" width="6.85546875" style="77" customWidth="1"/>
    <col min="13564" max="13564" width="9.140625" style="77"/>
    <col min="13565" max="13565" width="24" style="77" customWidth="1"/>
    <col min="13566" max="13566" width="7.85546875" style="77" customWidth="1"/>
    <col min="13567" max="13568" width="13.140625" style="77" customWidth="1"/>
    <col min="13569" max="13569" width="9.140625" style="77"/>
    <col min="13570" max="13570" width="12.85546875" style="77" customWidth="1"/>
    <col min="13571" max="13571" width="9.140625" style="77"/>
    <col min="13572" max="13572" width="7" style="77" customWidth="1"/>
    <col min="13573" max="13574" width="13.140625" style="77" customWidth="1"/>
    <col min="13575" max="13575" width="11.7109375" style="77" customWidth="1"/>
    <col min="13576" max="13576" width="14.85546875" style="77" customWidth="1"/>
    <col min="13577" max="13577" width="9.7109375" style="77" customWidth="1"/>
    <col min="13578" max="13578" width="14.85546875" style="77" customWidth="1"/>
    <col min="13579" max="13579" width="16.140625" style="77" customWidth="1"/>
    <col min="13580" max="13580" width="14.85546875" style="77" customWidth="1"/>
    <col min="13581" max="13581" width="16.5703125" style="77" customWidth="1"/>
    <col min="13582" max="13582" width="10.5703125" style="77" customWidth="1"/>
    <col min="13583" max="13583" width="9.85546875" style="77" bestFit="1" customWidth="1"/>
    <col min="13584" max="13817" width="9.140625" style="77"/>
    <col min="13818" max="13818" width="10" style="77" customWidth="1"/>
    <col min="13819" max="13819" width="6.85546875" style="77" customWidth="1"/>
    <col min="13820" max="13820" width="9.140625" style="77"/>
    <col min="13821" max="13821" width="24" style="77" customWidth="1"/>
    <col min="13822" max="13822" width="7.85546875" style="77" customWidth="1"/>
    <col min="13823" max="13824" width="13.140625" style="77" customWidth="1"/>
    <col min="13825" max="13825" width="9.140625" style="77"/>
    <col min="13826" max="13826" width="12.85546875" style="77" customWidth="1"/>
    <col min="13827" max="13827" width="9.140625" style="77"/>
    <col min="13828" max="13828" width="7" style="77" customWidth="1"/>
    <col min="13829" max="13830" width="13.140625" style="77" customWidth="1"/>
    <col min="13831" max="13831" width="11.7109375" style="77" customWidth="1"/>
    <col min="13832" max="13832" width="14.85546875" style="77" customWidth="1"/>
    <col min="13833" max="13833" width="9.7109375" style="77" customWidth="1"/>
    <col min="13834" max="13834" width="14.85546875" style="77" customWidth="1"/>
    <col min="13835" max="13835" width="16.140625" style="77" customWidth="1"/>
    <col min="13836" max="13836" width="14.85546875" style="77" customWidth="1"/>
    <col min="13837" max="13837" width="16.5703125" style="77" customWidth="1"/>
    <col min="13838" max="13838" width="10.5703125" style="77" customWidth="1"/>
    <col min="13839" max="13839" width="9.85546875" style="77" bestFit="1" customWidth="1"/>
    <col min="13840" max="14073" width="9.140625" style="77"/>
    <col min="14074" max="14074" width="10" style="77" customWidth="1"/>
    <col min="14075" max="14075" width="6.85546875" style="77" customWidth="1"/>
    <col min="14076" max="14076" width="9.140625" style="77"/>
    <col min="14077" max="14077" width="24" style="77" customWidth="1"/>
    <col min="14078" max="14078" width="7.85546875" style="77" customWidth="1"/>
    <col min="14079" max="14080" width="13.140625" style="77" customWidth="1"/>
    <col min="14081" max="14081" width="9.140625" style="77"/>
    <col min="14082" max="14082" width="12.85546875" style="77" customWidth="1"/>
    <col min="14083" max="14083" width="9.140625" style="77"/>
    <col min="14084" max="14084" width="7" style="77" customWidth="1"/>
    <col min="14085" max="14086" width="13.140625" style="77" customWidth="1"/>
    <col min="14087" max="14087" width="11.7109375" style="77" customWidth="1"/>
    <col min="14088" max="14088" width="14.85546875" style="77" customWidth="1"/>
    <col min="14089" max="14089" width="9.7109375" style="77" customWidth="1"/>
    <col min="14090" max="14090" width="14.85546875" style="77" customWidth="1"/>
    <col min="14091" max="14091" width="16.140625" style="77" customWidth="1"/>
    <col min="14092" max="14092" width="14.85546875" style="77" customWidth="1"/>
    <col min="14093" max="14093" width="16.5703125" style="77" customWidth="1"/>
    <col min="14094" max="14094" width="10.5703125" style="77" customWidth="1"/>
    <col min="14095" max="14095" width="9.85546875" style="77" bestFit="1" customWidth="1"/>
    <col min="14096" max="14329" width="9.140625" style="77"/>
    <col min="14330" max="14330" width="10" style="77" customWidth="1"/>
    <col min="14331" max="14331" width="6.85546875" style="77" customWidth="1"/>
    <col min="14332" max="14332" width="9.140625" style="77"/>
    <col min="14333" max="14333" width="24" style="77" customWidth="1"/>
    <col min="14334" max="14334" width="7.85546875" style="77" customWidth="1"/>
    <col min="14335" max="14336" width="13.140625" style="77" customWidth="1"/>
    <col min="14337" max="14337" width="9.140625" style="77"/>
    <col min="14338" max="14338" width="12.85546875" style="77" customWidth="1"/>
    <col min="14339" max="14339" width="9.140625" style="77"/>
    <col min="14340" max="14340" width="7" style="77" customWidth="1"/>
    <col min="14341" max="14342" width="13.140625" style="77" customWidth="1"/>
    <col min="14343" max="14343" width="11.7109375" style="77" customWidth="1"/>
    <col min="14344" max="14344" width="14.85546875" style="77" customWidth="1"/>
    <col min="14345" max="14345" width="9.7109375" style="77" customWidth="1"/>
    <col min="14346" max="14346" width="14.85546875" style="77" customWidth="1"/>
    <col min="14347" max="14347" width="16.140625" style="77" customWidth="1"/>
    <col min="14348" max="14348" width="14.85546875" style="77" customWidth="1"/>
    <col min="14349" max="14349" width="16.5703125" style="77" customWidth="1"/>
    <col min="14350" max="14350" width="10.5703125" style="77" customWidth="1"/>
    <col min="14351" max="14351" width="9.85546875" style="77" bestFit="1" customWidth="1"/>
    <col min="14352" max="14585" width="9.140625" style="77"/>
    <col min="14586" max="14586" width="10" style="77" customWidth="1"/>
    <col min="14587" max="14587" width="6.85546875" style="77" customWidth="1"/>
    <col min="14588" max="14588" width="9.140625" style="77"/>
    <col min="14589" max="14589" width="24" style="77" customWidth="1"/>
    <col min="14590" max="14590" width="7.85546875" style="77" customWidth="1"/>
    <col min="14591" max="14592" width="13.140625" style="77" customWidth="1"/>
    <col min="14593" max="14593" width="9.140625" style="77"/>
    <col min="14594" max="14594" width="12.85546875" style="77" customWidth="1"/>
    <col min="14595" max="14595" width="9.140625" style="77"/>
    <col min="14596" max="14596" width="7" style="77" customWidth="1"/>
    <col min="14597" max="14598" width="13.140625" style="77" customWidth="1"/>
    <col min="14599" max="14599" width="11.7109375" style="77" customWidth="1"/>
    <col min="14600" max="14600" width="14.85546875" style="77" customWidth="1"/>
    <col min="14601" max="14601" width="9.7109375" style="77" customWidth="1"/>
    <col min="14602" max="14602" width="14.85546875" style="77" customWidth="1"/>
    <col min="14603" max="14603" width="16.140625" style="77" customWidth="1"/>
    <col min="14604" max="14604" width="14.85546875" style="77" customWidth="1"/>
    <col min="14605" max="14605" width="16.5703125" style="77" customWidth="1"/>
    <col min="14606" max="14606" width="10.5703125" style="77" customWidth="1"/>
    <col min="14607" max="14607" width="9.85546875" style="77" bestFit="1" customWidth="1"/>
    <col min="14608" max="14841" width="9.140625" style="77"/>
    <col min="14842" max="14842" width="10" style="77" customWidth="1"/>
    <col min="14843" max="14843" width="6.85546875" style="77" customWidth="1"/>
    <col min="14844" max="14844" width="9.140625" style="77"/>
    <col min="14845" max="14845" width="24" style="77" customWidth="1"/>
    <col min="14846" max="14846" width="7.85546875" style="77" customWidth="1"/>
    <col min="14847" max="14848" width="13.140625" style="77" customWidth="1"/>
    <col min="14849" max="14849" width="9.140625" style="77"/>
    <col min="14850" max="14850" width="12.85546875" style="77" customWidth="1"/>
    <col min="14851" max="14851" width="9.140625" style="77"/>
    <col min="14852" max="14852" width="7" style="77" customWidth="1"/>
    <col min="14853" max="14854" width="13.140625" style="77" customWidth="1"/>
    <col min="14855" max="14855" width="11.7109375" style="77" customWidth="1"/>
    <col min="14856" max="14856" width="14.85546875" style="77" customWidth="1"/>
    <col min="14857" max="14857" width="9.7109375" style="77" customWidth="1"/>
    <col min="14858" max="14858" width="14.85546875" style="77" customWidth="1"/>
    <col min="14859" max="14859" width="16.140625" style="77" customWidth="1"/>
    <col min="14860" max="14860" width="14.85546875" style="77" customWidth="1"/>
    <col min="14861" max="14861" width="16.5703125" style="77" customWidth="1"/>
    <col min="14862" max="14862" width="10.5703125" style="77" customWidth="1"/>
    <col min="14863" max="14863" width="9.85546875" style="77" bestFit="1" customWidth="1"/>
    <col min="14864" max="15097" width="9.140625" style="77"/>
    <col min="15098" max="15098" width="10" style="77" customWidth="1"/>
    <col min="15099" max="15099" width="6.85546875" style="77" customWidth="1"/>
    <col min="15100" max="15100" width="9.140625" style="77"/>
    <col min="15101" max="15101" width="24" style="77" customWidth="1"/>
    <col min="15102" max="15102" width="7.85546875" style="77" customWidth="1"/>
    <col min="15103" max="15104" width="13.140625" style="77" customWidth="1"/>
    <col min="15105" max="15105" width="9.140625" style="77"/>
    <col min="15106" max="15106" width="12.85546875" style="77" customWidth="1"/>
    <col min="15107" max="15107" width="9.140625" style="77"/>
    <col min="15108" max="15108" width="7" style="77" customWidth="1"/>
    <col min="15109" max="15110" width="13.140625" style="77" customWidth="1"/>
    <col min="15111" max="15111" width="11.7109375" style="77" customWidth="1"/>
    <col min="15112" max="15112" width="14.85546875" style="77" customWidth="1"/>
    <col min="15113" max="15113" width="9.7109375" style="77" customWidth="1"/>
    <col min="15114" max="15114" width="14.85546875" style="77" customWidth="1"/>
    <col min="15115" max="15115" width="16.140625" style="77" customWidth="1"/>
    <col min="15116" max="15116" width="14.85546875" style="77" customWidth="1"/>
    <col min="15117" max="15117" width="16.5703125" style="77" customWidth="1"/>
    <col min="15118" max="15118" width="10.5703125" style="77" customWidth="1"/>
    <col min="15119" max="15119" width="9.85546875" style="77" bestFit="1" customWidth="1"/>
    <col min="15120" max="15353" width="9.140625" style="77"/>
    <col min="15354" max="15354" width="10" style="77" customWidth="1"/>
    <col min="15355" max="15355" width="6.85546875" style="77" customWidth="1"/>
    <col min="15356" max="15356" width="9.140625" style="77"/>
    <col min="15357" max="15357" width="24" style="77" customWidth="1"/>
    <col min="15358" max="15358" width="7.85546875" style="77" customWidth="1"/>
    <col min="15359" max="15360" width="13.140625" style="77" customWidth="1"/>
    <col min="15361" max="15361" width="9.140625" style="77"/>
    <col min="15362" max="15362" width="12.85546875" style="77" customWidth="1"/>
    <col min="15363" max="15363" width="9.140625" style="77"/>
    <col min="15364" max="15364" width="7" style="77" customWidth="1"/>
    <col min="15365" max="15366" width="13.140625" style="77" customWidth="1"/>
    <col min="15367" max="15367" width="11.7109375" style="77" customWidth="1"/>
    <col min="15368" max="15368" width="14.85546875" style="77" customWidth="1"/>
    <col min="15369" max="15369" width="9.7109375" style="77" customWidth="1"/>
    <col min="15370" max="15370" width="14.85546875" style="77" customWidth="1"/>
    <col min="15371" max="15371" width="16.140625" style="77" customWidth="1"/>
    <col min="15372" max="15372" width="14.85546875" style="77" customWidth="1"/>
    <col min="15373" max="15373" width="16.5703125" style="77" customWidth="1"/>
    <col min="15374" max="15374" width="10.5703125" style="77" customWidth="1"/>
    <col min="15375" max="15375" width="9.85546875" style="77" bestFit="1" customWidth="1"/>
    <col min="15376" max="15609" width="9.140625" style="77"/>
    <col min="15610" max="15610" width="10" style="77" customWidth="1"/>
    <col min="15611" max="15611" width="6.85546875" style="77" customWidth="1"/>
    <col min="15612" max="15612" width="9.140625" style="77"/>
    <col min="15613" max="15613" width="24" style="77" customWidth="1"/>
    <col min="15614" max="15614" width="7.85546875" style="77" customWidth="1"/>
    <col min="15615" max="15616" width="13.140625" style="77" customWidth="1"/>
    <col min="15617" max="15617" width="9.140625" style="77"/>
    <col min="15618" max="15618" width="12.85546875" style="77" customWidth="1"/>
    <col min="15619" max="15619" width="9.140625" style="77"/>
    <col min="15620" max="15620" width="7" style="77" customWidth="1"/>
    <col min="15621" max="15622" width="13.140625" style="77" customWidth="1"/>
    <col min="15623" max="15623" width="11.7109375" style="77" customWidth="1"/>
    <col min="15624" max="15624" width="14.85546875" style="77" customWidth="1"/>
    <col min="15625" max="15625" width="9.7109375" style="77" customWidth="1"/>
    <col min="15626" max="15626" width="14.85546875" style="77" customWidth="1"/>
    <col min="15627" max="15627" width="16.140625" style="77" customWidth="1"/>
    <col min="15628" max="15628" width="14.85546875" style="77" customWidth="1"/>
    <col min="15629" max="15629" width="16.5703125" style="77" customWidth="1"/>
    <col min="15630" max="15630" width="10.5703125" style="77" customWidth="1"/>
    <col min="15631" max="15631" width="9.85546875" style="77" bestFit="1" customWidth="1"/>
    <col min="15632" max="15865" width="9.140625" style="77"/>
    <col min="15866" max="15866" width="10" style="77" customWidth="1"/>
    <col min="15867" max="15867" width="6.85546875" style="77" customWidth="1"/>
    <col min="15868" max="15868" width="9.140625" style="77"/>
    <col min="15869" max="15869" width="24" style="77" customWidth="1"/>
    <col min="15870" max="15870" width="7.85546875" style="77" customWidth="1"/>
    <col min="15871" max="15872" width="13.140625" style="77" customWidth="1"/>
    <col min="15873" max="15873" width="9.140625" style="77"/>
    <col min="15874" max="15874" width="12.85546875" style="77" customWidth="1"/>
    <col min="15875" max="15875" width="9.140625" style="77"/>
    <col min="15876" max="15876" width="7" style="77" customWidth="1"/>
    <col min="15877" max="15878" width="13.140625" style="77" customWidth="1"/>
    <col min="15879" max="15879" width="11.7109375" style="77" customWidth="1"/>
    <col min="15880" max="15880" width="14.85546875" style="77" customWidth="1"/>
    <col min="15881" max="15881" width="9.7109375" style="77" customWidth="1"/>
    <col min="15882" max="15882" width="14.85546875" style="77" customWidth="1"/>
    <col min="15883" max="15883" width="16.140625" style="77" customWidth="1"/>
    <col min="15884" max="15884" width="14.85546875" style="77" customWidth="1"/>
    <col min="15885" max="15885" width="16.5703125" style="77" customWidth="1"/>
    <col min="15886" max="15886" width="10.5703125" style="77" customWidth="1"/>
    <col min="15887" max="15887" width="9.85546875" style="77" bestFit="1" customWidth="1"/>
    <col min="15888" max="16121" width="9.140625" style="77"/>
    <col min="16122" max="16122" width="10" style="77" customWidth="1"/>
    <col min="16123" max="16123" width="6.85546875" style="77" customWidth="1"/>
    <col min="16124" max="16124" width="9.140625" style="77"/>
    <col min="16125" max="16125" width="24" style="77" customWidth="1"/>
    <col min="16126" max="16126" width="7.85546875" style="77" customWidth="1"/>
    <col min="16127" max="16128" width="13.140625" style="77" customWidth="1"/>
    <col min="16129" max="16129" width="9.140625" style="77"/>
    <col min="16130" max="16130" width="12.85546875" style="77" customWidth="1"/>
    <col min="16131" max="16131" width="9.140625" style="77"/>
    <col min="16132" max="16132" width="7" style="77" customWidth="1"/>
    <col min="16133" max="16134" width="13.140625" style="77" customWidth="1"/>
    <col min="16135" max="16135" width="11.7109375" style="77" customWidth="1"/>
    <col min="16136" max="16136" width="14.85546875" style="77" customWidth="1"/>
    <col min="16137" max="16137" width="9.7109375" style="77" customWidth="1"/>
    <col min="16138" max="16138" width="14.85546875" style="77" customWidth="1"/>
    <col min="16139" max="16139" width="16.140625" style="77" customWidth="1"/>
    <col min="16140" max="16140" width="14.85546875" style="77" customWidth="1"/>
    <col min="16141" max="16141" width="16.5703125" style="77" customWidth="1"/>
    <col min="16142" max="16142" width="10.5703125" style="77" customWidth="1"/>
    <col min="16143" max="16143" width="9.85546875" style="77" bestFit="1" customWidth="1"/>
    <col min="16144" max="16384" width="9.140625" style="77"/>
  </cols>
  <sheetData>
    <row r="1" spans="1:22" x14ac:dyDescent="0.2">
      <c r="A1" s="346" t="s">
        <v>102</v>
      </c>
      <c r="B1" s="355"/>
      <c r="C1" s="355"/>
      <c r="D1" s="355"/>
      <c r="E1" s="355"/>
      <c r="F1" s="355"/>
      <c r="G1" s="354"/>
      <c r="H1" s="355"/>
      <c r="I1" s="354"/>
      <c r="J1" s="354"/>
      <c r="K1" s="354"/>
      <c r="L1" s="354"/>
      <c r="M1" s="354"/>
      <c r="N1" s="77"/>
    </row>
    <row r="2" spans="1:22" x14ac:dyDescent="0.2">
      <c r="A2" s="134" t="s">
        <v>0</v>
      </c>
      <c r="B2" s="137"/>
      <c r="C2" s="137"/>
      <c r="D2" s="137"/>
      <c r="E2" s="137"/>
      <c r="F2" s="137"/>
      <c r="G2" s="135"/>
      <c r="H2" s="137"/>
      <c r="I2" s="135"/>
      <c r="J2" s="97" t="s">
        <v>103</v>
      </c>
      <c r="K2" s="154"/>
      <c r="L2" s="135"/>
      <c r="M2" s="347" t="s">
        <v>104</v>
      </c>
      <c r="N2" s="135"/>
    </row>
    <row r="3" spans="1:22" x14ac:dyDescent="0.2">
      <c r="A3" s="134" t="s">
        <v>281</v>
      </c>
      <c r="B3" s="137"/>
      <c r="C3" s="137"/>
      <c r="D3" s="137"/>
      <c r="E3" s="137"/>
      <c r="F3" s="137"/>
      <c r="G3" s="135"/>
      <c r="H3" s="137"/>
      <c r="I3" s="135"/>
      <c r="J3" s="97"/>
      <c r="K3" s="154"/>
      <c r="L3" s="135"/>
      <c r="M3" s="347"/>
      <c r="N3" s="135"/>
    </row>
    <row r="4" spans="1:22" x14ac:dyDescent="0.2">
      <c r="A4" s="347" t="s">
        <v>113</v>
      </c>
      <c r="B4" s="347" t="s">
        <v>340</v>
      </c>
      <c r="C4" s="137"/>
      <c r="D4" s="137"/>
      <c r="E4" s="137"/>
      <c r="F4" s="137"/>
      <c r="G4" s="135"/>
      <c r="H4" s="137"/>
      <c r="I4" s="135"/>
      <c r="J4" s="97" t="s">
        <v>92</v>
      </c>
      <c r="K4" s="97"/>
      <c r="L4" s="135"/>
      <c r="M4" s="347" t="s">
        <v>284</v>
      </c>
      <c r="N4" s="121"/>
    </row>
    <row r="5" spans="1:22" x14ac:dyDescent="0.2">
      <c r="A5" s="134"/>
      <c r="B5" s="134"/>
      <c r="C5" s="137"/>
      <c r="D5" s="137"/>
      <c r="E5" s="137"/>
      <c r="F5" s="137"/>
      <c r="G5" s="135"/>
      <c r="H5" s="137"/>
      <c r="I5" s="135"/>
      <c r="J5" s="135"/>
      <c r="K5" s="135"/>
      <c r="L5" s="135"/>
      <c r="M5" s="135"/>
      <c r="N5" s="77"/>
    </row>
    <row r="6" spans="1:22" x14ac:dyDescent="0.2">
      <c r="A6" s="134" t="s">
        <v>1</v>
      </c>
      <c r="B6" s="426">
        <v>2012</v>
      </c>
      <c r="C6" s="137"/>
      <c r="D6" s="137"/>
      <c r="E6" s="137"/>
      <c r="F6" s="137"/>
      <c r="G6" s="135"/>
      <c r="H6" s="137"/>
      <c r="I6" s="135"/>
      <c r="J6" s="135"/>
      <c r="K6" s="135"/>
      <c r="L6" s="135"/>
      <c r="M6" s="135"/>
      <c r="N6" s="77"/>
    </row>
    <row r="7" spans="1:22" x14ac:dyDescent="0.2">
      <c r="A7" s="136"/>
      <c r="B7" s="137"/>
      <c r="C7" s="137"/>
      <c r="D7" s="137"/>
      <c r="E7" s="137"/>
      <c r="F7" s="137"/>
      <c r="G7" s="135"/>
      <c r="H7" s="137"/>
      <c r="I7" s="135"/>
      <c r="J7" s="135"/>
      <c r="K7" s="135"/>
      <c r="L7" s="135"/>
      <c r="M7" s="135"/>
      <c r="N7" s="77"/>
    </row>
    <row r="8" spans="1:22" s="81" customFormat="1" ht="51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O8" s="77"/>
      <c r="P8" s="83"/>
      <c r="Q8" s="83"/>
      <c r="R8" s="83"/>
      <c r="S8" s="83"/>
      <c r="T8" s="83"/>
      <c r="U8" s="83"/>
      <c r="V8" s="83"/>
    </row>
    <row r="9" spans="1:22" x14ac:dyDescent="0.2">
      <c r="A9" s="204" t="s">
        <v>339</v>
      </c>
      <c r="B9" s="205"/>
      <c r="C9" s="206">
        <v>2012</v>
      </c>
      <c r="D9" s="206">
        <v>15</v>
      </c>
      <c r="E9" s="206">
        <f t="shared" ref="E9:E15" si="0">+C9+D9-1</f>
        <v>2026</v>
      </c>
      <c r="F9" s="207">
        <f t="shared" ref="F9:F15" si="1">IF(D9&gt;0,1/D9,0)</f>
        <v>6.6666666666666666E-2</v>
      </c>
      <c r="G9" s="220">
        <f>247806.23+150101.29</f>
        <v>397907.52</v>
      </c>
      <c r="H9" s="240">
        <f t="shared" ref="H9:H15" si="2">IF(+G9&gt;0,IF(+$B$6-C9+1&gt;D9,D9,+$B$6-C9+1),0)</f>
        <v>1</v>
      </c>
      <c r="I9" s="240">
        <f t="shared" ref="I9:I15" si="3">IF(E9&gt;=$B$6,+D9-H9,0)</f>
        <v>14</v>
      </c>
      <c r="J9" s="222">
        <f t="shared" ref="J9:J15" si="4">+G9*F9</f>
        <v>26527.168000000001</v>
      </c>
      <c r="K9" s="222">
        <f t="shared" ref="K9:K15" si="5">IF(E9&gt;=$B$6,+J9,0)</f>
        <v>26527.168000000001</v>
      </c>
      <c r="L9" s="222">
        <f>+J9*H9</f>
        <v>26527.168000000001</v>
      </c>
      <c r="M9" s="222">
        <f t="shared" ref="M9:M15" si="6">+G9-L9</f>
        <v>371380.35200000001</v>
      </c>
      <c r="N9" s="203"/>
    </row>
    <row r="10" spans="1:22" x14ac:dyDescent="0.2">
      <c r="A10" s="204"/>
      <c r="B10" s="205"/>
      <c r="C10" s="206"/>
      <c r="D10" s="206">
        <v>15</v>
      </c>
      <c r="E10" s="206">
        <f t="shared" si="0"/>
        <v>14</v>
      </c>
      <c r="F10" s="207">
        <f t="shared" si="1"/>
        <v>6.6666666666666666E-2</v>
      </c>
      <c r="G10" s="220">
        <v>0</v>
      </c>
      <c r="H10" s="209">
        <f t="shared" si="2"/>
        <v>0</v>
      </c>
      <c r="I10" s="209">
        <f t="shared" si="3"/>
        <v>0</v>
      </c>
      <c r="J10" s="220">
        <f t="shared" si="4"/>
        <v>0</v>
      </c>
      <c r="K10" s="220">
        <f t="shared" si="5"/>
        <v>0</v>
      </c>
      <c r="L10" s="220">
        <f>+J10*H10</f>
        <v>0</v>
      </c>
      <c r="M10" s="220">
        <f t="shared" si="6"/>
        <v>0</v>
      </c>
      <c r="N10" s="203"/>
    </row>
    <row r="11" spans="1:22" x14ac:dyDescent="0.2">
      <c r="A11" s="204"/>
      <c r="B11" s="205"/>
      <c r="C11" s="206"/>
      <c r="D11" s="206">
        <v>15</v>
      </c>
      <c r="E11" s="206">
        <f t="shared" si="0"/>
        <v>14</v>
      </c>
      <c r="F11" s="207">
        <f t="shared" si="1"/>
        <v>6.6666666666666666E-2</v>
      </c>
      <c r="G11" s="220">
        <v>0</v>
      </c>
      <c r="H11" s="209">
        <f t="shared" si="2"/>
        <v>0</v>
      </c>
      <c r="I11" s="209">
        <f t="shared" si="3"/>
        <v>0</v>
      </c>
      <c r="J11" s="220">
        <f t="shared" si="4"/>
        <v>0</v>
      </c>
      <c r="K11" s="220">
        <f t="shared" si="5"/>
        <v>0</v>
      </c>
      <c r="L11" s="220">
        <f>+J11*H11</f>
        <v>0</v>
      </c>
      <c r="M11" s="220">
        <f t="shared" si="6"/>
        <v>0</v>
      </c>
      <c r="N11" s="203"/>
    </row>
    <row r="12" spans="1:22" x14ac:dyDescent="0.2">
      <c r="A12" s="204"/>
      <c r="B12" s="205"/>
      <c r="C12" s="206"/>
      <c r="D12" s="206">
        <v>15</v>
      </c>
      <c r="E12" s="206">
        <f t="shared" si="0"/>
        <v>14</v>
      </c>
      <c r="F12" s="207">
        <f t="shared" si="1"/>
        <v>6.6666666666666666E-2</v>
      </c>
      <c r="G12" s="220"/>
      <c r="H12" s="209">
        <f t="shared" si="2"/>
        <v>0</v>
      </c>
      <c r="I12" s="209">
        <f t="shared" si="3"/>
        <v>0</v>
      </c>
      <c r="J12" s="220">
        <f t="shared" si="4"/>
        <v>0</v>
      </c>
      <c r="K12" s="220">
        <f t="shared" si="5"/>
        <v>0</v>
      </c>
      <c r="L12" s="220">
        <f>+J12*H12</f>
        <v>0</v>
      </c>
      <c r="M12" s="220">
        <f t="shared" si="6"/>
        <v>0</v>
      </c>
      <c r="N12" s="203"/>
    </row>
    <row r="13" spans="1:22" x14ac:dyDescent="0.2">
      <c r="A13" s="204"/>
      <c r="B13" s="205"/>
      <c r="C13" s="206"/>
      <c r="D13" s="206">
        <v>15</v>
      </c>
      <c r="E13" s="206">
        <f t="shared" si="0"/>
        <v>14</v>
      </c>
      <c r="F13" s="207">
        <f t="shared" si="1"/>
        <v>6.6666666666666666E-2</v>
      </c>
      <c r="G13" s="220"/>
      <c r="H13" s="209">
        <f t="shared" si="2"/>
        <v>0</v>
      </c>
      <c r="I13" s="209">
        <f t="shared" si="3"/>
        <v>0</v>
      </c>
      <c r="J13" s="220">
        <f t="shared" si="4"/>
        <v>0</v>
      </c>
      <c r="K13" s="220">
        <f t="shared" si="5"/>
        <v>0</v>
      </c>
      <c r="L13" s="220">
        <f>+J13*H13</f>
        <v>0</v>
      </c>
      <c r="M13" s="220">
        <f t="shared" si="6"/>
        <v>0</v>
      </c>
      <c r="N13" s="203"/>
    </row>
    <row r="14" spans="1:22" x14ac:dyDescent="0.2">
      <c r="A14" s="204"/>
      <c r="B14" s="205"/>
      <c r="C14" s="206"/>
      <c r="D14" s="206">
        <v>15</v>
      </c>
      <c r="E14" s="206">
        <f t="shared" si="0"/>
        <v>14</v>
      </c>
      <c r="F14" s="207">
        <f t="shared" si="1"/>
        <v>6.6666666666666666E-2</v>
      </c>
      <c r="G14" s="220"/>
      <c r="H14" s="209">
        <f t="shared" si="2"/>
        <v>0</v>
      </c>
      <c r="I14" s="209">
        <f t="shared" si="3"/>
        <v>0</v>
      </c>
      <c r="J14" s="220">
        <f t="shared" si="4"/>
        <v>0</v>
      </c>
      <c r="K14" s="220">
        <f t="shared" si="5"/>
        <v>0</v>
      </c>
      <c r="L14" s="220"/>
      <c r="M14" s="220"/>
      <c r="N14" s="203"/>
      <c r="O14" s="77">
        <f>+M14/M17</f>
        <v>0</v>
      </c>
      <c r="P14" s="88">
        <f>+H14</f>
        <v>0</v>
      </c>
      <c r="Q14" s="77">
        <f>+O14*P14</f>
        <v>0</v>
      </c>
    </row>
    <row r="15" spans="1:22" x14ac:dyDescent="0.2">
      <c r="A15" s="204"/>
      <c r="B15" s="205"/>
      <c r="C15" s="206"/>
      <c r="D15" s="206">
        <v>15</v>
      </c>
      <c r="E15" s="206">
        <f t="shared" si="0"/>
        <v>14</v>
      </c>
      <c r="F15" s="207">
        <f t="shared" si="1"/>
        <v>6.6666666666666666E-2</v>
      </c>
      <c r="G15" s="220"/>
      <c r="H15" s="209">
        <f t="shared" si="2"/>
        <v>0</v>
      </c>
      <c r="I15" s="209">
        <f t="shared" si="3"/>
        <v>0</v>
      </c>
      <c r="J15" s="220">
        <f t="shared" si="4"/>
        <v>0</v>
      </c>
      <c r="K15" s="220">
        <f t="shared" si="5"/>
        <v>0</v>
      </c>
      <c r="L15" s="220">
        <f>+J15*H15</f>
        <v>0</v>
      </c>
      <c r="M15" s="220">
        <f t="shared" si="6"/>
        <v>0</v>
      </c>
      <c r="N15" s="203"/>
      <c r="O15" s="77">
        <f>+M15/M17</f>
        <v>0</v>
      </c>
      <c r="P15" s="88">
        <f>+H15</f>
        <v>0</v>
      </c>
      <c r="Q15" s="77">
        <f>+O15*P15</f>
        <v>0</v>
      </c>
    </row>
    <row r="16" spans="1:22" x14ac:dyDescent="0.2">
      <c r="A16" s="204"/>
      <c r="B16" s="205"/>
      <c r="C16" s="206"/>
      <c r="D16" s="206"/>
      <c r="E16" s="206"/>
      <c r="F16" s="206"/>
      <c r="G16" s="220"/>
      <c r="H16" s="211"/>
      <c r="I16" s="209"/>
      <c r="J16" s="220"/>
      <c r="K16" s="220"/>
      <c r="L16" s="220"/>
      <c r="M16" s="220"/>
      <c r="N16" s="203"/>
    </row>
    <row r="17" spans="1:17" s="81" customFormat="1" x14ac:dyDescent="0.2">
      <c r="A17" s="149" t="s">
        <v>100</v>
      </c>
      <c r="B17" s="212"/>
      <c r="C17" s="212"/>
      <c r="D17" s="212"/>
      <c r="E17" s="212"/>
      <c r="F17" s="212"/>
      <c r="G17" s="223">
        <f>SUM(G9:G16)</f>
        <v>397907.52</v>
      </c>
      <c r="H17" s="241"/>
      <c r="I17" s="261"/>
      <c r="J17" s="261"/>
      <c r="K17" s="230">
        <f>SUM(K9:K16)</f>
        <v>26527.168000000001</v>
      </c>
      <c r="L17" s="223">
        <f>SUM(L9:L16)</f>
        <v>26527.168000000001</v>
      </c>
      <c r="M17" s="230">
        <f>SUM(M9:M16)</f>
        <v>371380.35200000001</v>
      </c>
      <c r="N17" s="203"/>
      <c r="O17" s="86"/>
      <c r="Q17" s="81">
        <f>+Q15+Q14</f>
        <v>0</v>
      </c>
    </row>
    <row r="18" spans="1:17" s="81" customFormat="1" x14ac:dyDescent="0.2">
      <c r="A18" s="144"/>
      <c r="B18" s="143"/>
      <c r="C18" s="143"/>
      <c r="D18" s="143"/>
      <c r="E18" s="143"/>
      <c r="F18" s="143"/>
      <c r="G18" s="248"/>
      <c r="H18" s="349"/>
      <c r="I18" s="248"/>
      <c r="J18" s="248"/>
      <c r="K18" s="248"/>
      <c r="L18" s="248"/>
      <c r="M18" s="248"/>
      <c r="N18" s="77"/>
      <c r="O18" s="77"/>
    </row>
    <row r="19" spans="1:17" s="81" customFormat="1" x14ac:dyDescent="0.2">
      <c r="A19" s="144"/>
      <c r="B19" s="143"/>
      <c r="C19" s="143"/>
      <c r="D19" s="143"/>
      <c r="E19" s="143"/>
      <c r="F19" s="247"/>
      <c r="G19" s="225"/>
      <c r="H19" s="349"/>
      <c r="I19" s="225"/>
      <c r="J19" s="225"/>
      <c r="K19" s="248"/>
      <c r="L19" s="248">
        <v>31694.61</v>
      </c>
      <c r="M19" s="248"/>
      <c r="N19" s="77"/>
      <c r="O19" s="77"/>
    </row>
    <row r="20" spans="1:17" s="81" customFormat="1" x14ac:dyDescent="0.2">
      <c r="A20" s="144"/>
      <c r="B20" s="143"/>
      <c r="C20" s="143"/>
      <c r="D20" s="143"/>
      <c r="E20" s="143"/>
      <c r="F20" s="171"/>
      <c r="G20" s="248"/>
      <c r="H20" s="349"/>
      <c r="I20" s="248"/>
      <c r="J20" s="248"/>
      <c r="K20" s="248"/>
      <c r="L20" s="248"/>
      <c r="M20" s="248"/>
      <c r="N20" s="77"/>
      <c r="O20" s="77"/>
    </row>
    <row r="21" spans="1:17" s="81" customFormat="1" x14ac:dyDescent="0.2">
      <c r="A21" s="144"/>
      <c r="B21" s="143"/>
      <c r="C21" s="143"/>
      <c r="D21" s="143"/>
      <c r="E21" s="143"/>
      <c r="F21" s="227"/>
      <c r="G21" s="248"/>
      <c r="H21" s="349"/>
      <c r="I21" s="248"/>
      <c r="J21" s="248"/>
      <c r="K21" s="225"/>
      <c r="L21" s="225">
        <f>+L17-L19</f>
        <v>-5167.4419999999991</v>
      </c>
      <c r="M21" s="225"/>
      <c r="N21" s="77"/>
      <c r="O21" s="77"/>
    </row>
    <row r="22" spans="1:17" x14ac:dyDescent="0.2">
      <c r="A22" s="79"/>
      <c r="F22" s="83"/>
      <c r="G22" s="281"/>
      <c r="H22" s="281"/>
      <c r="I22" s="281"/>
      <c r="J22" s="281"/>
      <c r="K22" s="225"/>
      <c r="L22" s="225"/>
      <c r="M22" s="225"/>
      <c r="N22" s="77"/>
    </row>
    <row r="23" spans="1:17" x14ac:dyDescent="0.2">
      <c r="A23" s="79"/>
      <c r="F23" s="83"/>
      <c r="G23" s="111"/>
      <c r="H23" s="111"/>
      <c r="I23" s="111"/>
      <c r="J23" s="111"/>
      <c r="K23" s="292"/>
      <c r="L23" s="292"/>
      <c r="M23" s="292"/>
      <c r="N23" s="77"/>
    </row>
    <row r="24" spans="1:17" x14ac:dyDescent="0.2">
      <c r="F24" s="83"/>
      <c r="K24" s="198"/>
      <c r="L24" s="199"/>
      <c r="M24" s="140"/>
      <c r="N24" s="77"/>
    </row>
    <row r="25" spans="1:17" x14ac:dyDescent="0.2">
      <c r="F25" s="378"/>
      <c r="G25" s="112"/>
      <c r="H25" s="111"/>
      <c r="I25" s="112"/>
      <c r="K25" s="135"/>
      <c r="L25" s="200"/>
      <c r="M25" s="140"/>
    </row>
    <row r="26" spans="1:17" x14ac:dyDescent="0.2">
      <c r="K26" s="201"/>
      <c r="L26" s="200"/>
      <c r="M26" s="140"/>
    </row>
    <row r="27" spans="1:17" x14ac:dyDescent="0.2">
      <c r="K27" s="135"/>
      <c r="L27" s="200"/>
      <c r="M27" s="140"/>
    </row>
    <row r="28" spans="1:17" x14ac:dyDescent="0.2">
      <c r="K28" s="201"/>
      <c r="L28" s="200"/>
      <c r="M28" s="140"/>
    </row>
    <row r="29" spans="1:17" x14ac:dyDescent="0.2">
      <c r="K29" s="135"/>
      <c r="L29" s="200"/>
      <c r="M29" s="140"/>
    </row>
    <row r="30" spans="1:17" x14ac:dyDescent="0.2">
      <c r="K30" s="202"/>
      <c r="L30" s="202"/>
      <c r="M30" s="140"/>
    </row>
  </sheetData>
  <printOptions horizontalCentered="1"/>
  <pageMargins left="0.39370078740157483" right="0.39370078740157483" top="0.39370078740157483" bottom="0.78740157480314965" header="0" footer="0.59055118110236227"/>
  <pageSetup scale="71" orientation="landscape" r:id="rId1"/>
  <headerFooter>
    <oddFooter>&amp;L&amp;"Calibri,Regular"&amp;D&amp;C&amp;"Calibri,Regular"Page &amp;P of &amp;N&amp;R&amp;"Calibri,Regular"&amp;F
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workbookViewId="0">
      <selection activeCell="D25" sqref="D25:H27"/>
    </sheetView>
  </sheetViews>
  <sheetFormatPr defaultColWidth="9.140625" defaultRowHeight="12.75" x14ac:dyDescent="0.2"/>
  <cols>
    <col min="1" max="1" width="18.7109375" style="78" customWidth="1"/>
    <col min="2" max="2" width="9.5703125" style="79" customWidth="1"/>
    <col min="3" max="4" width="6.5703125" style="79" customWidth="1"/>
    <col min="5" max="5" width="10.140625" style="79" bestFit="1" customWidth="1"/>
    <col min="6" max="6" width="8.5703125" style="79" customWidth="1"/>
    <col min="7" max="7" width="14.140625" style="77" bestFit="1" customWidth="1"/>
    <col min="8" max="8" width="9.7109375" style="79" bestFit="1" customWidth="1"/>
    <col min="9" max="9" width="10.28515625" style="77" bestFit="1" customWidth="1"/>
    <col min="10" max="10" width="11.5703125" style="77" customWidth="1"/>
    <col min="11" max="11" width="13" style="77" bestFit="1" customWidth="1"/>
    <col min="12" max="12" width="13.28515625" style="77" customWidth="1"/>
    <col min="13" max="13" width="13.42578125" style="77" customWidth="1"/>
    <col min="14" max="14" width="12.140625" style="357" customWidth="1"/>
    <col min="15" max="15" width="13.140625" style="77" bestFit="1" customWidth="1"/>
    <col min="16" max="249" width="9.140625" style="77"/>
    <col min="250" max="250" width="10" style="77" customWidth="1"/>
    <col min="251" max="251" width="7.42578125" style="77" customWidth="1"/>
    <col min="252" max="252" width="6.42578125" style="77" customWidth="1"/>
    <col min="253" max="253" width="22.140625" style="77" customWidth="1"/>
    <col min="254" max="254" width="6.140625" style="77" customWidth="1"/>
    <col min="255" max="256" width="13.140625" style="77" customWidth="1"/>
    <col min="257" max="257" width="9.140625" style="77"/>
    <col min="258" max="258" width="12.85546875" style="77" customWidth="1"/>
    <col min="259" max="259" width="9.140625" style="77"/>
    <col min="260" max="260" width="14.42578125" style="77" customWidth="1"/>
    <col min="261" max="262" width="13.140625" style="77" customWidth="1"/>
    <col min="263" max="263" width="11.7109375" style="77" customWidth="1"/>
    <col min="264" max="264" width="14.85546875" style="77" customWidth="1"/>
    <col min="265" max="265" width="13.28515625" style="77" bestFit="1" customWidth="1"/>
    <col min="266" max="266" width="14.85546875" style="77" customWidth="1"/>
    <col min="267" max="267" width="13.28515625" style="77" bestFit="1" customWidth="1"/>
    <col min="268" max="268" width="14.85546875" style="77" customWidth="1"/>
    <col min="269" max="269" width="16.5703125" style="77" customWidth="1"/>
    <col min="270" max="270" width="18.140625" style="77" bestFit="1" customWidth="1"/>
    <col min="271" max="271" width="13.140625" style="77" bestFit="1" customWidth="1"/>
    <col min="272" max="505" width="9.140625" style="77"/>
    <col min="506" max="506" width="10" style="77" customWidth="1"/>
    <col min="507" max="507" width="7.42578125" style="77" customWidth="1"/>
    <col min="508" max="508" width="6.42578125" style="77" customWidth="1"/>
    <col min="509" max="509" width="22.140625" style="77" customWidth="1"/>
    <col min="510" max="510" width="6.140625" style="77" customWidth="1"/>
    <col min="511" max="512" width="13.140625" style="77" customWidth="1"/>
    <col min="513" max="513" width="9.140625" style="77"/>
    <col min="514" max="514" width="12.85546875" style="77" customWidth="1"/>
    <col min="515" max="515" width="9.140625" style="77"/>
    <col min="516" max="516" width="14.42578125" style="77" customWidth="1"/>
    <col min="517" max="518" width="13.140625" style="77" customWidth="1"/>
    <col min="519" max="519" width="11.7109375" style="77" customWidth="1"/>
    <col min="520" max="520" width="14.85546875" style="77" customWidth="1"/>
    <col min="521" max="521" width="13.28515625" style="77" bestFit="1" customWidth="1"/>
    <col min="522" max="522" width="14.85546875" style="77" customWidth="1"/>
    <col min="523" max="523" width="13.28515625" style="77" bestFit="1" customWidth="1"/>
    <col min="524" max="524" width="14.85546875" style="77" customWidth="1"/>
    <col min="525" max="525" width="16.5703125" style="77" customWidth="1"/>
    <col min="526" max="526" width="18.140625" style="77" bestFit="1" customWidth="1"/>
    <col min="527" max="527" width="13.140625" style="77" bestFit="1" customWidth="1"/>
    <col min="528" max="761" width="9.140625" style="77"/>
    <col min="762" max="762" width="10" style="77" customWidth="1"/>
    <col min="763" max="763" width="7.42578125" style="77" customWidth="1"/>
    <col min="764" max="764" width="6.42578125" style="77" customWidth="1"/>
    <col min="765" max="765" width="22.140625" style="77" customWidth="1"/>
    <col min="766" max="766" width="6.140625" style="77" customWidth="1"/>
    <col min="767" max="768" width="13.140625" style="77" customWidth="1"/>
    <col min="769" max="769" width="9.140625" style="77"/>
    <col min="770" max="770" width="12.85546875" style="77" customWidth="1"/>
    <col min="771" max="771" width="9.140625" style="77"/>
    <col min="772" max="772" width="14.42578125" style="77" customWidth="1"/>
    <col min="773" max="774" width="13.140625" style="77" customWidth="1"/>
    <col min="775" max="775" width="11.7109375" style="77" customWidth="1"/>
    <col min="776" max="776" width="14.85546875" style="77" customWidth="1"/>
    <col min="777" max="777" width="13.28515625" style="77" bestFit="1" customWidth="1"/>
    <col min="778" max="778" width="14.85546875" style="77" customWidth="1"/>
    <col min="779" max="779" width="13.28515625" style="77" bestFit="1" customWidth="1"/>
    <col min="780" max="780" width="14.85546875" style="77" customWidth="1"/>
    <col min="781" max="781" width="16.5703125" style="77" customWidth="1"/>
    <col min="782" max="782" width="18.140625" style="77" bestFit="1" customWidth="1"/>
    <col min="783" max="783" width="13.140625" style="77" bestFit="1" customWidth="1"/>
    <col min="784" max="1017" width="9.140625" style="77"/>
    <col min="1018" max="1018" width="10" style="77" customWidth="1"/>
    <col min="1019" max="1019" width="7.42578125" style="77" customWidth="1"/>
    <col min="1020" max="1020" width="6.42578125" style="77" customWidth="1"/>
    <col min="1021" max="1021" width="22.140625" style="77" customWidth="1"/>
    <col min="1022" max="1022" width="6.140625" style="77" customWidth="1"/>
    <col min="1023" max="1024" width="13.140625" style="77" customWidth="1"/>
    <col min="1025" max="1025" width="9.140625" style="77"/>
    <col min="1026" max="1026" width="12.85546875" style="77" customWidth="1"/>
    <col min="1027" max="1027" width="9.140625" style="77"/>
    <col min="1028" max="1028" width="14.42578125" style="77" customWidth="1"/>
    <col min="1029" max="1030" width="13.140625" style="77" customWidth="1"/>
    <col min="1031" max="1031" width="11.7109375" style="77" customWidth="1"/>
    <col min="1032" max="1032" width="14.85546875" style="77" customWidth="1"/>
    <col min="1033" max="1033" width="13.28515625" style="77" bestFit="1" customWidth="1"/>
    <col min="1034" max="1034" width="14.85546875" style="77" customWidth="1"/>
    <col min="1035" max="1035" width="13.28515625" style="77" bestFit="1" customWidth="1"/>
    <col min="1036" max="1036" width="14.85546875" style="77" customWidth="1"/>
    <col min="1037" max="1037" width="16.5703125" style="77" customWidth="1"/>
    <col min="1038" max="1038" width="18.140625" style="77" bestFit="1" customWidth="1"/>
    <col min="1039" max="1039" width="13.140625" style="77" bestFit="1" customWidth="1"/>
    <col min="1040" max="1273" width="9.140625" style="77"/>
    <col min="1274" max="1274" width="10" style="77" customWidth="1"/>
    <col min="1275" max="1275" width="7.42578125" style="77" customWidth="1"/>
    <col min="1276" max="1276" width="6.42578125" style="77" customWidth="1"/>
    <col min="1277" max="1277" width="22.140625" style="77" customWidth="1"/>
    <col min="1278" max="1278" width="6.140625" style="77" customWidth="1"/>
    <col min="1279" max="1280" width="13.140625" style="77" customWidth="1"/>
    <col min="1281" max="1281" width="9.140625" style="77"/>
    <col min="1282" max="1282" width="12.85546875" style="77" customWidth="1"/>
    <col min="1283" max="1283" width="9.140625" style="77"/>
    <col min="1284" max="1284" width="14.42578125" style="77" customWidth="1"/>
    <col min="1285" max="1286" width="13.140625" style="77" customWidth="1"/>
    <col min="1287" max="1287" width="11.7109375" style="77" customWidth="1"/>
    <col min="1288" max="1288" width="14.85546875" style="77" customWidth="1"/>
    <col min="1289" max="1289" width="13.28515625" style="77" bestFit="1" customWidth="1"/>
    <col min="1290" max="1290" width="14.85546875" style="77" customWidth="1"/>
    <col min="1291" max="1291" width="13.28515625" style="77" bestFit="1" customWidth="1"/>
    <col min="1292" max="1292" width="14.85546875" style="77" customWidth="1"/>
    <col min="1293" max="1293" width="16.5703125" style="77" customWidth="1"/>
    <col min="1294" max="1294" width="18.140625" style="77" bestFit="1" customWidth="1"/>
    <col min="1295" max="1295" width="13.140625" style="77" bestFit="1" customWidth="1"/>
    <col min="1296" max="1529" width="9.140625" style="77"/>
    <col min="1530" max="1530" width="10" style="77" customWidth="1"/>
    <col min="1531" max="1531" width="7.42578125" style="77" customWidth="1"/>
    <col min="1532" max="1532" width="6.42578125" style="77" customWidth="1"/>
    <col min="1533" max="1533" width="22.140625" style="77" customWidth="1"/>
    <col min="1534" max="1534" width="6.140625" style="77" customWidth="1"/>
    <col min="1535" max="1536" width="13.140625" style="77" customWidth="1"/>
    <col min="1537" max="1537" width="9.140625" style="77"/>
    <col min="1538" max="1538" width="12.85546875" style="77" customWidth="1"/>
    <col min="1539" max="1539" width="9.140625" style="77"/>
    <col min="1540" max="1540" width="14.42578125" style="77" customWidth="1"/>
    <col min="1541" max="1542" width="13.140625" style="77" customWidth="1"/>
    <col min="1543" max="1543" width="11.7109375" style="77" customWidth="1"/>
    <col min="1544" max="1544" width="14.85546875" style="77" customWidth="1"/>
    <col min="1545" max="1545" width="13.28515625" style="77" bestFit="1" customWidth="1"/>
    <col min="1546" max="1546" width="14.85546875" style="77" customWidth="1"/>
    <col min="1547" max="1547" width="13.28515625" style="77" bestFit="1" customWidth="1"/>
    <col min="1548" max="1548" width="14.85546875" style="77" customWidth="1"/>
    <col min="1549" max="1549" width="16.5703125" style="77" customWidth="1"/>
    <col min="1550" max="1550" width="18.140625" style="77" bestFit="1" customWidth="1"/>
    <col min="1551" max="1551" width="13.140625" style="77" bestFit="1" customWidth="1"/>
    <col min="1552" max="1785" width="9.140625" style="77"/>
    <col min="1786" max="1786" width="10" style="77" customWidth="1"/>
    <col min="1787" max="1787" width="7.42578125" style="77" customWidth="1"/>
    <col min="1788" max="1788" width="6.42578125" style="77" customWidth="1"/>
    <col min="1789" max="1789" width="22.140625" style="77" customWidth="1"/>
    <col min="1790" max="1790" width="6.140625" style="77" customWidth="1"/>
    <col min="1791" max="1792" width="13.140625" style="77" customWidth="1"/>
    <col min="1793" max="1793" width="9.140625" style="77"/>
    <col min="1794" max="1794" width="12.85546875" style="77" customWidth="1"/>
    <col min="1795" max="1795" width="9.140625" style="77"/>
    <col min="1796" max="1796" width="14.42578125" style="77" customWidth="1"/>
    <col min="1797" max="1798" width="13.140625" style="77" customWidth="1"/>
    <col min="1799" max="1799" width="11.7109375" style="77" customWidth="1"/>
    <col min="1800" max="1800" width="14.85546875" style="77" customWidth="1"/>
    <col min="1801" max="1801" width="13.28515625" style="77" bestFit="1" customWidth="1"/>
    <col min="1802" max="1802" width="14.85546875" style="77" customWidth="1"/>
    <col min="1803" max="1803" width="13.28515625" style="77" bestFit="1" customWidth="1"/>
    <col min="1804" max="1804" width="14.85546875" style="77" customWidth="1"/>
    <col min="1805" max="1805" width="16.5703125" style="77" customWidth="1"/>
    <col min="1806" max="1806" width="18.140625" style="77" bestFit="1" customWidth="1"/>
    <col min="1807" max="1807" width="13.140625" style="77" bestFit="1" customWidth="1"/>
    <col min="1808" max="2041" width="9.140625" style="77"/>
    <col min="2042" max="2042" width="10" style="77" customWidth="1"/>
    <col min="2043" max="2043" width="7.42578125" style="77" customWidth="1"/>
    <col min="2044" max="2044" width="6.42578125" style="77" customWidth="1"/>
    <col min="2045" max="2045" width="22.140625" style="77" customWidth="1"/>
    <col min="2046" max="2046" width="6.140625" style="77" customWidth="1"/>
    <col min="2047" max="2048" width="13.140625" style="77" customWidth="1"/>
    <col min="2049" max="2049" width="9.140625" style="77"/>
    <col min="2050" max="2050" width="12.85546875" style="77" customWidth="1"/>
    <col min="2051" max="2051" width="9.140625" style="77"/>
    <col min="2052" max="2052" width="14.42578125" style="77" customWidth="1"/>
    <col min="2053" max="2054" width="13.140625" style="77" customWidth="1"/>
    <col min="2055" max="2055" width="11.7109375" style="77" customWidth="1"/>
    <col min="2056" max="2056" width="14.85546875" style="77" customWidth="1"/>
    <col min="2057" max="2057" width="13.28515625" style="77" bestFit="1" customWidth="1"/>
    <col min="2058" max="2058" width="14.85546875" style="77" customWidth="1"/>
    <col min="2059" max="2059" width="13.28515625" style="77" bestFit="1" customWidth="1"/>
    <col min="2060" max="2060" width="14.85546875" style="77" customWidth="1"/>
    <col min="2061" max="2061" width="16.5703125" style="77" customWidth="1"/>
    <col min="2062" max="2062" width="18.140625" style="77" bestFit="1" customWidth="1"/>
    <col min="2063" max="2063" width="13.140625" style="77" bestFit="1" customWidth="1"/>
    <col min="2064" max="2297" width="9.140625" style="77"/>
    <col min="2298" max="2298" width="10" style="77" customWidth="1"/>
    <col min="2299" max="2299" width="7.42578125" style="77" customWidth="1"/>
    <col min="2300" max="2300" width="6.42578125" style="77" customWidth="1"/>
    <col min="2301" max="2301" width="22.140625" style="77" customWidth="1"/>
    <col min="2302" max="2302" width="6.140625" style="77" customWidth="1"/>
    <col min="2303" max="2304" width="13.140625" style="77" customWidth="1"/>
    <col min="2305" max="2305" width="9.140625" style="77"/>
    <col min="2306" max="2306" width="12.85546875" style="77" customWidth="1"/>
    <col min="2307" max="2307" width="9.140625" style="77"/>
    <col min="2308" max="2308" width="14.42578125" style="77" customWidth="1"/>
    <col min="2309" max="2310" width="13.140625" style="77" customWidth="1"/>
    <col min="2311" max="2311" width="11.7109375" style="77" customWidth="1"/>
    <col min="2312" max="2312" width="14.85546875" style="77" customWidth="1"/>
    <col min="2313" max="2313" width="13.28515625" style="77" bestFit="1" customWidth="1"/>
    <col min="2314" max="2314" width="14.85546875" style="77" customWidth="1"/>
    <col min="2315" max="2315" width="13.28515625" style="77" bestFit="1" customWidth="1"/>
    <col min="2316" max="2316" width="14.85546875" style="77" customWidth="1"/>
    <col min="2317" max="2317" width="16.5703125" style="77" customWidth="1"/>
    <col min="2318" max="2318" width="18.140625" style="77" bestFit="1" customWidth="1"/>
    <col min="2319" max="2319" width="13.140625" style="77" bestFit="1" customWidth="1"/>
    <col min="2320" max="2553" width="9.140625" style="77"/>
    <col min="2554" max="2554" width="10" style="77" customWidth="1"/>
    <col min="2555" max="2555" width="7.42578125" style="77" customWidth="1"/>
    <col min="2556" max="2556" width="6.42578125" style="77" customWidth="1"/>
    <col min="2557" max="2557" width="22.140625" style="77" customWidth="1"/>
    <col min="2558" max="2558" width="6.140625" style="77" customWidth="1"/>
    <col min="2559" max="2560" width="13.140625" style="77" customWidth="1"/>
    <col min="2561" max="2561" width="9.140625" style="77"/>
    <col min="2562" max="2562" width="12.85546875" style="77" customWidth="1"/>
    <col min="2563" max="2563" width="9.140625" style="77"/>
    <col min="2564" max="2564" width="14.42578125" style="77" customWidth="1"/>
    <col min="2565" max="2566" width="13.140625" style="77" customWidth="1"/>
    <col min="2567" max="2567" width="11.7109375" style="77" customWidth="1"/>
    <col min="2568" max="2568" width="14.85546875" style="77" customWidth="1"/>
    <col min="2569" max="2569" width="13.28515625" style="77" bestFit="1" customWidth="1"/>
    <col min="2570" max="2570" width="14.85546875" style="77" customWidth="1"/>
    <col min="2571" max="2571" width="13.28515625" style="77" bestFit="1" customWidth="1"/>
    <col min="2572" max="2572" width="14.85546875" style="77" customWidth="1"/>
    <col min="2573" max="2573" width="16.5703125" style="77" customWidth="1"/>
    <col min="2574" max="2574" width="18.140625" style="77" bestFit="1" customWidth="1"/>
    <col min="2575" max="2575" width="13.140625" style="77" bestFit="1" customWidth="1"/>
    <col min="2576" max="2809" width="9.140625" style="77"/>
    <col min="2810" max="2810" width="10" style="77" customWidth="1"/>
    <col min="2811" max="2811" width="7.42578125" style="77" customWidth="1"/>
    <col min="2812" max="2812" width="6.42578125" style="77" customWidth="1"/>
    <col min="2813" max="2813" width="22.140625" style="77" customWidth="1"/>
    <col min="2814" max="2814" width="6.140625" style="77" customWidth="1"/>
    <col min="2815" max="2816" width="13.140625" style="77" customWidth="1"/>
    <col min="2817" max="2817" width="9.140625" style="77"/>
    <col min="2818" max="2818" width="12.85546875" style="77" customWidth="1"/>
    <col min="2819" max="2819" width="9.140625" style="77"/>
    <col min="2820" max="2820" width="14.42578125" style="77" customWidth="1"/>
    <col min="2821" max="2822" width="13.140625" style="77" customWidth="1"/>
    <col min="2823" max="2823" width="11.7109375" style="77" customWidth="1"/>
    <col min="2824" max="2824" width="14.85546875" style="77" customWidth="1"/>
    <col min="2825" max="2825" width="13.28515625" style="77" bestFit="1" customWidth="1"/>
    <col min="2826" max="2826" width="14.85546875" style="77" customWidth="1"/>
    <col min="2827" max="2827" width="13.28515625" style="77" bestFit="1" customWidth="1"/>
    <col min="2828" max="2828" width="14.85546875" style="77" customWidth="1"/>
    <col min="2829" max="2829" width="16.5703125" style="77" customWidth="1"/>
    <col min="2830" max="2830" width="18.140625" style="77" bestFit="1" customWidth="1"/>
    <col min="2831" max="2831" width="13.140625" style="77" bestFit="1" customWidth="1"/>
    <col min="2832" max="3065" width="9.140625" style="77"/>
    <col min="3066" max="3066" width="10" style="77" customWidth="1"/>
    <col min="3067" max="3067" width="7.42578125" style="77" customWidth="1"/>
    <col min="3068" max="3068" width="6.42578125" style="77" customWidth="1"/>
    <col min="3069" max="3069" width="22.140625" style="77" customWidth="1"/>
    <col min="3070" max="3070" width="6.140625" style="77" customWidth="1"/>
    <col min="3071" max="3072" width="13.140625" style="77" customWidth="1"/>
    <col min="3073" max="3073" width="9.140625" style="77"/>
    <col min="3074" max="3074" width="12.85546875" style="77" customWidth="1"/>
    <col min="3075" max="3075" width="9.140625" style="77"/>
    <col min="3076" max="3076" width="14.42578125" style="77" customWidth="1"/>
    <col min="3077" max="3078" width="13.140625" style="77" customWidth="1"/>
    <col min="3079" max="3079" width="11.7109375" style="77" customWidth="1"/>
    <col min="3080" max="3080" width="14.85546875" style="77" customWidth="1"/>
    <col min="3081" max="3081" width="13.28515625" style="77" bestFit="1" customWidth="1"/>
    <col min="3082" max="3082" width="14.85546875" style="77" customWidth="1"/>
    <col min="3083" max="3083" width="13.28515625" style="77" bestFit="1" customWidth="1"/>
    <col min="3084" max="3084" width="14.85546875" style="77" customWidth="1"/>
    <col min="3085" max="3085" width="16.5703125" style="77" customWidth="1"/>
    <col min="3086" max="3086" width="18.140625" style="77" bestFit="1" customWidth="1"/>
    <col min="3087" max="3087" width="13.140625" style="77" bestFit="1" customWidth="1"/>
    <col min="3088" max="3321" width="9.140625" style="77"/>
    <col min="3322" max="3322" width="10" style="77" customWidth="1"/>
    <col min="3323" max="3323" width="7.42578125" style="77" customWidth="1"/>
    <col min="3324" max="3324" width="6.42578125" style="77" customWidth="1"/>
    <col min="3325" max="3325" width="22.140625" style="77" customWidth="1"/>
    <col min="3326" max="3326" width="6.140625" style="77" customWidth="1"/>
    <col min="3327" max="3328" width="13.140625" style="77" customWidth="1"/>
    <col min="3329" max="3329" width="9.140625" style="77"/>
    <col min="3330" max="3330" width="12.85546875" style="77" customWidth="1"/>
    <col min="3331" max="3331" width="9.140625" style="77"/>
    <col min="3332" max="3332" width="14.42578125" style="77" customWidth="1"/>
    <col min="3333" max="3334" width="13.140625" style="77" customWidth="1"/>
    <col min="3335" max="3335" width="11.7109375" style="77" customWidth="1"/>
    <col min="3336" max="3336" width="14.85546875" style="77" customWidth="1"/>
    <col min="3337" max="3337" width="13.28515625" style="77" bestFit="1" customWidth="1"/>
    <col min="3338" max="3338" width="14.85546875" style="77" customWidth="1"/>
    <col min="3339" max="3339" width="13.28515625" style="77" bestFit="1" customWidth="1"/>
    <col min="3340" max="3340" width="14.85546875" style="77" customWidth="1"/>
    <col min="3341" max="3341" width="16.5703125" style="77" customWidth="1"/>
    <col min="3342" max="3342" width="18.140625" style="77" bestFit="1" customWidth="1"/>
    <col min="3343" max="3343" width="13.140625" style="77" bestFit="1" customWidth="1"/>
    <col min="3344" max="3577" width="9.140625" style="77"/>
    <col min="3578" max="3578" width="10" style="77" customWidth="1"/>
    <col min="3579" max="3579" width="7.42578125" style="77" customWidth="1"/>
    <col min="3580" max="3580" width="6.42578125" style="77" customWidth="1"/>
    <col min="3581" max="3581" width="22.140625" style="77" customWidth="1"/>
    <col min="3582" max="3582" width="6.140625" style="77" customWidth="1"/>
    <col min="3583" max="3584" width="13.140625" style="77" customWidth="1"/>
    <col min="3585" max="3585" width="9.140625" style="77"/>
    <col min="3586" max="3586" width="12.85546875" style="77" customWidth="1"/>
    <col min="3587" max="3587" width="9.140625" style="77"/>
    <col min="3588" max="3588" width="14.42578125" style="77" customWidth="1"/>
    <col min="3589" max="3590" width="13.140625" style="77" customWidth="1"/>
    <col min="3591" max="3591" width="11.7109375" style="77" customWidth="1"/>
    <col min="3592" max="3592" width="14.85546875" style="77" customWidth="1"/>
    <col min="3593" max="3593" width="13.28515625" style="77" bestFit="1" customWidth="1"/>
    <col min="3594" max="3594" width="14.85546875" style="77" customWidth="1"/>
    <col min="3595" max="3595" width="13.28515625" style="77" bestFit="1" customWidth="1"/>
    <col min="3596" max="3596" width="14.85546875" style="77" customWidth="1"/>
    <col min="3597" max="3597" width="16.5703125" style="77" customWidth="1"/>
    <col min="3598" max="3598" width="18.140625" style="77" bestFit="1" customWidth="1"/>
    <col min="3599" max="3599" width="13.140625" style="77" bestFit="1" customWidth="1"/>
    <col min="3600" max="3833" width="9.140625" style="77"/>
    <col min="3834" max="3834" width="10" style="77" customWidth="1"/>
    <col min="3835" max="3835" width="7.42578125" style="77" customWidth="1"/>
    <col min="3836" max="3836" width="6.42578125" style="77" customWidth="1"/>
    <col min="3837" max="3837" width="22.140625" style="77" customWidth="1"/>
    <col min="3838" max="3838" width="6.140625" style="77" customWidth="1"/>
    <col min="3839" max="3840" width="13.140625" style="77" customWidth="1"/>
    <col min="3841" max="3841" width="9.140625" style="77"/>
    <col min="3842" max="3842" width="12.85546875" style="77" customWidth="1"/>
    <col min="3843" max="3843" width="9.140625" style="77"/>
    <col min="3844" max="3844" width="14.42578125" style="77" customWidth="1"/>
    <col min="3845" max="3846" width="13.140625" style="77" customWidth="1"/>
    <col min="3847" max="3847" width="11.7109375" style="77" customWidth="1"/>
    <col min="3848" max="3848" width="14.85546875" style="77" customWidth="1"/>
    <col min="3849" max="3849" width="13.28515625" style="77" bestFit="1" customWidth="1"/>
    <col min="3850" max="3850" width="14.85546875" style="77" customWidth="1"/>
    <col min="3851" max="3851" width="13.28515625" style="77" bestFit="1" customWidth="1"/>
    <col min="3852" max="3852" width="14.85546875" style="77" customWidth="1"/>
    <col min="3853" max="3853" width="16.5703125" style="77" customWidth="1"/>
    <col min="3854" max="3854" width="18.140625" style="77" bestFit="1" customWidth="1"/>
    <col min="3855" max="3855" width="13.140625" style="77" bestFit="1" customWidth="1"/>
    <col min="3856" max="4089" width="9.140625" style="77"/>
    <col min="4090" max="4090" width="10" style="77" customWidth="1"/>
    <col min="4091" max="4091" width="7.42578125" style="77" customWidth="1"/>
    <col min="4092" max="4092" width="6.42578125" style="77" customWidth="1"/>
    <col min="4093" max="4093" width="22.140625" style="77" customWidth="1"/>
    <col min="4094" max="4094" width="6.140625" style="77" customWidth="1"/>
    <col min="4095" max="4096" width="13.140625" style="77" customWidth="1"/>
    <col min="4097" max="4097" width="9.140625" style="77"/>
    <col min="4098" max="4098" width="12.85546875" style="77" customWidth="1"/>
    <col min="4099" max="4099" width="9.140625" style="77"/>
    <col min="4100" max="4100" width="14.42578125" style="77" customWidth="1"/>
    <col min="4101" max="4102" width="13.140625" style="77" customWidth="1"/>
    <col min="4103" max="4103" width="11.7109375" style="77" customWidth="1"/>
    <col min="4104" max="4104" width="14.85546875" style="77" customWidth="1"/>
    <col min="4105" max="4105" width="13.28515625" style="77" bestFit="1" customWidth="1"/>
    <col min="4106" max="4106" width="14.85546875" style="77" customWidth="1"/>
    <col min="4107" max="4107" width="13.28515625" style="77" bestFit="1" customWidth="1"/>
    <col min="4108" max="4108" width="14.85546875" style="77" customWidth="1"/>
    <col min="4109" max="4109" width="16.5703125" style="77" customWidth="1"/>
    <col min="4110" max="4110" width="18.140625" style="77" bestFit="1" customWidth="1"/>
    <col min="4111" max="4111" width="13.140625" style="77" bestFit="1" customWidth="1"/>
    <col min="4112" max="4345" width="9.140625" style="77"/>
    <col min="4346" max="4346" width="10" style="77" customWidth="1"/>
    <col min="4347" max="4347" width="7.42578125" style="77" customWidth="1"/>
    <col min="4348" max="4348" width="6.42578125" style="77" customWidth="1"/>
    <col min="4349" max="4349" width="22.140625" style="77" customWidth="1"/>
    <col min="4350" max="4350" width="6.140625" style="77" customWidth="1"/>
    <col min="4351" max="4352" width="13.140625" style="77" customWidth="1"/>
    <col min="4353" max="4353" width="9.140625" style="77"/>
    <col min="4354" max="4354" width="12.85546875" style="77" customWidth="1"/>
    <col min="4355" max="4355" width="9.140625" style="77"/>
    <col min="4356" max="4356" width="14.42578125" style="77" customWidth="1"/>
    <col min="4357" max="4358" width="13.140625" style="77" customWidth="1"/>
    <col min="4359" max="4359" width="11.7109375" style="77" customWidth="1"/>
    <col min="4360" max="4360" width="14.85546875" style="77" customWidth="1"/>
    <col min="4361" max="4361" width="13.28515625" style="77" bestFit="1" customWidth="1"/>
    <col min="4362" max="4362" width="14.85546875" style="77" customWidth="1"/>
    <col min="4363" max="4363" width="13.28515625" style="77" bestFit="1" customWidth="1"/>
    <col min="4364" max="4364" width="14.85546875" style="77" customWidth="1"/>
    <col min="4365" max="4365" width="16.5703125" style="77" customWidth="1"/>
    <col min="4366" max="4366" width="18.140625" style="77" bestFit="1" customWidth="1"/>
    <col min="4367" max="4367" width="13.140625" style="77" bestFit="1" customWidth="1"/>
    <col min="4368" max="4601" width="9.140625" style="77"/>
    <col min="4602" max="4602" width="10" style="77" customWidth="1"/>
    <col min="4603" max="4603" width="7.42578125" style="77" customWidth="1"/>
    <col min="4604" max="4604" width="6.42578125" style="77" customWidth="1"/>
    <col min="4605" max="4605" width="22.140625" style="77" customWidth="1"/>
    <col min="4606" max="4606" width="6.140625" style="77" customWidth="1"/>
    <col min="4607" max="4608" width="13.140625" style="77" customWidth="1"/>
    <col min="4609" max="4609" width="9.140625" style="77"/>
    <col min="4610" max="4610" width="12.85546875" style="77" customWidth="1"/>
    <col min="4611" max="4611" width="9.140625" style="77"/>
    <col min="4612" max="4612" width="14.42578125" style="77" customWidth="1"/>
    <col min="4613" max="4614" width="13.140625" style="77" customWidth="1"/>
    <col min="4615" max="4615" width="11.7109375" style="77" customWidth="1"/>
    <col min="4616" max="4616" width="14.85546875" style="77" customWidth="1"/>
    <col min="4617" max="4617" width="13.28515625" style="77" bestFit="1" customWidth="1"/>
    <col min="4618" max="4618" width="14.85546875" style="77" customWidth="1"/>
    <col min="4619" max="4619" width="13.28515625" style="77" bestFit="1" customWidth="1"/>
    <col min="4620" max="4620" width="14.85546875" style="77" customWidth="1"/>
    <col min="4621" max="4621" width="16.5703125" style="77" customWidth="1"/>
    <col min="4622" max="4622" width="18.140625" style="77" bestFit="1" customWidth="1"/>
    <col min="4623" max="4623" width="13.140625" style="77" bestFit="1" customWidth="1"/>
    <col min="4624" max="4857" width="9.140625" style="77"/>
    <col min="4858" max="4858" width="10" style="77" customWidth="1"/>
    <col min="4859" max="4859" width="7.42578125" style="77" customWidth="1"/>
    <col min="4860" max="4860" width="6.42578125" style="77" customWidth="1"/>
    <col min="4861" max="4861" width="22.140625" style="77" customWidth="1"/>
    <col min="4862" max="4862" width="6.140625" style="77" customWidth="1"/>
    <col min="4863" max="4864" width="13.140625" style="77" customWidth="1"/>
    <col min="4865" max="4865" width="9.140625" style="77"/>
    <col min="4866" max="4866" width="12.85546875" style="77" customWidth="1"/>
    <col min="4867" max="4867" width="9.140625" style="77"/>
    <col min="4868" max="4868" width="14.42578125" style="77" customWidth="1"/>
    <col min="4869" max="4870" width="13.140625" style="77" customWidth="1"/>
    <col min="4871" max="4871" width="11.7109375" style="77" customWidth="1"/>
    <col min="4872" max="4872" width="14.85546875" style="77" customWidth="1"/>
    <col min="4873" max="4873" width="13.28515625" style="77" bestFit="1" customWidth="1"/>
    <col min="4874" max="4874" width="14.85546875" style="77" customWidth="1"/>
    <col min="4875" max="4875" width="13.28515625" style="77" bestFit="1" customWidth="1"/>
    <col min="4876" max="4876" width="14.85546875" style="77" customWidth="1"/>
    <col min="4877" max="4877" width="16.5703125" style="77" customWidth="1"/>
    <col min="4878" max="4878" width="18.140625" style="77" bestFit="1" customWidth="1"/>
    <col min="4879" max="4879" width="13.140625" style="77" bestFit="1" customWidth="1"/>
    <col min="4880" max="5113" width="9.140625" style="77"/>
    <col min="5114" max="5114" width="10" style="77" customWidth="1"/>
    <col min="5115" max="5115" width="7.42578125" style="77" customWidth="1"/>
    <col min="5116" max="5116" width="6.42578125" style="77" customWidth="1"/>
    <col min="5117" max="5117" width="22.140625" style="77" customWidth="1"/>
    <col min="5118" max="5118" width="6.140625" style="77" customWidth="1"/>
    <col min="5119" max="5120" width="13.140625" style="77" customWidth="1"/>
    <col min="5121" max="5121" width="9.140625" style="77"/>
    <col min="5122" max="5122" width="12.85546875" style="77" customWidth="1"/>
    <col min="5123" max="5123" width="9.140625" style="77"/>
    <col min="5124" max="5124" width="14.42578125" style="77" customWidth="1"/>
    <col min="5125" max="5126" width="13.140625" style="77" customWidth="1"/>
    <col min="5127" max="5127" width="11.7109375" style="77" customWidth="1"/>
    <col min="5128" max="5128" width="14.85546875" style="77" customWidth="1"/>
    <col min="5129" max="5129" width="13.28515625" style="77" bestFit="1" customWidth="1"/>
    <col min="5130" max="5130" width="14.85546875" style="77" customWidth="1"/>
    <col min="5131" max="5131" width="13.28515625" style="77" bestFit="1" customWidth="1"/>
    <col min="5132" max="5132" width="14.85546875" style="77" customWidth="1"/>
    <col min="5133" max="5133" width="16.5703125" style="77" customWidth="1"/>
    <col min="5134" max="5134" width="18.140625" style="77" bestFit="1" customWidth="1"/>
    <col min="5135" max="5135" width="13.140625" style="77" bestFit="1" customWidth="1"/>
    <col min="5136" max="5369" width="9.140625" style="77"/>
    <col min="5370" max="5370" width="10" style="77" customWidth="1"/>
    <col min="5371" max="5371" width="7.42578125" style="77" customWidth="1"/>
    <col min="5372" max="5372" width="6.42578125" style="77" customWidth="1"/>
    <col min="5373" max="5373" width="22.140625" style="77" customWidth="1"/>
    <col min="5374" max="5374" width="6.140625" style="77" customWidth="1"/>
    <col min="5375" max="5376" width="13.140625" style="77" customWidth="1"/>
    <col min="5377" max="5377" width="9.140625" style="77"/>
    <col min="5378" max="5378" width="12.85546875" style="77" customWidth="1"/>
    <col min="5379" max="5379" width="9.140625" style="77"/>
    <col min="5380" max="5380" width="14.42578125" style="77" customWidth="1"/>
    <col min="5381" max="5382" width="13.140625" style="77" customWidth="1"/>
    <col min="5383" max="5383" width="11.7109375" style="77" customWidth="1"/>
    <col min="5384" max="5384" width="14.85546875" style="77" customWidth="1"/>
    <col min="5385" max="5385" width="13.28515625" style="77" bestFit="1" customWidth="1"/>
    <col min="5386" max="5386" width="14.85546875" style="77" customWidth="1"/>
    <col min="5387" max="5387" width="13.28515625" style="77" bestFit="1" customWidth="1"/>
    <col min="5388" max="5388" width="14.85546875" style="77" customWidth="1"/>
    <col min="5389" max="5389" width="16.5703125" style="77" customWidth="1"/>
    <col min="5390" max="5390" width="18.140625" style="77" bestFit="1" customWidth="1"/>
    <col min="5391" max="5391" width="13.140625" style="77" bestFit="1" customWidth="1"/>
    <col min="5392" max="5625" width="9.140625" style="77"/>
    <col min="5626" max="5626" width="10" style="77" customWidth="1"/>
    <col min="5627" max="5627" width="7.42578125" style="77" customWidth="1"/>
    <col min="5628" max="5628" width="6.42578125" style="77" customWidth="1"/>
    <col min="5629" max="5629" width="22.140625" style="77" customWidth="1"/>
    <col min="5630" max="5630" width="6.140625" style="77" customWidth="1"/>
    <col min="5631" max="5632" width="13.140625" style="77" customWidth="1"/>
    <col min="5633" max="5633" width="9.140625" style="77"/>
    <col min="5634" max="5634" width="12.85546875" style="77" customWidth="1"/>
    <col min="5635" max="5635" width="9.140625" style="77"/>
    <col min="5636" max="5636" width="14.42578125" style="77" customWidth="1"/>
    <col min="5637" max="5638" width="13.140625" style="77" customWidth="1"/>
    <col min="5639" max="5639" width="11.7109375" style="77" customWidth="1"/>
    <col min="5640" max="5640" width="14.85546875" style="77" customWidth="1"/>
    <col min="5641" max="5641" width="13.28515625" style="77" bestFit="1" customWidth="1"/>
    <col min="5642" max="5642" width="14.85546875" style="77" customWidth="1"/>
    <col min="5643" max="5643" width="13.28515625" style="77" bestFit="1" customWidth="1"/>
    <col min="5644" max="5644" width="14.85546875" style="77" customWidth="1"/>
    <col min="5645" max="5645" width="16.5703125" style="77" customWidth="1"/>
    <col min="5646" max="5646" width="18.140625" style="77" bestFit="1" customWidth="1"/>
    <col min="5647" max="5647" width="13.140625" style="77" bestFit="1" customWidth="1"/>
    <col min="5648" max="5881" width="9.140625" style="77"/>
    <col min="5882" max="5882" width="10" style="77" customWidth="1"/>
    <col min="5883" max="5883" width="7.42578125" style="77" customWidth="1"/>
    <col min="5884" max="5884" width="6.42578125" style="77" customWidth="1"/>
    <col min="5885" max="5885" width="22.140625" style="77" customWidth="1"/>
    <col min="5886" max="5886" width="6.140625" style="77" customWidth="1"/>
    <col min="5887" max="5888" width="13.140625" style="77" customWidth="1"/>
    <col min="5889" max="5889" width="9.140625" style="77"/>
    <col min="5890" max="5890" width="12.85546875" style="77" customWidth="1"/>
    <col min="5891" max="5891" width="9.140625" style="77"/>
    <col min="5892" max="5892" width="14.42578125" style="77" customWidth="1"/>
    <col min="5893" max="5894" width="13.140625" style="77" customWidth="1"/>
    <col min="5895" max="5895" width="11.7109375" style="77" customWidth="1"/>
    <col min="5896" max="5896" width="14.85546875" style="77" customWidth="1"/>
    <col min="5897" max="5897" width="13.28515625" style="77" bestFit="1" customWidth="1"/>
    <col min="5898" max="5898" width="14.85546875" style="77" customWidth="1"/>
    <col min="5899" max="5899" width="13.28515625" style="77" bestFit="1" customWidth="1"/>
    <col min="5900" max="5900" width="14.85546875" style="77" customWidth="1"/>
    <col min="5901" max="5901" width="16.5703125" style="77" customWidth="1"/>
    <col min="5902" max="5902" width="18.140625" style="77" bestFit="1" customWidth="1"/>
    <col min="5903" max="5903" width="13.140625" style="77" bestFit="1" customWidth="1"/>
    <col min="5904" max="6137" width="9.140625" style="77"/>
    <col min="6138" max="6138" width="10" style="77" customWidth="1"/>
    <col min="6139" max="6139" width="7.42578125" style="77" customWidth="1"/>
    <col min="6140" max="6140" width="6.42578125" style="77" customWidth="1"/>
    <col min="6141" max="6141" width="22.140625" style="77" customWidth="1"/>
    <col min="6142" max="6142" width="6.140625" style="77" customWidth="1"/>
    <col min="6143" max="6144" width="13.140625" style="77" customWidth="1"/>
    <col min="6145" max="6145" width="9.140625" style="77"/>
    <col min="6146" max="6146" width="12.85546875" style="77" customWidth="1"/>
    <col min="6147" max="6147" width="9.140625" style="77"/>
    <col min="6148" max="6148" width="14.42578125" style="77" customWidth="1"/>
    <col min="6149" max="6150" width="13.140625" style="77" customWidth="1"/>
    <col min="6151" max="6151" width="11.7109375" style="77" customWidth="1"/>
    <col min="6152" max="6152" width="14.85546875" style="77" customWidth="1"/>
    <col min="6153" max="6153" width="13.28515625" style="77" bestFit="1" customWidth="1"/>
    <col min="6154" max="6154" width="14.85546875" style="77" customWidth="1"/>
    <col min="6155" max="6155" width="13.28515625" style="77" bestFit="1" customWidth="1"/>
    <col min="6156" max="6156" width="14.85546875" style="77" customWidth="1"/>
    <col min="6157" max="6157" width="16.5703125" style="77" customWidth="1"/>
    <col min="6158" max="6158" width="18.140625" style="77" bestFit="1" customWidth="1"/>
    <col min="6159" max="6159" width="13.140625" style="77" bestFit="1" customWidth="1"/>
    <col min="6160" max="6393" width="9.140625" style="77"/>
    <col min="6394" max="6394" width="10" style="77" customWidth="1"/>
    <col min="6395" max="6395" width="7.42578125" style="77" customWidth="1"/>
    <col min="6396" max="6396" width="6.42578125" style="77" customWidth="1"/>
    <col min="6397" max="6397" width="22.140625" style="77" customWidth="1"/>
    <col min="6398" max="6398" width="6.140625" style="77" customWidth="1"/>
    <col min="6399" max="6400" width="13.140625" style="77" customWidth="1"/>
    <col min="6401" max="6401" width="9.140625" style="77"/>
    <col min="6402" max="6402" width="12.85546875" style="77" customWidth="1"/>
    <col min="6403" max="6403" width="9.140625" style="77"/>
    <col min="6404" max="6404" width="14.42578125" style="77" customWidth="1"/>
    <col min="6405" max="6406" width="13.140625" style="77" customWidth="1"/>
    <col min="6407" max="6407" width="11.7109375" style="77" customWidth="1"/>
    <col min="6408" max="6408" width="14.85546875" style="77" customWidth="1"/>
    <col min="6409" max="6409" width="13.28515625" style="77" bestFit="1" customWidth="1"/>
    <col min="6410" max="6410" width="14.85546875" style="77" customWidth="1"/>
    <col min="6411" max="6411" width="13.28515625" style="77" bestFit="1" customWidth="1"/>
    <col min="6412" max="6412" width="14.85546875" style="77" customWidth="1"/>
    <col min="6413" max="6413" width="16.5703125" style="77" customWidth="1"/>
    <col min="6414" max="6414" width="18.140625" style="77" bestFit="1" customWidth="1"/>
    <col min="6415" max="6415" width="13.140625" style="77" bestFit="1" customWidth="1"/>
    <col min="6416" max="6649" width="9.140625" style="77"/>
    <col min="6650" max="6650" width="10" style="77" customWidth="1"/>
    <col min="6651" max="6651" width="7.42578125" style="77" customWidth="1"/>
    <col min="6652" max="6652" width="6.42578125" style="77" customWidth="1"/>
    <col min="6653" max="6653" width="22.140625" style="77" customWidth="1"/>
    <col min="6654" max="6654" width="6.140625" style="77" customWidth="1"/>
    <col min="6655" max="6656" width="13.140625" style="77" customWidth="1"/>
    <col min="6657" max="6657" width="9.140625" style="77"/>
    <col min="6658" max="6658" width="12.85546875" style="77" customWidth="1"/>
    <col min="6659" max="6659" width="9.140625" style="77"/>
    <col min="6660" max="6660" width="14.42578125" style="77" customWidth="1"/>
    <col min="6661" max="6662" width="13.140625" style="77" customWidth="1"/>
    <col min="6663" max="6663" width="11.7109375" style="77" customWidth="1"/>
    <col min="6664" max="6664" width="14.85546875" style="77" customWidth="1"/>
    <col min="6665" max="6665" width="13.28515625" style="77" bestFit="1" customWidth="1"/>
    <col min="6666" max="6666" width="14.85546875" style="77" customWidth="1"/>
    <col min="6667" max="6667" width="13.28515625" style="77" bestFit="1" customWidth="1"/>
    <col min="6668" max="6668" width="14.85546875" style="77" customWidth="1"/>
    <col min="6669" max="6669" width="16.5703125" style="77" customWidth="1"/>
    <col min="6670" max="6670" width="18.140625" style="77" bestFit="1" customWidth="1"/>
    <col min="6671" max="6671" width="13.140625" style="77" bestFit="1" customWidth="1"/>
    <col min="6672" max="6905" width="9.140625" style="77"/>
    <col min="6906" max="6906" width="10" style="77" customWidth="1"/>
    <col min="6907" max="6907" width="7.42578125" style="77" customWidth="1"/>
    <col min="6908" max="6908" width="6.42578125" style="77" customWidth="1"/>
    <col min="6909" max="6909" width="22.140625" style="77" customWidth="1"/>
    <col min="6910" max="6910" width="6.140625" style="77" customWidth="1"/>
    <col min="6911" max="6912" width="13.140625" style="77" customWidth="1"/>
    <col min="6913" max="6913" width="9.140625" style="77"/>
    <col min="6914" max="6914" width="12.85546875" style="77" customWidth="1"/>
    <col min="6915" max="6915" width="9.140625" style="77"/>
    <col min="6916" max="6916" width="14.42578125" style="77" customWidth="1"/>
    <col min="6917" max="6918" width="13.140625" style="77" customWidth="1"/>
    <col min="6919" max="6919" width="11.7109375" style="77" customWidth="1"/>
    <col min="6920" max="6920" width="14.85546875" style="77" customWidth="1"/>
    <col min="6921" max="6921" width="13.28515625" style="77" bestFit="1" customWidth="1"/>
    <col min="6922" max="6922" width="14.85546875" style="77" customWidth="1"/>
    <col min="6923" max="6923" width="13.28515625" style="77" bestFit="1" customWidth="1"/>
    <col min="6924" max="6924" width="14.85546875" style="77" customWidth="1"/>
    <col min="6925" max="6925" width="16.5703125" style="77" customWidth="1"/>
    <col min="6926" max="6926" width="18.140625" style="77" bestFit="1" customWidth="1"/>
    <col min="6927" max="6927" width="13.140625" style="77" bestFit="1" customWidth="1"/>
    <col min="6928" max="7161" width="9.140625" style="77"/>
    <col min="7162" max="7162" width="10" style="77" customWidth="1"/>
    <col min="7163" max="7163" width="7.42578125" style="77" customWidth="1"/>
    <col min="7164" max="7164" width="6.42578125" style="77" customWidth="1"/>
    <col min="7165" max="7165" width="22.140625" style="77" customWidth="1"/>
    <col min="7166" max="7166" width="6.140625" style="77" customWidth="1"/>
    <col min="7167" max="7168" width="13.140625" style="77" customWidth="1"/>
    <col min="7169" max="7169" width="9.140625" style="77"/>
    <col min="7170" max="7170" width="12.85546875" style="77" customWidth="1"/>
    <col min="7171" max="7171" width="9.140625" style="77"/>
    <col min="7172" max="7172" width="14.42578125" style="77" customWidth="1"/>
    <col min="7173" max="7174" width="13.140625" style="77" customWidth="1"/>
    <col min="7175" max="7175" width="11.7109375" style="77" customWidth="1"/>
    <col min="7176" max="7176" width="14.85546875" style="77" customWidth="1"/>
    <col min="7177" max="7177" width="13.28515625" style="77" bestFit="1" customWidth="1"/>
    <col min="7178" max="7178" width="14.85546875" style="77" customWidth="1"/>
    <col min="7179" max="7179" width="13.28515625" style="77" bestFit="1" customWidth="1"/>
    <col min="7180" max="7180" width="14.85546875" style="77" customWidth="1"/>
    <col min="7181" max="7181" width="16.5703125" style="77" customWidth="1"/>
    <col min="7182" max="7182" width="18.140625" style="77" bestFit="1" customWidth="1"/>
    <col min="7183" max="7183" width="13.140625" style="77" bestFit="1" customWidth="1"/>
    <col min="7184" max="7417" width="9.140625" style="77"/>
    <col min="7418" max="7418" width="10" style="77" customWidth="1"/>
    <col min="7419" max="7419" width="7.42578125" style="77" customWidth="1"/>
    <col min="7420" max="7420" width="6.42578125" style="77" customWidth="1"/>
    <col min="7421" max="7421" width="22.140625" style="77" customWidth="1"/>
    <col min="7422" max="7422" width="6.140625" style="77" customWidth="1"/>
    <col min="7423" max="7424" width="13.140625" style="77" customWidth="1"/>
    <col min="7425" max="7425" width="9.140625" style="77"/>
    <col min="7426" max="7426" width="12.85546875" style="77" customWidth="1"/>
    <col min="7427" max="7427" width="9.140625" style="77"/>
    <col min="7428" max="7428" width="14.42578125" style="77" customWidth="1"/>
    <col min="7429" max="7430" width="13.140625" style="77" customWidth="1"/>
    <col min="7431" max="7431" width="11.7109375" style="77" customWidth="1"/>
    <col min="7432" max="7432" width="14.85546875" style="77" customWidth="1"/>
    <col min="7433" max="7433" width="13.28515625" style="77" bestFit="1" customWidth="1"/>
    <col min="7434" max="7434" width="14.85546875" style="77" customWidth="1"/>
    <col min="7435" max="7435" width="13.28515625" style="77" bestFit="1" customWidth="1"/>
    <col min="7436" max="7436" width="14.85546875" style="77" customWidth="1"/>
    <col min="7437" max="7437" width="16.5703125" style="77" customWidth="1"/>
    <col min="7438" max="7438" width="18.140625" style="77" bestFit="1" customWidth="1"/>
    <col min="7439" max="7439" width="13.140625" style="77" bestFit="1" customWidth="1"/>
    <col min="7440" max="7673" width="9.140625" style="77"/>
    <col min="7674" max="7674" width="10" style="77" customWidth="1"/>
    <col min="7675" max="7675" width="7.42578125" style="77" customWidth="1"/>
    <col min="7676" max="7676" width="6.42578125" style="77" customWidth="1"/>
    <col min="7677" max="7677" width="22.140625" style="77" customWidth="1"/>
    <col min="7678" max="7678" width="6.140625" style="77" customWidth="1"/>
    <col min="7679" max="7680" width="13.140625" style="77" customWidth="1"/>
    <col min="7681" max="7681" width="9.140625" style="77"/>
    <col min="7682" max="7682" width="12.85546875" style="77" customWidth="1"/>
    <col min="7683" max="7683" width="9.140625" style="77"/>
    <col min="7684" max="7684" width="14.42578125" style="77" customWidth="1"/>
    <col min="7685" max="7686" width="13.140625" style="77" customWidth="1"/>
    <col min="7687" max="7687" width="11.7109375" style="77" customWidth="1"/>
    <col min="7688" max="7688" width="14.85546875" style="77" customWidth="1"/>
    <col min="7689" max="7689" width="13.28515625" style="77" bestFit="1" customWidth="1"/>
    <col min="7690" max="7690" width="14.85546875" style="77" customWidth="1"/>
    <col min="7691" max="7691" width="13.28515625" style="77" bestFit="1" customWidth="1"/>
    <col min="7692" max="7692" width="14.85546875" style="77" customWidth="1"/>
    <col min="7693" max="7693" width="16.5703125" style="77" customWidth="1"/>
    <col min="7694" max="7694" width="18.140625" style="77" bestFit="1" customWidth="1"/>
    <col min="7695" max="7695" width="13.140625" style="77" bestFit="1" customWidth="1"/>
    <col min="7696" max="7929" width="9.140625" style="77"/>
    <col min="7930" max="7930" width="10" style="77" customWidth="1"/>
    <col min="7931" max="7931" width="7.42578125" style="77" customWidth="1"/>
    <col min="7932" max="7932" width="6.42578125" style="77" customWidth="1"/>
    <col min="7933" max="7933" width="22.140625" style="77" customWidth="1"/>
    <col min="7934" max="7934" width="6.140625" style="77" customWidth="1"/>
    <col min="7935" max="7936" width="13.140625" style="77" customWidth="1"/>
    <col min="7937" max="7937" width="9.140625" style="77"/>
    <col min="7938" max="7938" width="12.85546875" style="77" customWidth="1"/>
    <col min="7939" max="7939" width="9.140625" style="77"/>
    <col min="7940" max="7940" width="14.42578125" style="77" customWidth="1"/>
    <col min="7941" max="7942" width="13.140625" style="77" customWidth="1"/>
    <col min="7943" max="7943" width="11.7109375" style="77" customWidth="1"/>
    <col min="7944" max="7944" width="14.85546875" style="77" customWidth="1"/>
    <col min="7945" max="7945" width="13.28515625" style="77" bestFit="1" customWidth="1"/>
    <col min="7946" max="7946" width="14.85546875" style="77" customWidth="1"/>
    <col min="7947" max="7947" width="13.28515625" style="77" bestFit="1" customWidth="1"/>
    <col min="7948" max="7948" width="14.85546875" style="77" customWidth="1"/>
    <col min="7949" max="7949" width="16.5703125" style="77" customWidth="1"/>
    <col min="7950" max="7950" width="18.140625" style="77" bestFit="1" customWidth="1"/>
    <col min="7951" max="7951" width="13.140625" style="77" bestFit="1" customWidth="1"/>
    <col min="7952" max="8185" width="9.140625" style="77"/>
    <col min="8186" max="8186" width="10" style="77" customWidth="1"/>
    <col min="8187" max="8187" width="7.42578125" style="77" customWidth="1"/>
    <col min="8188" max="8188" width="6.42578125" style="77" customWidth="1"/>
    <col min="8189" max="8189" width="22.140625" style="77" customWidth="1"/>
    <col min="8190" max="8190" width="6.140625" style="77" customWidth="1"/>
    <col min="8191" max="8192" width="13.140625" style="77" customWidth="1"/>
    <col min="8193" max="8193" width="9.140625" style="77"/>
    <col min="8194" max="8194" width="12.85546875" style="77" customWidth="1"/>
    <col min="8195" max="8195" width="9.140625" style="77"/>
    <col min="8196" max="8196" width="14.42578125" style="77" customWidth="1"/>
    <col min="8197" max="8198" width="13.140625" style="77" customWidth="1"/>
    <col min="8199" max="8199" width="11.7109375" style="77" customWidth="1"/>
    <col min="8200" max="8200" width="14.85546875" style="77" customWidth="1"/>
    <col min="8201" max="8201" width="13.28515625" style="77" bestFit="1" customWidth="1"/>
    <col min="8202" max="8202" width="14.85546875" style="77" customWidth="1"/>
    <col min="8203" max="8203" width="13.28515625" style="77" bestFit="1" customWidth="1"/>
    <col min="8204" max="8204" width="14.85546875" style="77" customWidth="1"/>
    <col min="8205" max="8205" width="16.5703125" style="77" customWidth="1"/>
    <col min="8206" max="8206" width="18.140625" style="77" bestFit="1" customWidth="1"/>
    <col min="8207" max="8207" width="13.140625" style="77" bestFit="1" customWidth="1"/>
    <col min="8208" max="8441" width="9.140625" style="77"/>
    <col min="8442" max="8442" width="10" style="77" customWidth="1"/>
    <col min="8443" max="8443" width="7.42578125" style="77" customWidth="1"/>
    <col min="8444" max="8444" width="6.42578125" style="77" customWidth="1"/>
    <col min="8445" max="8445" width="22.140625" style="77" customWidth="1"/>
    <col min="8446" max="8446" width="6.140625" style="77" customWidth="1"/>
    <col min="8447" max="8448" width="13.140625" style="77" customWidth="1"/>
    <col min="8449" max="8449" width="9.140625" style="77"/>
    <col min="8450" max="8450" width="12.85546875" style="77" customWidth="1"/>
    <col min="8451" max="8451" width="9.140625" style="77"/>
    <col min="8452" max="8452" width="14.42578125" style="77" customWidth="1"/>
    <col min="8453" max="8454" width="13.140625" style="77" customWidth="1"/>
    <col min="8455" max="8455" width="11.7109375" style="77" customWidth="1"/>
    <col min="8456" max="8456" width="14.85546875" style="77" customWidth="1"/>
    <col min="8457" max="8457" width="13.28515625" style="77" bestFit="1" customWidth="1"/>
    <col min="8458" max="8458" width="14.85546875" style="77" customWidth="1"/>
    <col min="8459" max="8459" width="13.28515625" style="77" bestFit="1" customWidth="1"/>
    <col min="8460" max="8460" width="14.85546875" style="77" customWidth="1"/>
    <col min="8461" max="8461" width="16.5703125" style="77" customWidth="1"/>
    <col min="8462" max="8462" width="18.140625" style="77" bestFit="1" customWidth="1"/>
    <col min="8463" max="8463" width="13.140625" style="77" bestFit="1" customWidth="1"/>
    <col min="8464" max="8697" width="9.140625" style="77"/>
    <col min="8698" max="8698" width="10" style="77" customWidth="1"/>
    <col min="8699" max="8699" width="7.42578125" style="77" customWidth="1"/>
    <col min="8700" max="8700" width="6.42578125" style="77" customWidth="1"/>
    <col min="8701" max="8701" width="22.140625" style="77" customWidth="1"/>
    <col min="8702" max="8702" width="6.140625" style="77" customWidth="1"/>
    <col min="8703" max="8704" width="13.140625" style="77" customWidth="1"/>
    <col min="8705" max="8705" width="9.140625" style="77"/>
    <col min="8706" max="8706" width="12.85546875" style="77" customWidth="1"/>
    <col min="8707" max="8707" width="9.140625" style="77"/>
    <col min="8708" max="8708" width="14.42578125" style="77" customWidth="1"/>
    <col min="8709" max="8710" width="13.140625" style="77" customWidth="1"/>
    <col min="8711" max="8711" width="11.7109375" style="77" customWidth="1"/>
    <col min="8712" max="8712" width="14.85546875" style="77" customWidth="1"/>
    <col min="8713" max="8713" width="13.28515625" style="77" bestFit="1" customWidth="1"/>
    <col min="8714" max="8714" width="14.85546875" style="77" customWidth="1"/>
    <col min="8715" max="8715" width="13.28515625" style="77" bestFit="1" customWidth="1"/>
    <col min="8716" max="8716" width="14.85546875" style="77" customWidth="1"/>
    <col min="8717" max="8717" width="16.5703125" style="77" customWidth="1"/>
    <col min="8718" max="8718" width="18.140625" style="77" bestFit="1" customWidth="1"/>
    <col min="8719" max="8719" width="13.140625" style="77" bestFit="1" customWidth="1"/>
    <col min="8720" max="8953" width="9.140625" style="77"/>
    <col min="8954" max="8954" width="10" style="77" customWidth="1"/>
    <col min="8955" max="8955" width="7.42578125" style="77" customWidth="1"/>
    <col min="8956" max="8956" width="6.42578125" style="77" customWidth="1"/>
    <col min="8957" max="8957" width="22.140625" style="77" customWidth="1"/>
    <col min="8958" max="8958" width="6.140625" style="77" customWidth="1"/>
    <col min="8959" max="8960" width="13.140625" style="77" customWidth="1"/>
    <col min="8961" max="8961" width="9.140625" style="77"/>
    <col min="8962" max="8962" width="12.85546875" style="77" customWidth="1"/>
    <col min="8963" max="8963" width="9.140625" style="77"/>
    <col min="8964" max="8964" width="14.42578125" style="77" customWidth="1"/>
    <col min="8965" max="8966" width="13.140625" style="77" customWidth="1"/>
    <col min="8967" max="8967" width="11.7109375" style="77" customWidth="1"/>
    <col min="8968" max="8968" width="14.85546875" style="77" customWidth="1"/>
    <col min="8969" max="8969" width="13.28515625" style="77" bestFit="1" customWidth="1"/>
    <col min="8970" max="8970" width="14.85546875" style="77" customWidth="1"/>
    <col min="8971" max="8971" width="13.28515625" style="77" bestFit="1" customWidth="1"/>
    <col min="8972" max="8972" width="14.85546875" style="77" customWidth="1"/>
    <col min="8973" max="8973" width="16.5703125" style="77" customWidth="1"/>
    <col min="8974" max="8974" width="18.140625" style="77" bestFit="1" customWidth="1"/>
    <col min="8975" max="8975" width="13.140625" style="77" bestFit="1" customWidth="1"/>
    <col min="8976" max="9209" width="9.140625" style="77"/>
    <col min="9210" max="9210" width="10" style="77" customWidth="1"/>
    <col min="9211" max="9211" width="7.42578125" style="77" customWidth="1"/>
    <col min="9212" max="9212" width="6.42578125" style="77" customWidth="1"/>
    <col min="9213" max="9213" width="22.140625" style="77" customWidth="1"/>
    <col min="9214" max="9214" width="6.140625" style="77" customWidth="1"/>
    <col min="9215" max="9216" width="13.140625" style="77" customWidth="1"/>
    <col min="9217" max="9217" width="9.140625" style="77"/>
    <col min="9218" max="9218" width="12.85546875" style="77" customWidth="1"/>
    <col min="9219" max="9219" width="9.140625" style="77"/>
    <col min="9220" max="9220" width="14.42578125" style="77" customWidth="1"/>
    <col min="9221" max="9222" width="13.140625" style="77" customWidth="1"/>
    <col min="9223" max="9223" width="11.7109375" style="77" customWidth="1"/>
    <col min="9224" max="9224" width="14.85546875" style="77" customWidth="1"/>
    <col min="9225" max="9225" width="13.28515625" style="77" bestFit="1" customWidth="1"/>
    <col min="9226" max="9226" width="14.85546875" style="77" customWidth="1"/>
    <col min="9227" max="9227" width="13.28515625" style="77" bestFit="1" customWidth="1"/>
    <col min="9228" max="9228" width="14.85546875" style="77" customWidth="1"/>
    <col min="9229" max="9229" width="16.5703125" style="77" customWidth="1"/>
    <col min="9230" max="9230" width="18.140625" style="77" bestFit="1" customWidth="1"/>
    <col min="9231" max="9231" width="13.140625" style="77" bestFit="1" customWidth="1"/>
    <col min="9232" max="9465" width="9.140625" style="77"/>
    <col min="9466" max="9466" width="10" style="77" customWidth="1"/>
    <col min="9467" max="9467" width="7.42578125" style="77" customWidth="1"/>
    <col min="9468" max="9468" width="6.42578125" style="77" customWidth="1"/>
    <col min="9469" max="9469" width="22.140625" style="77" customWidth="1"/>
    <col min="9470" max="9470" width="6.140625" style="77" customWidth="1"/>
    <col min="9471" max="9472" width="13.140625" style="77" customWidth="1"/>
    <col min="9473" max="9473" width="9.140625" style="77"/>
    <col min="9474" max="9474" width="12.85546875" style="77" customWidth="1"/>
    <col min="9475" max="9475" width="9.140625" style="77"/>
    <col min="9476" max="9476" width="14.42578125" style="77" customWidth="1"/>
    <col min="9477" max="9478" width="13.140625" style="77" customWidth="1"/>
    <col min="9479" max="9479" width="11.7109375" style="77" customWidth="1"/>
    <col min="9480" max="9480" width="14.85546875" style="77" customWidth="1"/>
    <col min="9481" max="9481" width="13.28515625" style="77" bestFit="1" customWidth="1"/>
    <col min="9482" max="9482" width="14.85546875" style="77" customWidth="1"/>
    <col min="9483" max="9483" width="13.28515625" style="77" bestFit="1" customWidth="1"/>
    <col min="9484" max="9484" width="14.85546875" style="77" customWidth="1"/>
    <col min="9485" max="9485" width="16.5703125" style="77" customWidth="1"/>
    <col min="9486" max="9486" width="18.140625" style="77" bestFit="1" customWidth="1"/>
    <col min="9487" max="9487" width="13.140625" style="77" bestFit="1" customWidth="1"/>
    <col min="9488" max="9721" width="9.140625" style="77"/>
    <col min="9722" max="9722" width="10" style="77" customWidth="1"/>
    <col min="9723" max="9723" width="7.42578125" style="77" customWidth="1"/>
    <col min="9724" max="9724" width="6.42578125" style="77" customWidth="1"/>
    <col min="9725" max="9725" width="22.140625" style="77" customWidth="1"/>
    <col min="9726" max="9726" width="6.140625" style="77" customWidth="1"/>
    <col min="9727" max="9728" width="13.140625" style="77" customWidth="1"/>
    <col min="9729" max="9729" width="9.140625" style="77"/>
    <col min="9730" max="9730" width="12.85546875" style="77" customWidth="1"/>
    <col min="9731" max="9731" width="9.140625" style="77"/>
    <col min="9732" max="9732" width="14.42578125" style="77" customWidth="1"/>
    <col min="9733" max="9734" width="13.140625" style="77" customWidth="1"/>
    <col min="9735" max="9735" width="11.7109375" style="77" customWidth="1"/>
    <col min="9736" max="9736" width="14.85546875" style="77" customWidth="1"/>
    <col min="9737" max="9737" width="13.28515625" style="77" bestFit="1" customWidth="1"/>
    <col min="9738" max="9738" width="14.85546875" style="77" customWidth="1"/>
    <col min="9739" max="9739" width="13.28515625" style="77" bestFit="1" customWidth="1"/>
    <col min="9740" max="9740" width="14.85546875" style="77" customWidth="1"/>
    <col min="9741" max="9741" width="16.5703125" style="77" customWidth="1"/>
    <col min="9742" max="9742" width="18.140625" style="77" bestFit="1" customWidth="1"/>
    <col min="9743" max="9743" width="13.140625" style="77" bestFit="1" customWidth="1"/>
    <col min="9744" max="9977" width="9.140625" style="77"/>
    <col min="9978" max="9978" width="10" style="77" customWidth="1"/>
    <col min="9979" max="9979" width="7.42578125" style="77" customWidth="1"/>
    <col min="9980" max="9980" width="6.42578125" style="77" customWidth="1"/>
    <col min="9981" max="9981" width="22.140625" style="77" customWidth="1"/>
    <col min="9982" max="9982" width="6.140625" style="77" customWidth="1"/>
    <col min="9983" max="9984" width="13.140625" style="77" customWidth="1"/>
    <col min="9985" max="9985" width="9.140625" style="77"/>
    <col min="9986" max="9986" width="12.85546875" style="77" customWidth="1"/>
    <col min="9987" max="9987" width="9.140625" style="77"/>
    <col min="9988" max="9988" width="14.42578125" style="77" customWidth="1"/>
    <col min="9989" max="9990" width="13.140625" style="77" customWidth="1"/>
    <col min="9991" max="9991" width="11.7109375" style="77" customWidth="1"/>
    <col min="9992" max="9992" width="14.85546875" style="77" customWidth="1"/>
    <col min="9993" max="9993" width="13.28515625" style="77" bestFit="1" customWidth="1"/>
    <col min="9994" max="9994" width="14.85546875" style="77" customWidth="1"/>
    <col min="9995" max="9995" width="13.28515625" style="77" bestFit="1" customWidth="1"/>
    <col min="9996" max="9996" width="14.85546875" style="77" customWidth="1"/>
    <col min="9997" max="9997" width="16.5703125" style="77" customWidth="1"/>
    <col min="9998" max="9998" width="18.140625" style="77" bestFit="1" customWidth="1"/>
    <col min="9999" max="9999" width="13.140625" style="77" bestFit="1" customWidth="1"/>
    <col min="10000" max="10233" width="9.140625" style="77"/>
    <col min="10234" max="10234" width="10" style="77" customWidth="1"/>
    <col min="10235" max="10235" width="7.42578125" style="77" customWidth="1"/>
    <col min="10236" max="10236" width="6.42578125" style="77" customWidth="1"/>
    <col min="10237" max="10237" width="22.140625" style="77" customWidth="1"/>
    <col min="10238" max="10238" width="6.140625" style="77" customWidth="1"/>
    <col min="10239" max="10240" width="13.140625" style="77" customWidth="1"/>
    <col min="10241" max="10241" width="9.140625" style="77"/>
    <col min="10242" max="10242" width="12.85546875" style="77" customWidth="1"/>
    <col min="10243" max="10243" width="9.140625" style="77"/>
    <col min="10244" max="10244" width="14.42578125" style="77" customWidth="1"/>
    <col min="10245" max="10246" width="13.140625" style="77" customWidth="1"/>
    <col min="10247" max="10247" width="11.7109375" style="77" customWidth="1"/>
    <col min="10248" max="10248" width="14.85546875" style="77" customWidth="1"/>
    <col min="10249" max="10249" width="13.28515625" style="77" bestFit="1" customWidth="1"/>
    <col min="10250" max="10250" width="14.85546875" style="77" customWidth="1"/>
    <col min="10251" max="10251" width="13.28515625" style="77" bestFit="1" customWidth="1"/>
    <col min="10252" max="10252" width="14.85546875" style="77" customWidth="1"/>
    <col min="10253" max="10253" width="16.5703125" style="77" customWidth="1"/>
    <col min="10254" max="10254" width="18.140625" style="77" bestFit="1" customWidth="1"/>
    <col min="10255" max="10255" width="13.140625" style="77" bestFit="1" customWidth="1"/>
    <col min="10256" max="10489" width="9.140625" style="77"/>
    <col min="10490" max="10490" width="10" style="77" customWidth="1"/>
    <col min="10491" max="10491" width="7.42578125" style="77" customWidth="1"/>
    <col min="10492" max="10492" width="6.42578125" style="77" customWidth="1"/>
    <col min="10493" max="10493" width="22.140625" style="77" customWidth="1"/>
    <col min="10494" max="10494" width="6.140625" style="77" customWidth="1"/>
    <col min="10495" max="10496" width="13.140625" style="77" customWidth="1"/>
    <col min="10497" max="10497" width="9.140625" style="77"/>
    <col min="10498" max="10498" width="12.85546875" style="77" customWidth="1"/>
    <col min="10499" max="10499" width="9.140625" style="77"/>
    <col min="10500" max="10500" width="14.42578125" style="77" customWidth="1"/>
    <col min="10501" max="10502" width="13.140625" style="77" customWidth="1"/>
    <col min="10503" max="10503" width="11.7109375" style="77" customWidth="1"/>
    <col min="10504" max="10504" width="14.85546875" style="77" customWidth="1"/>
    <col min="10505" max="10505" width="13.28515625" style="77" bestFit="1" customWidth="1"/>
    <col min="10506" max="10506" width="14.85546875" style="77" customWidth="1"/>
    <col min="10507" max="10507" width="13.28515625" style="77" bestFit="1" customWidth="1"/>
    <col min="10508" max="10508" width="14.85546875" style="77" customWidth="1"/>
    <col min="10509" max="10509" width="16.5703125" style="77" customWidth="1"/>
    <col min="10510" max="10510" width="18.140625" style="77" bestFit="1" customWidth="1"/>
    <col min="10511" max="10511" width="13.140625" style="77" bestFit="1" customWidth="1"/>
    <col min="10512" max="10745" width="9.140625" style="77"/>
    <col min="10746" max="10746" width="10" style="77" customWidth="1"/>
    <col min="10747" max="10747" width="7.42578125" style="77" customWidth="1"/>
    <col min="10748" max="10748" width="6.42578125" style="77" customWidth="1"/>
    <col min="10749" max="10749" width="22.140625" style="77" customWidth="1"/>
    <col min="10750" max="10750" width="6.140625" style="77" customWidth="1"/>
    <col min="10751" max="10752" width="13.140625" style="77" customWidth="1"/>
    <col min="10753" max="10753" width="9.140625" style="77"/>
    <col min="10754" max="10754" width="12.85546875" style="77" customWidth="1"/>
    <col min="10755" max="10755" width="9.140625" style="77"/>
    <col min="10756" max="10756" width="14.42578125" style="77" customWidth="1"/>
    <col min="10757" max="10758" width="13.140625" style="77" customWidth="1"/>
    <col min="10759" max="10759" width="11.7109375" style="77" customWidth="1"/>
    <col min="10760" max="10760" width="14.85546875" style="77" customWidth="1"/>
    <col min="10761" max="10761" width="13.28515625" style="77" bestFit="1" customWidth="1"/>
    <col min="10762" max="10762" width="14.85546875" style="77" customWidth="1"/>
    <col min="10763" max="10763" width="13.28515625" style="77" bestFit="1" customWidth="1"/>
    <col min="10764" max="10764" width="14.85546875" style="77" customWidth="1"/>
    <col min="10765" max="10765" width="16.5703125" style="77" customWidth="1"/>
    <col min="10766" max="10766" width="18.140625" style="77" bestFit="1" customWidth="1"/>
    <col min="10767" max="10767" width="13.140625" style="77" bestFit="1" customWidth="1"/>
    <col min="10768" max="11001" width="9.140625" style="77"/>
    <col min="11002" max="11002" width="10" style="77" customWidth="1"/>
    <col min="11003" max="11003" width="7.42578125" style="77" customWidth="1"/>
    <col min="11004" max="11004" width="6.42578125" style="77" customWidth="1"/>
    <col min="11005" max="11005" width="22.140625" style="77" customWidth="1"/>
    <col min="11006" max="11006" width="6.140625" style="77" customWidth="1"/>
    <col min="11007" max="11008" width="13.140625" style="77" customWidth="1"/>
    <col min="11009" max="11009" width="9.140625" style="77"/>
    <col min="11010" max="11010" width="12.85546875" style="77" customWidth="1"/>
    <col min="11011" max="11011" width="9.140625" style="77"/>
    <col min="11012" max="11012" width="14.42578125" style="77" customWidth="1"/>
    <col min="11013" max="11014" width="13.140625" style="77" customWidth="1"/>
    <col min="11015" max="11015" width="11.7109375" style="77" customWidth="1"/>
    <col min="11016" max="11016" width="14.85546875" style="77" customWidth="1"/>
    <col min="11017" max="11017" width="13.28515625" style="77" bestFit="1" customWidth="1"/>
    <col min="11018" max="11018" width="14.85546875" style="77" customWidth="1"/>
    <col min="11019" max="11019" width="13.28515625" style="77" bestFit="1" customWidth="1"/>
    <col min="11020" max="11020" width="14.85546875" style="77" customWidth="1"/>
    <col min="11021" max="11021" width="16.5703125" style="77" customWidth="1"/>
    <col min="11022" max="11022" width="18.140625" style="77" bestFit="1" customWidth="1"/>
    <col min="11023" max="11023" width="13.140625" style="77" bestFit="1" customWidth="1"/>
    <col min="11024" max="11257" width="9.140625" style="77"/>
    <col min="11258" max="11258" width="10" style="77" customWidth="1"/>
    <col min="11259" max="11259" width="7.42578125" style="77" customWidth="1"/>
    <col min="11260" max="11260" width="6.42578125" style="77" customWidth="1"/>
    <col min="11261" max="11261" width="22.140625" style="77" customWidth="1"/>
    <col min="11262" max="11262" width="6.140625" style="77" customWidth="1"/>
    <col min="11263" max="11264" width="13.140625" style="77" customWidth="1"/>
    <col min="11265" max="11265" width="9.140625" style="77"/>
    <col min="11266" max="11266" width="12.85546875" style="77" customWidth="1"/>
    <col min="11267" max="11267" width="9.140625" style="77"/>
    <col min="11268" max="11268" width="14.42578125" style="77" customWidth="1"/>
    <col min="11269" max="11270" width="13.140625" style="77" customWidth="1"/>
    <col min="11271" max="11271" width="11.7109375" style="77" customWidth="1"/>
    <col min="11272" max="11272" width="14.85546875" style="77" customWidth="1"/>
    <col min="11273" max="11273" width="13.28515625" style="77" bestFit="1" customWidth="1"/>
    <col min="11274" max="11274" width="14.85546875" style="77" customWidth="1"/>
    <col min="11275" max="11275" width="13.28515625" style="77" bestFit="1" customWidth="1"/>
    <col min="11276" max="11276" width="14.85546875" style="77" customWidth="1"/>
    <col min="11277" max="11277" width="16.5703125" style="77" customWidth="1"/>
    <col min="11278" max="11278" width="18.140625" style="77" bestFit="1" customWidth="1"/>
    <col min="11279" max="11279" width="13.140625" style="77" bestFit="1" customWidth="1"/>
    <col min="11280" max="11513" width="9.140625" style="77"/>
    <col min="11514" max="11514" width="10" style="77" customWidth="1"/>
    <col min="11515" max="11515" width="7.42578125" style="77" customWidth="1"/>
    <col min="11516" max="11516" width="6.42578125" style="77" customWidth="1"/>
    <col min="11517" max="11517" width="22.140625" style="77" customWidth="1"/>
    <col min="11518" max="11518" width="6.140625" style="77" customWidth="1"/>
    <col min="11519" max="11520" width="13.140625" style="77" customWidth="1"/>
    <col min="11521" max="11521" width="9.140625" style="77"/>
    <col min="11522" max="11522" width="12.85546875" style="77" customWidth="1"/>
    <col min="11523" max="11523" width="9.140625" style="77"/>
    <col min="11524" max="11524" width="14.42578125" style="77" customWidth="1"/>
    <col min="11525" max="11526" width="13.140625" style="77" customWidth="1"/>
    <col min="11527" max="11527" width="11.7109375" style="77" customWidth="1"/>
    <col min="11528" max="11528" width="14.85546875" style="77" customWidth="1"/>
    <col min="11529" max="11529" width="13.28515625" style="77" bestFit="1" customWidth="1"/>
    <col min="11530" max="11530" width="14.85546875" style="77" customWidth="1"/>
    <col min="11531" max="11531" width="13.28515625" style="77" bestFit="1" customWidth="1"/>
    <col min="11532" max="11532" width="14.85546875" style="77" customWidth="1"/>
    <col min="11533" max="11533" width="16.5703125" style="77" customWidth="1"/>
    <col min="11534" max="11534" width="18.140625" style="77" bestFit="1" customWidth="1"/>
    <col min="11535" max="11535" width="13.140625" style="77" bestFit="1" customWidth="1"/>
    <col min="11536" max="11769" width="9.140625" style="77"/>
    <col min="11770" max="11770" width="10" style="77" customWidth="1"/>
    <col min="11771" max="11771" width="7.42578125" style="77" customWidth="1"/>
    <col min="11772" max="11772" width="6.42578125" style="77" customWidth="1"/>
    <col min="11773" max="11773" width="22.140625" style="77" customWidth="1"/>
    <col min="11774" max="11774" width="6.140625" style="77" customWidth="1"/>
    <col min="11775" max="11776" width="13.140625" style="77" customWidth="1"/>
    <col min="11777" max="11777" width="9.140625" style="77"/>
    <col min="11778" max="11778" width="12.85546875" style="77" customWidth="1"/>
    <col min="11779" max="11779" width="9.140625" style="77"/>
    <col min="11780" max="11780" width="14.42578125" style="77" customWidth="1"/>
    <col min="11781" max="11782" width="13.140625" style="77" customWidth="1"/>
    <col min="11783" max="11783" width="11.7109375" style="77" customWidth="1"/>
    <col min="11784" max="11784" width="14.85546875" style="77" customWidth="1"/>
    <col min="11785" max="11785" width="13.28515625" style="77" bestFit="1" customWidth="1"/>
    <col min="11786" max="11786" width="14.85546875" style="77" customWidth="1"/>
    <col min="11787" max="11787" width="13.28515625" style="77" bestFit="1" customWidth="1"/>
    <col min="11788" max="11788" width="14.85546875" style="77" customWidth="1"/>
    <col min="11789" max="11789" width="16.5703125" style="77" customWidth="1"/>
    <col min="11790" max="11790" width="18.140625" style="77" bestFit="1" customWidth="1"/>
    <col min="11791" max="11791" width="13.140625" style="77" bestFit="1" customWidth="1"/>
    <col min="11792" max="12025" width="9.140625" style="77"/>
    <col min="12026" max="12026" width="10" style="77" customWidth="1"/>
    <col min="12027" max="12027" width="7.42578125" style="77" customWidth="1"/>
    <col min="12028" max="12028" width="6.42578125" style="77" customWidth="1"/>
    <col min="12029" max="12029" width="22.140625" style="77" customWidth="1"/>
    <col min="12030" max="12030" width="6.140625" style="77" customWidth="1"/>
    <col min="12031" max="12032" width="13.140625" style="77" customWidth="1"/>
    <col min="12033" max="12033" width="9.140625" style="77"/>
    <col min="12034" max="12034" width="12.85546875" style="77" customWidth="1"/>
    <col min="12035" max="12035" width="9.140625" style="77"/>
    <col min="12036" max="12036" width="14.42578125" style="77" customWidth="1"/>
    <col min="12037" max="12038" width="13.140625" style="77" customWidth="1"/>
    <col min="12039" max="12039" width="11.7109375" style="77" customWidth="1"/>
    <col min="12040" max="12040" width="14.85546875" style="77" customWidth="1"/>
    <col min="12041" max="12041" width="13.28515625" style="77" bestFit="1" customWidth="1"/>
    <col min="12042" max="12042" width="14.85546875" style="77" customWidth="1"/>
    <col min="12043" max="12043" width="13.28515625" style="77" bestFit="1" customWidth="1"/>
    <col min="12044" max="12044" width="14.85546875" style="77" customWidth="1"/>
    <col min="12045" max="12045" width="16.5703125" style="77" customWidth="1"/>
    <col min="12046" max="12046" width="18.140625" style="77" bestFit="1" customWidth="1"/>
    <col min="12047" max="12047" width="13.140625" style="77" bestFit="1" customWidth="1"/>
    <col min="12048" max="12281" width="9.140625" style="77"/>
    <col min="12282" max="12282" width="10" style="77" customWidth="1"/>
    <col min="12283" max="12283" width="7.42578125" style="77" customWidth="1"/>
    <col min="12284" max="12284" width="6.42578125" style="77" customWidth="1"/>
    <col min="12285" max="12285" width="22.140625" style="77" customWidth="1"/>
    <col min="12286" max="12286" width="6.140625" style="77" customWidth="1"/>
    <col min="12287" max="12288" width="13.140625" style="77" customWidth="1"/>
    <col min="12289" max="12289" width="9.140625" style="77"/>
    <col min="12290" max="12290" width="12.85546875" style="77" customWidth="1"/>
    <col min="12291" max="12291" width="9.140625" style="77"/>
    <col min="12292" max="12292" width="14.42578125" style="77" customWidth="1"/>
    <col min="12293" max="12294" width="13.140625" style="77" customWidth="1"/>
    <col min="12295" max="12295" width="11.7109375" style="77" customWidth="1"/>
    <col min="12296" max="12296" width="14.85546875" style="77" customWidth="1"/>
    <col min="12297" max="12297" width="13.28515625" style="77" bestFit="1" customWidth="1"/>
    <col min="12298" max="12298" width="14.85546875" style="77" customWidth="1"/>
    <col min="12299" max="12299" width="13.28515625" style="77" bestFit="1" customWidth="1"/>
    <col min="12300" max="12300" width="14.85546875" style="77" customWidth="1"/>
    <col min="12301" max="12301" width="16.5703125" style="77" customWidth="1"/>
    <col min="12302" max="12302" width="18.140625" style="77" bestFit="1" customWidth="1"/>
    <col min="12303" max="12303" width="13.140625" style="77" bestFit="1" customWidth="1"/>
    <col min="12304" max="12537" width="9.140625" style="77"/>
    <col min="12538" max="12538" width="10" style="77" customWidth="1"/>
    <col min="12539" max="12539" width="7.42578125" style="77" customWidth="1"/>
    <col min="12540" max="12540" width="6.42578125" style="77" customWidth="1"/>
    <col min="12541" max="12541" width="22.140625" style="77" customWidth="1"/>
    <col min="12542" max="12542" width="6.140625" style="77" customWidth="1"/>
    <col min="12543" max="12544" width="13.140625" style="77" customWidth="1"/>
    <col min="12545" max="12545" width="9.140625" style="77"/>
    <col min="12546" max="12546" width="12.85546875" style="77" customWidth="1"/>
    <col min="12547" max="12547" width="9.140625" style="77"/>
    <col min="12548" max="12548" width="14.42578125" style="77" customWidth="1"/>
    <col min="12549" max="12550" width="13.140625" style="77" customWidth="1"/>
    <col min="12551" max="12551" width="11.7109375" style="77" customWidth="1"/>
    <col min="12552" max="12552" width="14.85546875" style="77" customWidth="1"/>
    <col min="12553" max="12553" width="13.28515625" style="77" bestFit="1" customWidth="1"/>
    <col min="12554" max="12554" width="14.85546875" style="77" customWidth="1"/>
    <col min="12555" max="12555" width="13.28515625" style="77" bestFit="1" customWidth="1"/>
    <col min="12556" max="12556" width="14.85546875" style="77" customWidth="1"/>
    <col min="12557" max="12557" width="16.5703125" style="77" customWidth="1"/>
    <col min="12558" max="12558" width="18.140625" style="77" bestFit="1" customWidth="1"/>
    <col min="12559" max="12559" width="13.140625" style="77" bestFit="1" customWidth="1"/>
    <col min="12560" max="12793" width="9.140625" style="77"/>
    <col min="12794" max="12794" width="10" style="77" customWidth="1"/>
    <col min="12795" max="12795" width="7.42578125" style="77" customWidth="1"/>
    <col min="12796" max="12796" width="6.42578125" style="77" customWidth="1"/>
    <col min="12797" max="12797" width="22.140625" style="77" customWidth="1"/>
    <col min="12798" max="12798" width="6.140625" style="77" customWidth="1"/>
    <col min="12799" max="12800" width="13.140625" style="77" customWidth="1"/>
    <col min="12801" max="12801" width="9.140625" style="77"/>
    <col min="12802" max="12802" width="12.85546875" style="77" customWidth="1"/>
    <col min="12803" max="12803" width="9.140625" style="77"/>
    <col min="12804" max="12804" width="14.42578125" style="77" customWidth="1"/>
    <col min="12805" max="12806" width="13.140625" style="77" customWidth="1"/>
    <col min="12807" max="12807" width="11.7109375" style="77" customWidth="1"/>
    <col min="12808" max="12808" width="14.85546875" style="77" customWidth="1"/>
    <col min="12809" max="12809" width="13.28515625" style="77" bestFit="1" customWidth="1"/>
    <col min="12810" max="12810" width="14.85546875" style="77" customWidth="1"/>
    <col min="12811" max="12811" width="13.28515625" style="77" bestFit="1" customWidth="1"/>
    <col min="12812" max="12812" width="14.85546875" style="77" customWidth="1"/>
    <col min="12813" max="12813" width="16.5703125" style="77" customWidth="1"/>
    <col min="12814" max="12814" width="18.140625" style="77" bestFit="1" customWidth="1"/>
    <col min="12815" max="12815" width="13.140625" style="77" bestFit="1" customWidth="1"/>
    <col min="12816" max="13049" width="9.140625" style="77"/>
    <col min="13050" max="13050" width="10" style="77" customWidth="1"/>
    <col min="13051" max="13051" width="7.42578125" style="77" customWidth="1"/>
    <col min="13052" max="13052" width="6.42578125" style="77" customWidth="1"/>
    <col min="13053" max="13053" width="22.140625" style="77" customWidth="1"/>
    <col min="13054" max="13054" width="6.140625" style="77" customWidth="1"/>
    <col min="13055" max="13056" width="13.140625" style="77" customWidth="1"/>
    <col min="13057" max="13057" width="9.140625" style="77"/>
    <col min="13058" max="13058" width="12.85546875" style="77" customWidth="1"/>
    <col min="13059" max="13059" width="9.140625" style="77"/>
    <col min="13060" max="13060" width="14.42578125" style="77" customWidth="1"/>
    <col min="13061" max="13062" width="13.140625" style="77" customWidth="1"/>
    <col min="13063" max="13063" width="11.7109375" style="77" customWidth="1"/>
    <col min="13064" max="13064" width="14.85546875" style="77" customWidth="1"/>
    <col min="13065" max="13065" width="13.28515625" style="77" bestFit="1" customWidth="1"/>
    <col min="13066" max="13066" width="14.85546875" style="77" customWidth="1"/>
    <col min="13067" max="13067" width="13.28515625" style="77" bestFit="1" customWidth="1"/>
    <col min="13068" max="13068" width="14.85546875" style="77" customWidth="1"/>
    <col min="13069" max="13069" width="16.5703125" style="77" customWidth="1"/>
    <col min="13070" max="13070" width="18.140625" style="77" bestFit="1" customWidth="1"/>
    <col min="13071" max="13071" width="13.140625" style="77" bestFit="1" customWidth="1"/>
    <col min="13072" max="13305" width="9.140625" style="77"/>
    <col min="13306" max="13306" width="10" style="77" customWidth="1"/>
    <col min="13307" max="13307" width="7.42578125" style="77" customWidth="1"/>
    <col min="13308" max="13308" width="6.42578125" style="77" customWidth="1"/>
    <col min="13309" max="13309" width="22.140625" style="77" customWidth="1"/>
    <col min="13310" max="13310" width="6.140625" style="77" customWidth="1"/>
    <col min="13311" max="13312" width="13.140625" style="77" customWidth="1"/>
    <col min="13313" max="13313" width="9.140625" style="77"/>
    <col min="13314" max="13314" width="12.85546875" style="77" customWidth="1"/>
    <col min="13315" max="13315" width="9.140625" style="77"/>
    <col min="13316" max="13316" width="14.42578125" style="77" customWidth="1"/>
    <col min="13317" max="13318" width="13.140625" style="77" customWidth="1"/>
    <col min="13319" max="13319" width="11.7109375" style="77" customWidth="1"/>
    <col min="13320" max="13320" width="14.85546875" style="77" customWidth="1"/>
    <col min="13321" max="13321" width="13.28515625" style="77" bestFit="1" customWidth="1"/>
    <col min="13322" max="13322" width="14.85546875" style="77" customWidth="1"/>
    <col min="13323" max="13323" width="13.28515625" style="77" bestFit="1" customWidth="1"/>
    <col min="13324" max="13324" width="14.85546875" style="77" customWidth="1"/>
    <col min="13325" max="13325" width="16.5703125" style="77" customWidth="1"/>
    <col min="13326" max="13326" width="18.140625" style="77" bestFit="1" customWidth="1"/>
    <col min="13327" max="13327" width="13.140625" style="77" bestFit="1" customWidth="1"/>
    <col min="13328" max="13561" width="9.140625" style="77"/>
    <col min="13562" max="13562" width="10" style="77" customWidth="1"/>
    <col min="13563" max="13563" width="7.42578125" style="77" customWidth="1"/>
    <col min="13564" max="13564" width="6.42578125" style="77" customWidth="1"/>
    <col min="13565" max="13565" width="22.140625" style="77" customWidth="1"/>
    <col min="13566" max="13566" width="6.140625" style="77" customWidth="1"/>
    <col min="13567" max="13568" width="13.140625" style="77" customWidth="1"/>
    <col min="13569" max="13569" width="9.140625" style="77"/>
    <col min="13570" max="13570" width="12.85546875" style="77" customWidth="1"/>
    <col min="13571" max="13571" width="9.140625" style="77"/>
    <col min="13572" max="13572" width="14.42578125" style="77" customWidth="1"/>
    <col min="13573" max="13574" width="13.140625" style="77" customWidth="1"/>
    <col min="13575" max="13575" width="11.7109375" style="77" customWidth="1"/>
    <col min="13576" max="13576" width="14.85546875" style="77" customWidth="1"/>
    <col min="13577" max="13577" width="13.28515625" style="77" bestFit="1" customWidth="1"/>
    <col min="13578" max="13578" width="14.85546875" style="77" customWidth="1"/>
    <col min="13579" max="13579" width="13.28515625" style="77" bestFit="1" customWidth="1"/>
    <col min="13580" max="13580" width="14.85546875" style="77" customWidth="1"/>
    <col min="13581" max="13581" width="16.5703125" style="77" customWidth="1"/>
    <col min="13582" max="13582" width="18.140625" style="77" bestFit="1" customWidth="1"/>
    <col min="13583" max="13583" width="13.140625" style="77" bestFit="1" customWidth="1"/>
    <col min="13584" max="13817" width="9.140625" style="77"/>
    <col min="13818" max="13818" width="10" style="77" customWidth="1"/>
    <col min="13819" max="13819" width="7.42578125" style="77" customWidth="1"/>
    <col min="13820" max="13820" width="6.42578125" style="77" customWidth="1"/>
    <col min="13821" max="13821" width="22.140625" style="77" customWidth="1"/>
    <col min="13822" max="13822" width="6.140625" style="77" customWidth="1"/>
    <col min="13823" max="13824" width="13.140625" style="77" customWidth="1"/>
    <col min="13825" max="13825" width="9.140625" style="77"/>
    <col min="13826" max="13826" width="12.85546875" style="77" customWidth="1"/>
    <col min="13827" max="13827" width="9.140625" style="77"/>
    <col min="13828" max="13828" width="14.42578125" style="77" customWidth="1"/>
    <col min="13829" max="13830" width="13.140625" style="77" customWidth="1"/>
    <col min="13831" max="13831" width="11.7109375" style="77" customWidth="1"/>
    <col min="13832" max="13832" width="14.85546875" style="77" customWidth="1"/>
    <col min="13833" max="13833" width="13.28515625" style="77" bestFit="1" customWidth="1"/>
    <col min="13834" max="13834" width="14.85546875" style="77" customWidth="1"/>
    <col min="13835" max="13835" width="13.28515625" style="77" bestFit="1" customWidth="1"/>
    <col min="13836" max="13836" width="14.85546875" style="77" customWidth="1"/>
    <col min="13837" max="13837" width="16.5703125" style="77" customWidth="1"/>
    <col min="13838" max="13838" width="18.140625" style="77" bestFit="1" customWidth="1"/>
    <col min="13839" max="13839" width="13.140625" style="77" bestFit="1" customWidth="1"/>
    <col min="13840" max="14073" width="9.140625" style="77"/>
    <col min="14074" max="14074" width="10" style="77" customWidth="1"/>
    <col min="14075" max="14075" width="7.42578125" style="77" customWidth="1"/>
    <col min="14076" max="14076" width="6.42578125" style="77" customWidth="1"/>
    <col min="14077" max="14077" width="22.140625" style="77" customWidth="1"/>
    <col min="14078" max="14078" width="6.140625" style="77" customWidth="1"/>
    <col min="14079" max="14080" width="13.140625" style="77" customWidth="1"/>
    <col min="14081" max="14081" width="9.140625" style="77"/>
    <col min="14082" max="14082" width="12.85546875" style="77" customWidth="1"/>
    <col min="14083" max="14083" width="9.140625" style="77"/>
    <col min="14084" max="14084" width="14.42578125" style="77" customWidth="1"/>
    <col min="14085" max="14086" width="13.140625" style="77" customWidth="1"/>
    <col min="14087" max="14087" width="11.7109375" style="77" customWidth="1"/>
    <col min="14088" max="14088" width="14.85546875" style="77" customWidth="1"/>
    <col min="14089" max="14089" width="13.28515625" style="77" bestFit="1" customWidth="1"/>
    <col min="14090" max="14090" width="14.85546875" style="77" customWidth="1"/>
    <col min="14091" max="14091" width="13.28515625" style="77" bestFit="1" customWidth="1"/>
    <col min="14092" max="14092" width="14.85546875" style="77" customWidth="1"/>
    <col min="14093" max="14093" width="16.5703125" style="77" customWidth="1"/>
    <col min="14094" max="14094" width="18.140625" style="77" bestFit="1" customWidth="1"/>
    <col min="14095" max="14095" width="13.140625" style="77" bestFit="1" customWidth="1"/>
    <col min="14096" max="14329" width="9.140625" style="77"/>
    <col min="14330" max="14330" width="10" style="77" customWidth="1"/>
    <col min="14331" max="14331" width="7.42578125" style="77" customWidth="1"/>
    <col min="14332" max="14332" width="6.42578125" style="77" customWidth="1"/>
    <col min="14333" max="14333" width="22.140625" style="77" customWidth="1"/>
    <col min="14334" max="14334" width="6.140625" style="77" customWidth="1"/>
    <col min="14335" max="14336" width="13.140625" style="77" customWidth="1"/>
    <col min="14337" max="14337" width="9.140625" style="77"/>
    <col min="14338" max="14338" width="12.85546875" style="77" customWidth="1"/>
    <col min="14339" max="14339" width="9.140625" style="77"/>
    <col min="14340" max="14340" width="14.42578125" style="77" customWidth="1"/>
    <col min="14341" max="14342" width="13.140625" style="77" customWidth="1"/>
    <col min="14343" max="14343" width="11.7109375" style="77" customWidth="1"/>
    <col min="14344" max="14344" width="14.85546875" style="77" customWidth="1"/>
    <col min="14345" max="14345" width="13.28515625" style="77" bestFit="1" customWidth="1"/>
    <col min="14346" max="14346" width="14.85546875" style="77" customWidth="1"/>
    <col min="14347" max="14347" width="13.28515625" style="77" bestFit="1" customWidth="1"/>
    <col min="14348" max="14348" width="14.85546875" style="77" customWidth="1"/>
    <col min="14349" max="14349" width="16.5703125" style="77" customWidth="1"/>
    <col min="14350" max="14350" width="18.140625" style="77" bestFit="1" customWidth="1"/>
    <col min="14351" max="14351" width="13.140625" style="77" bestFit="1" customWidth="1"/>
    <col min="14352" max="14585" width="9.140625" style="77"/>
    <col min="14586" max="14586" width="10" style="77" customWidth="1"/>
    <col min="14587" max="14587" width="7.42578125" style="77" customWidth="1"/>
    <col min="14588" max="14588" width="6.42578125" style="77" customWidth="1"/>
    <col min="14589" max="14589" width="22.140625" style="77" customWidth="1"/>
    <col min="14590" max="14590" width="6.140625" style="77" customWidth="1"/>
    <col min="14591" max="14592" width="13.140625" style="77" customWidth="1"/>
    <col min="14593" max="14593" width="9.140625" style="77"/>
    <col min="14594" max="14594" width="12.85546875" style="77" customWidth="1"/>
    <col min="14595" max="14595" width="9.140625" style="77"/>
    <col min="14596" max="14596" width="14.42578125" style="77" customWidth="1"/>
    <col min="14597" max="14598" width="13.140625" style="77" customWidth="1"/>
    <col min="14599" max="14599" width="11.7109375" style="77" customWidth="1"/>
    <col min="14600" max="14600" width="14.85546875" style="77" customWidth="1"/>
    <col min="14601" max="14601" width="13.28515625" style="77" bestFit="1" customWidth="1"/>
    <col min="14602" max="14602" width="14.85546875" style="77" customWidth="1"/>
    <col min="14603" max="14603" width="13.28515625" style="77" bestFit="1" customWidth="1"/>
    <col min="14604" max="14604" width="14.85546875" style="77" customWidth="1"/>
    <col min="14605" max="14605" width="16.5703125" style="77" customWidth="1"/>
    <col min="14606" max="14606" width="18.140625" style="77" bestFit="1" customWidth="1"/>
    <col min="14607" max="14607" width="13.140625" style="77" bestFit="1" customWidth="1"/>
    <col min="14608" max="14841" width="9.140625" style="77"/>
    <col min="14842" max="14842" width="10" style="77" customWidth="1"/>
    <col min="14843" max="14843" width="7.42578125" style="77" customWidth="1"/>
    <col min="14844" max="14844" width="6.42578125" style="77" customWidth="1"/>
    <col min="14845" max="14845" width="22.140625" style="77" customWidth="1"/>
    <col min="14846" max="14846" width="6.140625" style="77" customWidth="1"/>
    <col min="14847" max="14848" width="13.140625" style="77" customWidth="1"/>
    <col min="14849" max="14849" width="9.140625" style="77"/>
    <col min="14850" max="14850" width="12.85546875" style="77" customWidth="1"/>
    <col min="14851" max="14851" width="9.140625" style="77"/>
    <col min="14852" max="14852" width="14.42578125" style="77" customWidth="1"/>
    <col min="14853" max="14854" width="13.140625" style="77" customWidth="1"/>
    <col min="14855" max="14855" width="11.7109375" style="77" customWidth="1"/>
    <col min="14856" max="14856" width="14.85546875" style="77" customWidth="1"/>
    <col min="14857" max="14857" width="13.28515625" style="77" bestFit="1" customWidth="1"/>
    <col min="14858" max="14858" width="14.85546875" style="77" customWidth="1"/>
    <col min="14859" max="14859" width="13.28515625" style="77" bestFit="1" customWidth="1"/>
    <col min="14860" max="14860" width="14.85546875" style="77" customWidth="1"/>
    <col min="14861" max="14861" width="16.5703125" style="77" customWidth="1"/>
    <col min="14862" max="14862" width="18.140625" style="77" bestFit="1" customWidth="1"/>
    <col min="14863" max="14863" width="13.140625" style="77" bestFit="1" customWidth="1"/>
    <col min="14864" max="15097" width="9.140625" style="77"/>
    <col min="15098" max="15098" width="10" style="77" customWidth="1"/>
    <col min="15099" max="15099" width="7.42578125" style="77" customWidth="1"/>
    <col min="15100" max="15100" width="6.42578125" style="77" customWidth="1"/>
    <col min="15101" max="15101" width="22.140625" style="77" customWidth="1"/>
    <col min="15102" max="15102" width="6.140625" style="77" customWidth="1"/>
    <col min="15103" max="15104" width="13.140625" style="77" customWidth="1"/>
    <col min="15105" max="15105" width="9.140625" style="77"/>
    <col min="15106" max="15106" width="12.85546875" style="77" customWidth="1"/>
    <col min="15107" max="15107" width="9.140625" style="77"/>
    <col min="15108" max="15108" width="14.42578125" style="77" customWidth="1"/>
    <col min="15109" max="15110" width="13.140625" style="77" customWidth="1"/>
    <col min="15111" max="15111" width="11.7109375" style="77" customWidth="1"/>
    <col min="15112" max="15112" width="14.85546875" style="77" customWidth="1"/>
    <col min="15113" max="15113" width="13.28515625" style="77" bestFit="1" customWidth="1"/>
    <col min="15114" max="15114" width="14.85546875" style="77" customWidth="1"/>
    <col min="15115" max="15115" width="13.28515625" style="77" bestFit="1" customWidth="1"/>
    <col min="15116" max="15116" width="14.85546875" style="77" customWidth="1"/>
    <col min="15117" max="15117" width="16.5703125" style="77" customWidth="1"/>
    <col min="15118" max="15118" width="18.140625" style="77" bestFit="1" customWidth="1"/>
    <col min="15119" max="15119" width="13.140625" style="77" bestFit="1" customWidth="1"/>
    <col min="15120" max="15353" width="9.140625" style="77"/>
    <col min="15354" max="15354" width="10" style="77" customWidth="1"/>
    <col min="15355" max="15355" width="7.42578125" style="77" customWidth="1"/>
    <col min="15356" max="15356" width="6.42578125" style="77" customWidth="1"/>
    <col min="15357" max="15357" width="22.140625" style="77" customWidth="1"/>
    <col min="15358" max="15358" width="6.140625" style="77" customWidth="1"/>
    <col min="15359" max="15360" width="13.140625" style="77" customWidth="1"/>
    <col min="15361" max="15361" width="9.140625" style="77"/>
    <col min="15362" max="15362" width="12.85546875" style="77" customWidth="1"/>
    <col min="15363" max="15363" width="9.140625" style="77"/>
    <col min="15364" max="15364" width="14.42578125" style="77" customWidth="1"/>
    <col min="15365" max="15366" width="13.140625" style="77" customWidth="1"/>
    <col min="15367" max="15367" width="11.7109375" style="77" customWidth="1"/>
    <col min="15368" max="15368" width="14.85546875" style="77" customWidth="1"/>
    <col min="15369" max="15369" width="13.28515625" style="77" bestFit="1" customWidth="1"/>
    <col min="15370" max="15370" width="14.85546875" style="77" customWidth="1"/>
    <col min="15371" max="15371" width="13.28515625" style="77" bestFit="1" customWidth="1"/>
    <col min="15372" max="15372" width="14.85546875" style="77" customWidth="1"/>
    <col min="15373" max="15373" width="16.5703125" style="77" customWidth="1"/>
    <col min="15374" max="15374" width="18.140625" style="77" bestFit="1" customWidth="1"/>
    <col min="15375" max="15375" width="13.140625" style="77" bestFit="1" customWidth="1"/>
    <col min="15376" max="15609" width="9.140625" style="77"/>
    <col min="15610" max="15610" width="10" style="77" customWidth="1"/>
    <col min="15611" max="15611" width="7.42578125" style="77" customWidth="1"/>
    <col min="15612" max="15612" width="6.42578125" style="77" customWidth="1"/>
    <col min="15613" max="15613" width="22.140625" style="77" customWidth="1"/>
    <col min="15614" max="15614" width="6.140625" style="77" customWidth="1"/>
    <col min="15615" max="15616" width="13.140625" style="77" customWidth="1"/>
    <col min="15617" max="15617" width="9.140625" style="77"/>
    <col min="15618" max="15618" width="12.85546875" style="77" customWidth="1"/>
    <col min="15619" max="15619" width="9.140625" style="77"/>
    <col min="15620" max="15620" width="14.42578125" style="77" customWidth="1"/>
    <col min="15621" max="15622" width="13.140625" style="77" customWidth="1"/>
    <col min="15623" max="15623" width="11.7109375" style="77" customWidth="1"/>
    <col min="15624" max="15624" width="14.85546875" style="77" customWidth="1"/>
    <col min="15625" max="15625" width="13.28515625" style="77" bestFit="1" customWidth="1"/>
    <col min="15626" max="15626" width="14.85546875" style="77" customWidth="1"/>
    <col min="15627" max="15627" width="13.28515625" style="77" bestFit="1" customWidth="1"/>
    <col min="15628" max="15628" width="14.85546875" style="77" customWidth="1"/>
    <col min="15629" max="15629" width="16.5703125" style="77" customWidth="1"/>
    <col min="15630" max="15630" width="18.140625" style="77" bestFit="1" customWidth="1"/>
    <col min="15631" max="15631" width="13.140625" style="77" bestFit="1" customWidth="1"/>
    <col min="15632" max="15865" width="9.140625" style="77"/>
    <col min="15866" max="15866" width="10" style="77" customWidth="1"/>
    <col min="15867" max="15867" width="7.42578125" style="77" customWidth="1"/>
    <col min="15868" max="15868" width="6.42578125" style="77" customWidth="1"/>
    <col min="15869" max="15869" width="22.140625" style="77" customWidth="1"/>
    <col min="15870" max="15870" width="6.140625" style="77" customWidth="1"/>
    <col min="15871" max="15872" width="13.140625" style="77" customWidth="1"/>
    <col min="15873" max="15873" width="9.140625" style="77"/>
    <col min="15874" max="15874" width="12.85546875" style="77" customWidth="1"/>
    <col min="15875" max="15875" width="9.140625" style="77"/>
    <col min="15876" max="15876" width="14.42578125" style="77" customWidth="1"/>
    <col min="15877" max="15878" width="13.140625" style="77" customWidth="1"/>
    <col min="15879" max="15879" width="11.7109375" style="77" customWidth="1"/>
    <col min="15880" max="15880" width="14.85546875" style="77" customWidth="1"/>
    <col min="15881" max="15881" width="13.28515625" style="77" bestFit="1" customWidth="1"/>
    <col min="15882" max="15882" width="14.85546875" style="77" customWidth="1"/>
    <col min="15883" max="15883" width="13.28515625" style="77" bestFit="1" customWidth="1"/>
    <col min="15884" max="15884" width="14.85546875" style="77" customWidth="1"/>
    <col min="15885" max="15885" width="16.5703125" style="77" customWidth="1"/>
    <col min="15886" max="15886" width="18.140625" style="77" bestFit="1" customWidth="1"/>
    <col min="15887" max="15887" width="13.140625" style="77" bestFit="1" customWidth="1"/>
    <col min="15888" max="16121" width="9.140625" style="77"/>
    <col min="16122" max="16122" width="10" style="77" customWidth="1"/>
    <col min="16123" max="16123" width="7.42578125" style="77" customWidth="1"/>
    <col min="16124" max="16124" width="6.42578125" style="77" customWidth="1"/>
    <col min="16125" max="16125" width="22.140625" style="77" customWidth="1"/>
    <col min="16126" max="16126" width="6.140625" style="77" customWidth="1"/>
    <col min="16127" max="16128" width="13.140625" style="77" customWidth="1"/>
    <col min="16129" max="16129" width="9.140625" style="77"/>
    <col min="16130" max="16130" width="12.85546875" style="77" customWidth="1"/>
    <col min="16131" max="16131" width="9.140625" style="77"/>
    <col min="16132" max="16132" width="14.42578125" style="77" customWidth="1"/>
    <col min="16133" max="16134" width="13.140625" style="77" customWidth="1"/>
    <col min="16135" max="16135" width="11.7109375" style="77" customWidth="1"/>
    <col min="16136" max="16136" width="14.85546875" style="77" customWidth="1"/>
    <col min="16137" max="16137" width="13.28515625" style="77" bestFit="1" customWidth="1"/>
    <col min="16138" max="16138" width="14.85546875" style="77" customWidth="1"/>
    <col min="16139" max="16139" width="13.28515625" style="77" bestFit="1" customWidth="1"/>
    <col min="16140" max="16140" width="14.85546875" style="77" customWidth="1"/>
    <col min="16141" max="16141" width="16.5703125" style="77" customWidth="1"/>
    <col min="16142" max="16142" width="18.140625" style="77" bestFit="1" customWidth="1"/>
    <col min="16143" max="16143" width="13.140625" style="77" bestFit="1" customWidth="1"/>
    <col min="16144" max="16384" width="9.140625" style="77"/>
  </cols>
  <sheetData>
    <row r="1" spans="1:22" x14ac:dyDescent="0.2">
      <c r="A1" s="75" t="s">
        <v>102</v>
      </c>
    </row>
    <row r="2" spans="1:22" x14ac:dyDescent="0.2">
      <c r="A2" s="76" t="s">
        <v>0</v>
      </c>
      <c r="J2" s="97" t="s">
        <v>103</v>
      </c>
      <c r="K2" s="154"/>
      <c r="L2" s="135"/>
      <c r="M2" s="371" t="s">
        <v>104</v>
      </c>
      <c r="N2" s="135"/>
    </row>
    <row r="3" spans="1:22" x14ac:dyDescent="0.2">
      <c r="A3" s="76" t="s">
        <v>285</v>
      </c>
      <c r="J3" s="97"/>
      <c r="K3" s="154"/>
      <c r="L3" s="135"/>
      <c r="M3" s="371"/>
      <c r="N3" s="135"/>
    </row>
    <row r="4" spans="1:22" x14ac:dyDescent="0.2">
      <c r="A4" s="347" t="s">
        <v>113</v>
      </c>
      <c r="B4" s="371" t="s">
        <v>286</v>
      </c>
      <c r="J4" s="97" t="s">
        <v>92</v>
      </c>
      <c r="K4" s="97"/>
      <c r="L4" s="135"/>
      <c r="M4" s="371" t="s">
        <v>290</v>
      </c>
      <c r="N4" s="121"/>
    </row>
    <row r="5" spans="1:22" x14ac:dyDescent="0.2">
      <c r="A5" s="76"/>
      <c r="B5" s="76"/>
    </row>
    <row r="6" spans="1:22" x14ac:dyDescent="0.2">
      <c r="A6" s="76" t="s">
        <v>1</v>
      </c>
      <c r="B6" s="188">
        <v>2012</v>
      </c>
    </row>
    <row r="8" spans="1:22" s="81" customFormat="1" ht="38.25" x14ac:dyDescent="0.2">
      <c r="A8" s="359" t="s">
        <v>5</v>
      </c>
      <c r="B8" s="359" t="s">
        <v>288</v>
      </c>
      <c r="C8" s="359" t="s">
        <v>289</v>
      </c>
      <c r="D8" s="359" t="s">
        <v>9</v>
      </c>
      <c r="E8" s="360" t="s">
        <v>107</v>
      </c>
      <c r="F8" s="360" t="s">
        <v>105</v>
      </c>
      <c r="G8" s="361" t="s">
        <v>13</v>
      </c>
      <c r="H8" s="359" t="s">
        <v>108</v>
      </c>
      <c r="I8" s="359" t="s">
        <v>15</v>
      </c>
      <c r="J8" s="362" t="s">
        <v>111</v>
      </c>
      <c r="K8" s="363" t="s">
        <v>110</v>
      </c>
      <c r="L8" s="363" t="s">
        <v>109</v>
      </c>
      <c r="M8" s="363" t="s">
        <v>112</v>
      </c>
      <c r="N8" s="360" t="s">
        <v>101</v>
      </c>
      <c r="O8" s="83"/>
      <c r="P8" s="83"/>
      <c r="Q8" s="83"/>
      <c r="R8" s="83"/>
      <c r="S8" s="83"/>
      <c r="T8" s="83"/>
      <c r="U8" s="83"/>
      <c r="V8" s="83"/>
    </row>
    <row r="9" spans="1:22" x14ac:dyDescent="0.2">
      <c r="A9" s="204" t="s">
        <v>287</v>
      </c>
      <c r="B9" s="205">
        <v>36891</v>
      </c>
      <c r="C9" s="206">
        <v>2000</v>
      </c>
      <c r="D9" s="206">
        <v>25</v>
      </c>
      <c r="E9" s="206">
        <f t="shared" ref="E9:E21" si="0">+C9+D9-1</f>
        <v>2024</v>
      </c>
      <c r="F9" s="207">
        <f t="shared" ref="F9:F21" si="1">IF(D9&gt;0,1/D9,0)</f>
        <v>0.04</v>
      </c>
      <c r="G9" s="222">
        <v>-595727.06000000006</v>
      </c>
      <c r="H9" s="176">
        <f t="shared" ref="H9:H21" si="2">IF(+$B$6-C9+1&gt;D9,D9,+$B$6-C9+1)</f>
        <v>13</v>
      </c>
      <c r="I9" s="176">
        <f t="shared" ref="I9:I21" si="3">IF(E9&gt;=$B$6,+D9-H9,0)</f>
        <v>12</v>
      </c>
      <c r="J9" s="222">
        <f>-G9*F9</f>
        <v>23829.082400000003</v>
      </c>
      <c r="K9" s="222">
        <f t="shared" ref="K9:K21" si="4">IF(E9&gt;=$B$6,+J9,0)</f>
        <v>23829.082400000003</v>
      </c>
      <c r="L9" s="222">
        <f>+J9*H9</f>
        <v>309778.07120000006</v>
      </c>
      <c r="M9" s="222">
        <f>+G9+L9</f>
        <v>-285948.98879999999</v>
      </c>
      <c r="N9" s="364"/>
    </row>
    <row r="10" spans="1:22" x14ac:dyDescent="0.2">
      <c r="A10" s="204" t="s">
        <v>287</v>
      </c>
      <c r="B10" s="205">
        <v>37256</v>
      </c>
      <c r="C10" s="206">
        <v>2001</v>
      </c>
      <c r="D10" s="206">
        <v>25</v>
      </c>
      <c r="E10" s="206">
        <f t="shared" si="0"/>
        <v>2025</v>
      </c>
      <c r="F10" s="207">
        <f t="shared" si="1"/>
        <v>0.04</v>
      </c>
      <c r="G10" s="220">
        <f>-1195116.06+595727.06</f>
        <v>-599389</v>
      </c>
      <c r="H10" s="176">
        <f t="shared" si="2"/>
        <v>12</v>
      </c>
      <c r="I10" s="176">
        <f t="shared" si="3"/>
        <v>13</v>
      </c>
      <c r="J10" s="220">
        <f>-G10*F10</f>
        <v>23975.56</v>
      </c>
      <c r="K10" s="220">
        <f t="shared" si="4"/>
        <v>23975.56</v>
      </c>
      <c r="L10" s="220">
        <f t="shared" ref="L10:L21" si="5">+J10*H10</f>
        <v>287706.72000000003</v>
      </c>
      <c r="M10" s="220">
        <f>+G10+L10</f>
        <v>-311682.27999999997</v>
      </c>
      <c r="N10" s="364"/>
    </row>
    <row r="11" spans="1:22" x14ac:dyDescent="0.2">
      <c r="A11" s="204" t="s">
        <v>287</v>
      </c>
      <c r="B11" s="205">
        <v>37621</v>
      </c>
      <c r="C11" s="206">
        <v>2002</v>
      </c>
      <c r="D11" s="206">
        <v>25</v>
      </c>
      <c r="E11" s="206">
        <f t="shared" si="0"/>
        <v>2026</v>
      </c>
      <c r="F11" s="207">
        <f t="shared" si="1"/>
        <v>0.04</v>
      </c>
      <c r="G11" s="220">
        <f>-659413.45-3501.28</f>
        <v>-662914.73</v>
      </c>
      <c r="H11" s="176">
        <f t="shared" si="2"/>
        <v>11</v>
      </c>
      <c r="I11" s="176">
        <f t="shared" si="3"/>
        <v>14</v>
      </c>
      <c r="J11" s="220">
        <f t="shared" ref="J11:J21" si="6">-G11*F11</f>
        <v>26516.589199999999</v>
      </c>
      <c r="K11" s="220">
        <f t="shared" si="4"/>
        <v>26516.589199999999</v>
      </c>
      <c r="L11" s="220">
        <f t="shared" si="5"/>
        <v>291682.48119999998</v>
      </c>
      <c r="M11" s="220">
        <f t="shared" ref="M11:M21" si="7">+G11+L11</f>
        <v>-371232.2488</v>
      </c>
      <c r="N11" s="364"/>
    </row>
    <row r="12" spans="1:22" x14ac:dyDescent="0.2">
      <c r="A12" s="204" t="s">
        <v>287</v>
      </c>
      <c r="B12" s="233">
        <v>37986</v>
      </c>
      <c r="C12" s="206">
        <v>2003</v>
      </c>
      <c r="D12" s="206">
        <v>25</v>
      </c>
      <c r="E12" s="206">
        <f t="shared" si="0"/>
        <v>2027</v>
      </c>
      <c r="F12" s="207">
        <f t="shared" si="1"/>
        <v>0.04</v>
      </c>
      <c r="G12" s="220">
        <v>-653914.19999999995</v>
      </c>
      <c r="H12" s="176">
        <f t="shared" si="2"/>
        <v>10</v>
      </c>
      <c r="I12" s="176">
        <f t="shared" si="3"/>
        <v>15</v>
      </c>
      <c r="J12" s="220">
        <f t="shared" si="6"/>
        <v>26156.567999999999</v>
      </c>
      <c r="K12" s="220">
        <f t="shared" si="4"/>
        <v>26156.567999999999</v>
      </c>
      <c r="L12" s="220">
        <f t="shared" si="5"/>
        <v>261565.68</v>
      </c>
      <c r="M12" s="220">
        <f t="shared" si="7"/>
        <v>-392348.51999999996</v>
      </c>
      <c r="N12" s="364"/>
    </row>
    <row r="13" spans="1:22" x14ac:dyDescent="0.2">
      <c r="A13" s="204" t="s">
        <v>287</v>
      </c>
      <c r="B13" s="205">
        <v>38352</v>
      </c>
      <c r="C13" s="206">
        <v>2004</v>
      </c>
      <c r="D13" s="206">
        <v>25</v>
      </c>
      <c r="E13" s="206">
        <f t="shared" si="0"/>
        <v>2028</v>
      </c>
      <c r="F13" s="207">
        <f t="shared" si="1"/>
        <v>0.04</v>
      </c>
      <c r="G13" s="220">
        <v>-631538.31999999995</v>
      </c>
      <c r="H13" s="176">
        <f t="shared" si="2"/>
        <v>9</v>
      </c>
      <c r="I13" s="176">
        <f t="shared" si="3"/>
        <v>16</v>
      </c>
      <c r="J13" s="220">
        <f t="shared" si="6"/>
        <v>25261.532799999997</v>
      </c>
      <c r="K13" s="220">
        <f t="shared" si="4"/>
        <v>25261.532799999997</v>
      </c>
      <c r="L13" s="220">
        <f t="shared" si="5"/>
        <v>227353.79519999996</v>
      </c>
      <c r="M13" s="220">
        <f t="shared" si="7"/>
        <v>-404184.52480000001</v>
      </c>
      <c r="N13" s="364"/>
    </row>
    <row r="14" spans="1:22" x14ac:dyDescent="0.2">
      <c r="A14" s="204" t="s">
        <v>287</v>
      </c>
      <c r="B14" s="205">
        <v>38352</v>
      </c>
      <c r="C14" s="206">
        <v>2004</v>
      </c>
      <c r="D14" s="206">
        <v>25</v>
      </c>
      <c r="E14" s="206">
        <f t="shared" si="0"/>
        <v>2028</v>
      </c>
      <c r="F14" s="207">
        <f t="shared" si="1"/>
        <v>0.04</v>
      </c>
      <c r="G14" s="220">
        <v>-19203.84</v>
      </c>
      <c r="H14" s="176">
        <f t="shared" si="2"/>
        <v>9</v>
      </c>
      <c r="I14" s="176">
        <f t="shared" si="3"/>
        <v>16</v>
      </c>
      <c r="J14" s="220">
        <f t="shared" si="6"/>
        <v>768.15359999999998</v>
      </c>
      <c r="K14" s="220">
        <f t="shared" si="4"/>
        <v>768.15359999999998</v>
      </c>
      <c r="L14" s="220">
        <f t="shared" si="5"/>
        <v>6913.3823999999995</v>
      </c>
      <c r="M14" s="220">
        <f t="shared" si="7"/>
        <v>-12290.457600000002</v>
      </c>
      <c r="N14" s="364"/>
    </row>
    <row r="15" spans="1:22" x14ac:dyDescent="0.2">
      <c r="A15" s="204" t="s">
        <v>287</v>
      </c>
      <c r="B15" s="205">
        <v>38717</v>
      </c>
      <c r="C15" s="206">
        <v>2005</v>
      </c>
      <c r="D15" s="206">
        <v>25</v>
      </c>
      <c r="E15" s="206">
        <f t="shared" si="0"/>
        <v>2029</v>
      </c>
      <c r="F15" s="207">
        <f t="shared" si="1"/>
        <v>0.04</v>
      </c>
      <c r="G15" s="220">
        <v>-315187.75</v>
      </c>
      <c r="H15" s="176">
        <f t="shared" si="2"/>
        <v>8</v>
      </c>
      <c r="I15" s="176">
        <f t="shared" si="3"/>
        <v>17</v>
      </c>
      <c r="J15" s="220">
        <f t="shared" si="6"/>
        <v>12607.51</v>
      </c>
      <c r="K15" s="220">
        <f t="shared" si="4"/>
        <v>12607.51</v>
      </c>
      <c r="L15" s="220">
        <f t="shared" si="5"/>
        <v>100860.08</v>
      </c>
      <c r="M15" s="220">
        <f t="shared" si="7"/>
        <v>-214327.66999999998</v>
      </c>
      <c r="N15" s="364"/>
    </row>
    <row r="16" spans="1:22" x14ac:dyDescent="0.2">
      <c r="A16" s="204" t="s">
        <v>287</v>
      </c>
      <c r="B16" s="205">
        <v>39082</v>
      </c>
      <c r="C16" s="206">
        <v>2006</v>
      </c>
      <c r="D16" s="206">
        <v>25</v>
      </c>
      <c r="E16" s="206">
        <f t="shared" si="0"/>
        <v>2030</v>
      </c>
      <c r="F16" s="207">
        <f t="shared" si="1"/>
        <v>0.04</v>
      </c>
      <c r="G16" s="220">
        <f>-4175370.81-SUM(G9:G15)</f>
        <v>-697495.91000000015</v>
      </c>
      <c r="H16" s="176">
        <f t="shared" si="2"/>
        <v>7</v>
      </c>
      <c r="I16" s="176">
        <f t="shared" si="3"/>
        <v>18</v>
      </c>
      <c r="J16" s="220">
        <f t="shared" si="6"/>
        <v>27899.836400000007</v>
      </c>
      <c r="K16" s="220">
        <f t="shared" si="4"/>
        <v>27899.836400000007</v>
      </c>
      <c r="L16" s="220">
        <f t="shared" si="5"/>
        <v>195298.85480000006</v>
      </c>
      <c r="M16" s="220">
        <f t="shared" si="7"/>
        <v>-502197.05520000006</v>
      </c>
      <c r="N16" s="364"/>
    </row>
    <row r="17" spans="1:15" x14ac:dyDescent="0.2">
      <c r="A17" s="204" t="s">
        <v>287</v>
      </c>
      <c r="B17" s="205">
        <v>39447</v>
      </c>
      <c r="C17" s="206">
        <v>2007</v>
      </c>
      <c r="D17" s="206">
        <v>25</v>
      </c>
      <c r="E17" s="206">
        <f t="shared" si="0"/>
        <v>2031</v>
      </c>
      <c r="F17" s="207">
        <f t="shared" si="1"/>
        <v>0.04</v>
      </c>
      <c r="G17" s="220">
        <f>-450-26328.24-32246.71-18488.44-50089.5-72204.66-14701.27-32650.5-200-196064.76-44593.82-870368.61</f>
        <v>-1358386.51</v>
      </c>
      <c r="H17" s="176">
        <f t="shared" si="2"/>
        <v>6</v>
      </c>
      <c r="I17" s="176">
        <f t="shared" si="3"/>
        <v>19</v>
      </c>
      <c r="J17" s="220">
        <f t="shared" si="6"/>
        <v>54335.460400000004</v>
      </c>
      <c r="K17" s="220">
        <f t="shared" si="4"/>
        <v>54335.460400000004</v>
      </c>
      <c r="L17" s="220">
        <f t="shared" si="5"/>
        <v>326012.76240000001</v>
      </c>
      <c r="M17" s="220">
        <f t="shared" si="7"/>
        <v>-1032373.7476</v>
      </c>
      <c r="N17" s="364"/>
    </row>
    <row r="18" spans="1:15" x14ac:dyDescent="0.2">
      <c r="A18" s="204" t="s">
        <v>287</v>
      </c>
      <c r="B18" s="205">
        <v>39813</v>
      </c>
      <c r="C18" s="206">
        <v>2008</v>
      </c>
      <c r="D18" s="206">
        <v>25</v>
      </c>
      <c r="E18" s="206">
        <f t="shared" si="0"/>
        <v>2032</v>
      </c>
      <c r="F18" s="207">
        <f t="shared" si="1"/>
        <v>0.04</v>
      </c>
      <c r="G18" s="220">
        <f>-55547.47-37443.89-62506.97-658.26+16539.76-10898.11+67840.87-1254.34-126884.72-69636.33+126884.72+2125.57-141195.51-33091.07-401695.15</f>
        <v>-727420.90000000014</v>
      </c>
      <c r="H18" s="176">
        <f t="shared" si="2"/>
        <v>5</v>
      </c>
      <c r="I18" s="176">
        <f t="shared" si="3"/>
        <v>20</v>
      </c>
      <c r="J18" s="220">
        <f t="shared" si="6"/>
        <v>29096.836000000007</v>
      </c>
      <c r="K18" s="220">
        <f t="shared" si="4"/>
        <v>29096.836000000007</v>
      </c>
      <c r="L18" s="220">
        <f t="shared" si="5"/>
        <v>145484.18000000002</v>
      </c>
      <c r="M18" s="220">
        <f t="shared" si="7"/>
        <v>-581936.72000000009</v>
      </c>
      <c r="N18" s="364"/>
    </row>
    <row r="19" spans="1:15" x14ac:dyDescent="0.2">
      <c r="A19" s="204" t="s">
        <v>287</v>
      </c>
      <c r="B19" s="205">
        <v>40178</v>
      </c>
      <c r="C19" s="206">
        <v>2009</v>
      </c>
      <c r="D19" s="206">
        <v>25</v>
      </c>
      <c r="E19" s="206">
        <f t="shared" si="0"/>
        <v>2033</v>
      </c>
      <c r="F19" s="207">
        <f t="shared" si="1"/>
        <v>0.04</v>
      </c>
      <c r="G19" s="220">
        <f>-573.9-55540.7-2575.47-6934.59+22212.05-1503.31-814.82+47157.71-252269.02-39212.58+24623.32</f>
        <v>-265431.31</v>
      </c>
      <c r="H19" s="176">
        <f t="shared" si="2"/>
        <v>4</v>
      </c>
      <c r="I19" s="176">
        <f t="shared" si="3"/>
        <v>21</v>
      </c>
      <c r="J19" s="220">
        <f t="shared" si="6"/>
        <v>10617.252399999999</v>
      </c>
      <c r="K19" s="220">
        <f t="shared" si="4"/>
        <v>10617.252399999999</v>
      </c>
      <c r="L19" s="220">
        <f t="shared" si="5"/>
        <v>42469.009599999998</v>
      </c>
      <c r="M19" s="220">
        <f t="shared" si="7"/>
        <v>-222962.30040000001</v>
      </c>
      <c r="N19" s="364"/>
    </row>
    <row r="20" spans="1:15" x14ac:dyDescent="0.2">
      <c r="A20" s="204" t="s">
        <v>287</v>
      </c>
      <c r="B20" s="205">
        <v>40543</v>
      </c>
      <c r="C20" s="206">
        <v>2010</v>
      </c>
      <c r="D20" s="206">
        <v>25</v>
      </c>
      <c r="E20" s="206">
        <f t="shared" si="0"/>
        <v>2034</v>
      </c>
      <c r="F20" s="207">
        <f t="shared" si="1"/>
        <v>0.04</v>
      </c>
      <c r="G20" s="220">
        <f>-1805.73-89227.6-495.97-4890.86-8788.6-42385.53-685.21-137190.84-3326.98-95731.82</f>
        <v>-384529.13999999996</v>
      </c>
      <c r="H20" s="176">
        <f t="shared" si="2"/>
        <v>3</v>
      </c>
      <c r="I20" s="176">
        <f t="shared" si="3"/>
        <v>22</v>
      </c>
      <c r="J20" s="220">
        <f t="shared" si="6"/>
        <v>15381.165599999998</v>
      </c>
      <c r="K20" s="220">
        <f t="shared" si="4"/>
        <v>15381.165599999998</v>
      </c>
      <c r="L20" s="220">
        <f t="shared" si="5"/>
        <v>46143.496799999994</v>
      </c>
      <c r="M20" s="220">
        <f t="shared" si="7"/>
        <v>-338385.64319999993</v>
      </c>
      <c r="N20" s="364"/>
    </row>
    <row r="21" spans="1:15" x14ac:dyDescent="0.2">
      <c r="A21" s="204" t="s">
        <v>287</v>
      </c>
      <c r="B21" s="205">
        <v>40908</v>
      </c>
      <c r="C21" s="206">
        <v>2011</v>
      </c>
      <c r="D21" s="206">
        <v>25</v>
      </c>
      <c r="E21" s="206">
        <f t="shared" si="0"/>
        <v>2035</v>
      </c>
      <c r="F21" s="207">
        <f t="shared" si="1"/>
        <v>0.04</v>
      </c>
      <c r="G21" s="221">
        <f>-2400-8406.74-53255.05-73413.24-302.35-37050.88-5857.87-26333-64846.38</f>
        <v>-271865.51</v>
      </c>
      <c r="H21" s="176">
        <f t="shared" si="2"/>
        <v>2</v>
      </c>
      <c r="I21" s="176">
        <f t="shared" si="3"/>
        <v>23</v>
      </c>
      <c r="J21" s="220">
        <f t="shared" si="6"/>
        <v>10874.6204</v>
      </c>
      <c r="K21" s="220">
        <f t="shared" si="4"/>
        <v>10874.6204</v>
      </c>
      <c r="L21" s="220">
        <f t="shared" si="5"/>
        <v>21749.2408</v>
      </c>
      <c r="M21" s="220">
        <f t="shared" si="7"/>
        <v>-250116.26920000001</v>
      </c>
      <c r="N21" s="364"/>
    </row>
    <row r="22" spans="1:15" x14ac:dyDescent="0.2">
      <c r="A22" s="204" t="s">
        <v>287</v>
      </c>
      <c r="B22" s="205">
        <v>41274</v>
      </c>
      <c r="C22" s="206">
        <v>2012</v>
      </c>
      <c r="D22" s="206">
        <v>25</v>
      </c>
      <c r="E22" s="206">
        <f t="shared" ref="E22" si="8">+C22+D22-1</f>
        <v>2036</v>
      </c>
      <c r="F22" s="207">
        <f t="shared" ref="F22" si="9">IF(D22&gt;0,1/D22,0)</f>
        <v>0.04</v>
      </c>
      <c r="G22" s="221">
        <f>-3954.18-1524.86-42637.9-51255.7-196495.39-7801.07-8401.11-6466.6</f>
        <v>-318536.81</v>
      </c>
      <c r="H22" s="176">
        <f t="shared" ref="H22" si="10">IF(+$B$6-C22+1&gt;D22,D22,+$B$6-C22+1)</f>
        <v>1</v>
      </c>
      <c r="I22" s="176">
        <f t="shared" ref="I22" si="11">IF(E22&gt;=$B$6,+D22-H22,0)</f>
        <v>24</v>
      </c>
      <c r="J22" s="220">
        <f t="shared" ref="J22" si="12">-G22*F22</f>
        <v>12741.472400000001</v>
      </c>
      <c r="K22" s="220">
        <f t="shared" ref="K22" si="13">IF(E22&gt;=$B$6,+J22,0)</f>
        <v>12741.472400000001</v>
      </c>
      <c r="L22" s="220">
        <f t="shared" ref="L22" si="14">+J22*H22</f>
        <v>12741.472400000001</v>
      </c>
      <c r="M22" s="220">
        <f t="shared" ref="M22" si="15">+G22+L22</f>
        <v>-305795.33759999997</v>
      </c>
      <c r="N22" s="364"/>
    </row>
    <row r="23" spans="1:15" s="81" customFormat="1" x14ac:dyDescent="0.2">
      <c r="A23" s="149" t="s">
        <v>100</v>
      </c>
      <c r="B23" s="257"/>
      <c r="C23" s="212"/>
      <c r="D23" s="212"/>
      <c r="E23" s="212"/>
      <c r="F23" s="212"/>
      <c r="G23" s="223">
        <f>SUM(G9:G22)</f>
        <v>-7501540.9899999993</v>
      </c>
      <c r="H23" s="241"/>
      <c r="I23" s="261"/>
      <c r="J23" s="261"/>
      <c r="K23" s="230">
        <f>SUM(K9:K22)</f>
        <v>300061.63960000005</v>
      </c>
      <c r="L23" s="223">
        <f>SUM(L9:L22)</f>
        <v>2275759.2267999998</v>
      </c>
      <c r="M23" s="230">
        <f>SUM(M9:M22)</f>
        <v>-5225781.7631999999</v>
      </c>
      <c r="N23" s="365"/>
      <c r="O23" s="97"/>
    </row>
    <row r="24" spans="1:15" s="81" customFormat="1" x14ac:dyDescent="0.2">
      <c r="A24" s="93"/>
      <c r="B24" s="92"/>
      <c r="C24" s="92"/>
      <c r="D24" s="92"/>
      <c r="E24" s="92"/>
      <c r="F24" s="92"/>
      <c r="G24" s="225"/>
      <c r="H24" s="226"/>
      <c r="I24" s="225"/>
      <c r="J24" s="225"/>
      <c r="K24" s="225"/>
      <c r="L24" s="225"/>
      <c r="M24" s="225"/>
      <c r="N24" s="159"/>
      <c r="O24" s="97"/>
    </row>
    <row r="25" spans="1:15" s="81" customFormat="1" x14ac:dyDescent="0.2">
      <c r="A25" s="93"/>
      <c r="B25" s="92"/>
      <c r="C25" s="92"/>
      <c r="D25" s="92"/>
      <c r="E25" s="92"/>
      <c r="F25" s="247"/>
      <c r="G25" s="225"/>
      <c r="H25" s="226"/>
      <c r="I25" s="225"/>
      <c r="J25" s="225"/>
      <c r="K25" s="225"/>
      <c r="L25" s="225">
        <v>1975697.6</v>
      </c>
      <c r="M25" s="225"/>
      <c r="N25" s="159"/>
      <c r="O25" s="99"/>
    </row>
    <row r="26" spans="1:15" s="81" customFormat="1" x14ac:dyDescent="0.2">
      <c r="A26" s="93"/>
      <c r="B26" s="92"/>
      <c r="C26" s="92"/>
      <c r="D26" s="92"/>
      <c r="E26" s="92"/>
      <c r="F26" s="171"/>
      <c r="G26" s="225"/>
      <c r="H26" s="226"/>
      <c r="I26" s="225"/>
      <c r="J26" s="225"/>
      <c r="K26" s="225"/>
      <c r="L26" s="225"/>
      <c r="M26" s="225"/>
      <c r="N26" s="159"/>
      <c r="O26" s="97"/>
    </row>
    <row r="27" spans="1:15" s="81" customFormat="1" x14ac:dyDescent="0.2">
      <c r="A27" s="93"/>
      <c r="B27" s="92"/>
      <c r="C27" s="92"/>
      <c r="D27" s="92"/>
      <c r="E27" s="92"/>
      <c r="F27" s="227"/>
      <c r="G27" s="225"/>
      <c r="H27" s="352"/>
      <c r="I27" s="225"/>
      <c r="J27" s="225"/>
      <c r="K27" s="225"/>
      <c r="L27" s="225">
        <f>+L23-L25</f>
        <v>300061.62679999974</v>
      </c>
      <c r="M27" s="225"/>
      <c r="N27" s="159"/>
      <c r="O27" s="97"/>
    </row>
    <row r="28" spans="1:15" x14ac:dyDescent="0.2">
      <c r="G28" s="116"/>
      <c r="H28" s="125"/>
      <c r="I28" s="112"/>
      <c r="J28" s="112"/>
      <c r="K28" s="160"/>
      <c r="L28" s="160"/>
      <c r="M28" s="160"/>
      <c r="N28" s="159"/>
      <c r="O28" s="112"/>
    </row>
    <row r="29" spans="1:15" x14ac:dyDescent="0.2">
      <c r="G29" s="112"/>
      <c r="H29" s="111"/>
      <c r="I29" s="112"/>
      <c r="J29" s="121"/>
      <c r="K29" s="292"/>
      <c r="L29" s="292"/>
      <c r="M29" s="292"/>
      <c r="N29" s="358"/>
      <c r="O29" s="112"/>
    </row>
    <row r="30" spans="1:15" x14ac:dyDescent="0.2">
      <c r="G30" s="116"/>
      <c r="H30" s="111"/>
      <c r="I30" s="112"/>
      <c r="J30" s="121"/>
      <c r="K30" s="198"/>
      <c r="L30" s="295"/>
      <c r="M30" s="292"/>
      <c r="N30" s="358"/>
      <c r="O30" s="112"/>
    </row>
    <row r="31" spans="1:15" x14ac:dyDescent="0.2">
      <c r="G31" s="378"/>
      <c r="H31" s="111"/>
      <c r="I31" s="112"/>
      <c r="J31" s="121"/>
      <c r="K31" s="121"/>
      <c r="L31" s="202"/>
      <c r="M31" s="292"/>
      <c r="N31" s="358"/>
      <c r="O31" s="112"/>
    </row>
    <row r="32" spans="1:15" x14ac:dyDescent="0.2">
      <c r="G32" s="112"/>
      <c r="H32" s="111"/>
      <c r="I32" s="112"/>
      <c r="J32" s="121"/>
      <c r="K32" s="201"/>
      <c r="L32" s="202"/>
      <c r="M32" s="292"/>
      <c r="N32" s="358"/>
      <c r="O32" s="112"/>
    </row>
    <row r="33" spans="7:15" x14ac:dyDescent="0.2">
      <c r="G33" s="112"/>
      <c r="H33" s="111"/>
      <c r="I33" s="112"/>
      <c r="J33" s="121"/>
      <c r="K33" s="121"/>
      <c r="L33" s="202"/>
      <c r="M33" s="292"/>
      <c r="N33" s="358"/>
      <c r="O33" s="112"/>
    </row>
    <row r="34" spans="7:15" x14ac:dyDescent="0.2">
      <c r="G34" s="112"/>
      <c r="H34" s="111"/>
      <c r="I34" s="112"/>
      <c r="J34" s="121"/>
      <c r="K34" s="201"/>
      <c r="L34" s="202"/>
      <c r="M34" s="292"/>
      <c r="N34" s="358"/>
      <c r="O34" s="112"/>
    </row>
    <row r="35" spans="7:15" x14ac:dyDescent="0.2">
      <c r="G35" s="112"/>
      <c r="H35" s="111"/>
      <c r="I35" s="112"/>
      <c r="J35" s="121"/>
      <c r="K35" s="121"/>
      <c r="L35" s="202"/>
      <c r="M35" s="292"/>
      <c r="N35" s="358"/>
      <c r="O35" s="112"/>
    </row>
    <row r="36" spans="7:15" x14ac:dyDescent="0.2">
      <c r="G36" s="112"/>
      <c r="H36" s="111"/>
      <c r="I36" s="112"/>
      <c r="J36" s="121"/>
      <c r="K36" s="202"/>
      <c r="L36" s="202"/>
      <c r="M36" s="292"/>
      <c r="N36" s="358"/>
      <c r="O36" s="112"/>
    </row>
    <row r="37" spans="7:15" x14ac:dyDescent="0.2">
      <c r="G37" s="112"/>
      <c r="H37" s="111"/>
      <c r="I37" s="112"/>
      <c r="J37" s="112"/>
      <c r="K37" s="112"/>
      <c r="L37" s="112"/>
      <c r="M37" s="112"/>
      <c r="N37" s="358"/>
      <c r="O37" s="112"/>
    </row>
    <row r="38" spans="7:15" x14ac:dyDescent="0.2">
      <c r="G38" s="112"/>
      <c r="H38" s="111"/>
      <c r="I38" s="112"/>
      <c r="J38" s="112"/>
      <c r="K38" s="116"/>
      <c r="L38" s="116"/>
      <c r="M38" s="112"/>
      <c r="N38" s="358"/>
      <c r="O38" s="112"/>
    </row>
  </sheetData>
  <printOptions horizontalCentered="1"/>
  <pageMargins left="0.39370078740157483" right="0.39370078740157483" top="0.39370078740157483" bottom="0.78740157480314965" header="0" footer="0.59055118110236227"/>
  <pageSetup scale="70" orientation="landscape" r:id="rId1"/>
  <headerFooter>
    <oddFooter>&amp;L&amp;"Calibri,Regular"&amp;D&amp;C&amp;"Calibri,Regular"Page &amp;P of &amp;N&amp;R&amp;"Calibri,Regular"&amp;F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opLeftCell="A45" workbookViewId="0">
      <selection activeCell="J54" sqref="J54:N60"/>
    </sheetView>
  </sheetViews>
  <sheetFormatPr defaultColWidth="9.140625" defaultRowHeight="12.75" x14ac:dyDescent="0.2"/>
  <cols>
    <col min="1" max="1" width="20.42578125" style="77" customWidth="1"/>
    <col min="2" max="2" width="13.140625" style="79" customWidth="1"/>
    <col min="3" max="3" width="9" style="79" bestFit="1" customWidth="1"/>
    <col min="4" max="4" width="5.42578125" style="79" bestFit="1" customWidth="1"/>
    <col min="5" max="5" width="10.140625" style="79" bestFit="1" customWidth="1"/>
    <col min="6" max="6" width="6.42578125" style="79" customWidth="1"/>
    <col min="7" max="7" width="13.5703125" style="77" bestFit="1" customWidth="1"/>
    <col min="8" max="8" width="9.7109375" style="79" bestFit="1" customWidth="1"/>
    <col min="9" max="9" width="10.42578125" style="77" customWidth="1"/>
    <col min="10" max="10" width="12.28515625" style="77" customWidth="1"/>
    <col min="11" max="11" width="11.7109375" style="77" bestFit="1" customWidth="1"/>
    <col min="12" max="12" width="14.5703125" style="77" bestFit="1" customWidth="1"/>
    <col min="13" max="13" width="14.140625" style="77" customWidth="1"/>
    <col min="14" max="14" width="9.42578125" style="79" customWidth="1"/>
    <col min="15" max="15" width="4.85546875" style="77" customWidth="1"/>
    <col min="16" max="16" width="20.85546875" style="77" customWidth="1"/>
    <col min="17" max="17" width="13.5703125" style="77" bestFit="1" customWidth="1"/>
    <col min="18" max="19" width="9.140625" style="77"/>
    <col min="20" max="20" width="11.5703125" style="77" bestFit="1" customWidth="1"/>
    <col min="21" max="21" width="13.5703125" style="77" bestFit="1" customWidth="1"/>
    <col min="22" max="240" width="9.140625" style="77"/>
    <col min="241" max="242" width="10" style="77" customWidth="1"/>
    <col min="243" max="243" width="9.140625" style="77"/>
    <col min="244" max="244" width="24" style="77" customWidth="1"/>
    <col min="245" max="245" width="12.85546875" style="77" customWidth="1"/>
    <col min="246" max="247" width="13.140625" style="77" customWidth="1"/>
    <col min="248" max="248" width="9.140625" style="77"/>
    <col min="249" max="249" width="12.85546875" style="77" customWidth="1"/>
    <col min="250" max="250" width="9.140625" style="77"/>
    <col min="251" max="251" width="9.28515625" style="77" customWidth="1"/>
    <col min="252" max="252" width="20.140625" style="77" bestFit="1" customWidth="1"/>
    <col min="253" max="253" width="10.5703125" style="77" customWidth="1"/>
    <col min="254" max="254" width="12.7109375" style="77" customWidth="1"/>
    <col min="255" max="255" width="17" style="77" customWidth="1"/>
    <col min="256" max="256" width="14.7109375" style="77" customWidth="1"/>
    <col min="257" max="257" width="14.85546875" style="77" customWidth="1"/>
    <col min="258" max="258" width="17.7109375" style="77" customWidth="1"/>
    <col min="259" max="259" width="19.42578125" style="77" bestFit="1" customWidth="1"/>
    <col min="260" max="260" width="18" style="77" customWidth="1"/>
    <col min="261" max="261" width="20.140625" style="77" customWidth="1"/>
    <col min="262" max="262" width="22.28515625" style="77" bestFit="1" customWidth="1"/>
    <col min="263" max="271" width="9.140625" style="77"/>
    <col min="272" max="272" width="13.5703125" style="77" bestFit="1" customWidth="1"/>
    <col min="273" max="496" width="9.140625" style="77"/>
    <col min="497" max="498" width="10" style="77" customWidth="1"/>
    <col min="499" max="499" width="9.140625" style="77"/>
    <col min="500" max="500" width="24" style="77" customWidth="1"/>
    <col min="501" max="501" width="12.85546875" style="77" customWidth="1"/>
    <col min="502" max="503" width="13.140625" style="77" customWidth="1"/>
    <col min="504" max="504" width="9.140625" style="77"/>
    <col min="505" max="505" width="12.85546875" style="77" customWidth="1"/>
    <col min="506" max="506" width="9.140625" style="77"/>
    <col min="507" max="507" width="9.28515625" style="77" customWidth="1"/>
    <col min="508" max="508" width="20.140625" style="77" bestFit="1" customWidth="1"/>
    <col min="509" max="509" width="10.5703125" style="77" customWidth="1"/>
    <col min="510" max="510" width="12.7109375" style="77" customWidth="1"/>
    <col min="511" max="511" width="17" style="77" customWidth="1"/>
    <col min="512" max="512" width="14.7109375" style="77" customWidth="1"/>
    <col min="513" max="513" width="14.85546875" style="77" customWidth="1"/>
    <col min="514" max="514" width="17.7109375" style="77" customWidth="1"/>
    <col min="515" max="515" width="19.42578125" style="77" bestFit="1" customWidth="1"/>
    <col min="516" max="516" width="18" style="77" customWidth="1"/>
    <col min="517" max="517" width="20.140625" style="77" customWidth="1"/>
    <col min="518" max="518" width="22.28515625" style="77" bestFit="1" customWidth="1"/>
    <col min="519" max="527" width="9.140625" style="77"/>
    <col min="528" max="528" width="13.5703125" style="77" bestFit="1" customWidth="1"/>
    <col min="529" max="752" width="9.140625" style="77"/>
    <col min="753" max="754" width="10" style="77" customWidth="1"/>
    <col min="755" max="755" width="9.140625" style="77"/>
    <col min="756" max="756" width="24" style="77" customWidth="1"/>
    <col min="757" max="757" width="12.85546875" style="77" customWidth="1"/>
    <col min="758" max="759" width="13.140625" style="77" customWidth="1"/>
    <col min="760" max="760" width="9.140625" style="77"/>
    <col min="761" max="761" width="12.85546875" style="77" customWidth="1"/>
    <col min="762" max="762" width="9.140625" style="77"/>
    <col min="763" max="763" width="9.28515625" style="77" customWidth="1"/>
    <col min="764" max="764" width="20.140625" style="77" bestFit="1" customWidth="1"/>
    <col min="765" max="765" width="10.5703125" style="77" customWidth="1"/>
    <col min="766" max="766" width="12.7109375" style="77" customWidth="1"/>
    <col min="767" max="767" width="17" style="77" customWidth="1"/>
    <col min="768" max="768" width="14.7109375" style="77" customWidth="1"/>
    <col min="769" max="769" width="14.85546875" style="77" customWidth="1"/>
    <col min="770" max="770" width="17.7109375" style="77" customWidth="1"/>
    <col min="771" max="771" width="19.42578125" style="77" bestFit="1" customWidth="1"/>
    <col min="772" max="772" width="18" style="77" customWidth="1"/>
    <col min="773" max="773" width="20.140625" style="77" customWidth="1"/>
    <col min="774" max="774" width="22.28515625" style="77" bestFit="1" customWidth="1"/>
    <col min="775" max="783" width="9.140625" style="77"/>
    <col min="784" max="784" width="13.5703125" style="77" bestFit="1" customWidth="1"/>
    <col min="785" max="1008" width="9.140625" style="77"/>
    <col min="1009" max="1010" width="10" style="77" customWidth="1"/>
    <col min="1011" max="1011" width="9.140625" style="77"/>
    <col min="1012" max="1012" width="24" style="77" customWidth="1"/>
    <col min="1013" max="1013" width="12.85546875" style="77" customWidth="1"/>
    <col min="1014" max="1015" width="13.140625" style="77" customWidth="1"/>
    <col min="1016" max="1016" width="9.140625" style="77"/>
    <col min="1017" max="1017" width="12.85546875" style="77" customWidth="1"/>
    <col min="1018" max="1018" width="9.140625" style="77"/>
    <col min="1019" max="1019" width="9.28515625" style="77" customWidth="1"/>
    <col min="1020" max="1020" width="20.140625" style="77" bestFit="1" customWidth="1"/>
    <col min="1021" max="1021" width="10.5703125" style="77" customWidth="1"/>
    <col min="1022" max="1022" width="12.7109375" style="77" customWidth="1"/>
    <col min="1023" max="1023" width="17" style="77" customWidth="1"/>
    <col min="1024" max="1024" width="14.7109375" style="77" customWidth="1"/>
    <col min="1025" max="1025" width="14.85546875" style="77" customWidth="1"/>
    <col min="1026" max="1026" width="17.7109375" style="77" customWidth="1"/>
    <col min="1027" max="1027" width="19.42578125" style="77" bestFit="1" customWidth="1"/>
    <col min="1028" max="1028" width="18" style="77" customWidth="1"/>
    <col min="1029" max="1029" width="20.140625" style="77" customWidth="1"/>
    <col min="1030" max="1030" width="22.28515625" style="77" bestFit="1" customWidth="1"/>
    <col min="1031" max="1039" width="9.140625" style="77"/>
    <col min="1040" max="1040" width="13.5703125" style="77" bestFit="1" customWidth="1"/>
    <col min="1041" max="1264" width="9.140625" style="77"/>
    <col min="1265" max="1266" width="10" style="77" customWidth="1"/>
    <col min="1267" max="1267" width="9.140625" style="77"/>
    <col min="1268" max="1268" width="24" style="77" customWidth="1"/>
    <col min="1269" max="1269" width="12.85546875" style="77" customWidth="1"/>
    <col min="1270" max="1271" width="13.140625" style="77" customWidth="1"/>
    <col min="1272" max="1272" width="9.140625" style="77"/>
    <col min="1273" max="1273" width="12.85546875" style="77" customWidth="1"/>
    <col min="1274" max="1274" width="9.140625" style="77"/>
    <col min="1275" max="1275" width="9.28515625" style="77" customWidth="1"/>
    <col min="1276" max="1276" width="20.140625" style="77" bestFit="1" customWidth="1"/>
    <col min="1277" max="1277" width="10.5703125" style="77" customWidth="1"/>
    <col min="1278" max="1278" width="12.7109375" style="77" customWidth="1"/>
    <col min="1279" max="1279" width="17" style="77" customWidth="1"/>
    <col min="1280" max="1280" width="14.7109375" style="77" customWidth="1"/>
    <col min="1281" max="1281" width="14.85546875" style="77" customWidth="1"/>
    <col min="1282" max="1282" width="17.7109375" style="77" customWidth="1"/>
    <col min="1283" max="1283" width="19.42578125" style="77" bestFit="1" customWidth="1"/>
    <col min="1284" max="1284" width="18" style="77" customWidth="1"/>
    <col min="1285" max="1285" width="20.140625" style="77" customWidth="1"/>
    <col min="1286" max="1286" width="22.28515625" style="77" bestFit="1" customWidth="1"/>
    <col min="1287" max="1295" width="9.140625" style="77"/>
    <col min="1296" max="1296" width="13.5703125" style="77" bestFit="1" customWidth="1"/>
    <col min="1297" max="1520" width="9.140625" style="77"/>
    <col min="1521" max="1522" width="10" style="77" customWidth="1"/>
    <col min="1523" max="1523" width="9.140625" style="77"/>
    <col min="1524" max="1524" width="24" style="77" customWidth="1"/>
    <col min="1525" max="1525" width="12.85546875" style="77" customWidth="1"/>
    <col min="1526" max="1527" width="13.140625" style="77" customWidth="1"/>
    <col min="1528" max="1528" width="9.140625" style="77"/>
    <col min="1529" max="1529" width="12.85546875" style="77" customWidth="1"/>
    <col min="1530" max="1530" width="9.140625" style="77"/>
    <col min="1531" max="1531" width="9.28515625" style="77" customWidth="1"/>
    <col min="1532" max="1532" width="20.140625" style="77" bestFit="1" customWidth="1"/>
    <col min="1533" max="1533" width="10.5703125" style="77" customWidth="1"/>
    <col min="1534" max="1534" width="12.7109375" style="77" customWidth="1"/>
    <col min="1535" max="1535" width="17" style="77" customWidth="1"/>
    <col min="1536" max="1536" width="14.7109375" style="77" customWidth="1"/>
    <col min="1537" max="1537" width="14.85546875" style="77" customWidth="1"/>
    <col min="1538" max="1538" width="17.7109375" style="77" customWidth="1"/>
    <col min="1539" max="1539" width="19.42578125" style="77" bestFit="1" customWidth="1"/>
    <col min="1540" max="1540" width="18" style="77" customWidth="1"/>
    <col min="1541" max="1541" width="20.140625" style="77" customWidth="1"/>
    <col min="1542" max="1542" width="22.28515625" style="77" bestFit="1" customWidth="1"/>
    <col min="1543" max="1551" width="9.140625" style="77"/>
    <col min="1552" max="1552" width="13.5703125" style="77" bestFit="1" customWidth="1"/>
    <col min="1553" max="1776" width="9.140625" style="77"/>
    <col min="1777" max="1778" width="10" style="77" customWidth="1"/>
    <col min="1779" max="1779" width="9.140625" style="77"/>
    <col min="1780" max="1780" width="24" style="77" customWidth="1"/>
    <col min="1781" max="1781" width="12.85546875" style="77" customWidth="1"/>
    <col min="1782" max="1783" width="13.140625" style="77" customWidth="1"/>
    <col min="1784" max="1784" width="9.140625" style="77"/>
    <col min="1785" max="1785" width="12.85546875" style="77" customWidth="1"/>
    <col min="1786" max="1786" width="9.140625" style="77"/>
    <col min="1787" max="1787" width="9.28515625" style="77" customWidth="1"/>
    <col min="1788" max="1788" width="20.140625" style="77" bestFit="1" customWidth="1"/>
    <col min="1789" max="1789" width="10.5703125" style="77" customWidth="1"/>
    <col min="1790" max="1790" width="12.7109375" style="77" customWidth="1"/>
    <col min="1791" max="1791" width="17" style="77" customWidth="1"/>
    <col min="1792" max="1792" width="14.7109375" style="77" customWidth="1"/>
    <col min="1793" max="1793" width="14.85546875" style="77" customWidth="1"/>
    <col min="1794" max="1794" width="17.7109375" style="77" customWidth="1"/>
    <col min="1795" max="1795" width="19.42578125" style="77" bestFit="1" customWidth="1"/>
    <col min="1796" max="1796" width="18" style="77" customWidth="1"/>
    <col min="1797" max="1797" width="20.140625" style="77" customWidth="1"/>
    <col min="1798" max="1798" width="22.28515625" style="77" bestFit="1" customWidth="1"/>
    <col min="1799" max="1807" width="9.140625" style="77"/>
    <col min="1808" max="1808" width="13.5703125" style="77" bestFit="1" customWidth="1"/>
    <col min="1809" max="2032" width="9.140625" style="77"/>
    <col min="2033" max="2034" width="10" style="77" customWidth="1"/>
    <col min="2035" max="2035" width="9.140625" style="77"/>
    <col min="2036" max="2036" width="24" style="77" customWidth="1"/>
    <col min="2037" max="2037" width="12.85546875" style="77" customWidth="1"/>
    <col min="2038" max="2039" width="13.140625" style="77" customWidth="1"/>
    <col min="2040" max="2040" width="9.140625" style="77"/>
    <col min="2041" max="2041" width="12.85546875" style="77" customWidth="1"/>
    <col min="2042" max="2042" width="9.140625" style="77"/>
    <col min="2043" max="2043" width="9.28515625" style="77" customWidth="1"/>
    <col min="2044" max="2044" width="20.140625" style="77" bestFit="1" customWidth="1"/>
    <col min="2045" max="2045" width="10.5703125" style="77" customWidth="1"/>
    <col min="2046" max="2046" width="12.7109375" style="77" customWidth="1"/>
    <col min="2047" max="2047" width="17" style="77" customWidth="1"/>
    <col min="2048" max="2048" width="14.7109375" style="77" customWidth="1"/>
    <col min="2049" max="2049" width="14.85546875" style="77" customWidth="1"/>
    <col min="2050" max="2050" width="17.7109375" style="77" customWidth="1"/>
    <col min="2051" max="2051" width="19.42578125" style="77" bestFit="1" customWidth="1"/>
    <col min="2052" max="2052" width="18" style="77" customWidth="1"/>
    <col min="2053" max="2053" width="20.140625" style="77" customWidth="1"/>
    <col min="2054" max="2054" width="22.28515625" style="77" bestFit="1" customWidth="1"/>
    <col min="2055" max="2063" width="9.140625" style="77"/>
    <col min="2064" max="2064" width="13.5703125" style="77" bestFit="1" customWidth="1"/>
    <col min="2065" max="2288" width="9.140625" style="77"/>
    <col min="2289" max="2290" width="10" style="77" customWidth="1"/>
    <col min="2291" max="2291" width="9.140625" style="77"/>
    <col min="2292" max="2292" width="24" style="77" customWidth="1"/>
    <col min="2293" max="2293" width="12.85546875" style="77" customWidth="1"/>
    <col min="2294" max="2295" width="13.140625" style="77" customWidth="1"/>
    <col min="2296" max="2296" width="9.140625" style="77"/>
    <col min="2297" max="2297" width="12.85546875" style="77" customWidth="1"/>
    <col min="2298" max="2298" width="9.140625" style="77"/>
    <col min="2299" max="2299" width="9.28515625" style="77" customWidth="1"/>
    <col min="2300" max="2300" width="20.140625" style="77" bestFit="1" customWidth="1"/>
    <col min="2301" max="2301" width="10.5703125" style="77" customWidth="1"/>
    <col min="2302" max="2302" width="12.7109375" style="77" customWidth="1"/>
    <col min="2303" max="2303" width="17" style="77" customWidth="1"/>
    <col min="2304" max="2304" width="14.7109375" style="77" customWidth="1"/>
    <col min="2305" max="2305" width="14.85546875" style="77" customWidth="1"/>
    <col min="2306" max="2306" width="17.7109375" style="77" customWidth="1"/>
    <col min="2307" max="2307" width="19.42578125" style="77" bestFit="1" customWidth="1"/>
    <col min="2308" max="2308" width="18" style="77" customWidth="1"/>
    <col min="2309" max="2309" width="20.140625" style="77" customWidth="1"/>
    <col min="2310" max="2310" width="22.28515625" style="77" bestFit="1" customWidth="1"/>
    <col min="2311" max="2319" width="9.140625" style="77"/>
    <col min="2320" max="2320" width="13.5703125" style="77" bestFit="1" customWidth="1"/>
    <col min="2321" max="2544" width="9.140625" style="77"/>
    <col min="2545" max="2546" width="10" style="77" customWidth="1"/>
    <col min="2547" max="2547" width="9.140625" style="77"/>
    <col min="2548" max="2548" width="24" style="77" customWidth="1"/>
    <col min="2549" max="2549" width="12.85546875" style="77" customWidth="1"/>
    <col min="2550" max="2551" width="13.140625" style="77" customWidth="1"/>
    <col min="2552" max="2552" width="9.140625" style="77"/>
    <col min="2553" max="2553" width="12.85546875" style="77" customWidth="1"/>
    <col min="2554" max="2554" width="9.140625" style="77"/>
    <col min="2555" max="2555" width="9.28515625" style="77" customWidth="1"/>
    <col min="2556" max="2556" width="20.140625" style="77" bestFit="1" customWidth="1"/>
    <col min="2557" max="2557" width="10.5703125" style="77" customWidth="1"/>
    <col min="2558" max="2558" width="12.7109375" style="77" customWidth="1"/>
    <col min="2559" max="2559" width="17" style="77" customWidth="1"/>
    <col min="2560" max="2560" width="14.7109375" style="77" customWidth="1"/>
    <col min="2561" max="2561" width="14.85546875" style="77" customWidth="1"/>
    <col min="2562" max="2562" width="17.7109375" style="77" customWidth="1"/>
    <col min="2563" max="2563" width="19.42578125" style="77" bestFit="1" customWidth="1"/>
    <col min="2564" max="2564" width="18" style="77" customWidth="1"/>
    <col min="2565" max="2565" width="20.140625" style="77" customWidth="1"/>
    <col min="2566" max="2566" width="22.28515625" style="77" bestFit="1" customWidth="1"/>
    <col min="2567" max="2575" width="9.140625" style="77"/>
    <col min="2576" max="2576" width="13.5703125" style="77" bestFit="1" customWidth="1"/>
    <col min="2577" max="2800" width="9.140625" style="77"/>
    <col min="2801" max="2802" width="10" style="77" customWidth="1"/>
    <col min="2803" max="2803" width="9.140625" style="77"/>
    <col min="2804" max="2804" width="24" style="77" customWidth="1"/>
    <col min="2805" max="2805" width="12.85546875" style="77" customWidth="1"/>
    <col min="2806" max="2807" width="13.140625" style="77" customWidth="1"/>
    <col min="2808" max="2808" width="9.140625" style="77"/>
    <col min="2809" max="2809" width="12.85546875" style="77" customWidth="1"/>
    <col min="2810" max="2810" width="9.140625" style="77"/>
    <col min="2811" max="2811" width="9.28515625" style="77" customWidth="1"/>
    <col min="2812" max="2812" width="20.140625" style="77" bestFit="1" customWidth="1"/>
    <col min="2813" max="2813" width="10.5703125" style="77" customWidth="1"/>
    <col min="2814" max="2814" width="12.7109375" style="77" customWidth="1"/>
    <col min="2815" max="2815" width="17" style="77" customWidth="1"/>
    <col min="2816" max="2816" width="14.7109375" style="77" customWidth="1"/>
    <col min="2817" max="2817" width="14.85546875" style="77" customWidth="1"/>
    <col min="2818" max="2818" width="17.7109375" style="77" customWidth="1"/>
    <col min="2819" max="2819" width="19.42578125" style="77" bestFit="1" customWidth="1"/>
    <col min="2820" max="2820" width="18" style="77" customWidth="1"/>
    <col min="2821" max="2821" width="20.140625" style="77" customWidth="1"/>
    <col min="2822" max="2822" width="22.28515625" style="77" bestFit="1" customWidth="1"/>
    <col min="2823" max="2831" width="9.140625" style="77"/>
    <col min="2832" max="2832" width="13.5703125" style="77" bestFit="1" customWidth="1"/>
    <col min="2833" max="3056" width="9.140625" style="77"/>
    <col min="3057" max="3058" width="10" style="77" customWidth="1"/>
    <col min="3059" max="3059" width="9.140625" style="77"/>
    <col min="3060" max="3060" width="24" style="77" customWidth="1"/>
    <col min="3061" max="3061" width="12.85546875" style="77" customWidth="1"/>
    <col min="3062" max="3063" width="13.140625" style="77" customWidth="1"/>
    <col min="3064" max="3064" width="9.140625" style="77"/>
    <col min="3065" max="3065" width="12.85546875" style="77" customWidth="1"/>
    <col min="3066" max="3066" width="9.140625" style="77"/>
    <col min="3067" max="3067" width="9.28515625" style="77" customWidth="1"/>
    <col min="3068" max="3068" width="20.140625" style="77" bestFit="1" customWidth="1"/>
    <col min="3069" max="3069" width="10.5703125" style="77" customWidth="1"/>
    <col min="3070" max="3070" width="12.7109375" style="77" customWidth="1"/>
    <col min="3071" max="3071" width="17" style="77" customWidth="1"/>
    <col min="3072" max="3072" width="14.7109375" style="77" customWidth="1"/>
    <col min="3073" max="3073" width="14.85546875" style="77" customWidth="1"/>
    <col min="3074" max="3074" width="17.7109375" style="77" customWidth="1"/>
    <col min="3075" max="3075" width="19.42578125" style="77" bestFit="1" customWidth="1"/>
    <col min="3076" max="3076" width="18" style="77" customWidth="1"/>
    <col min="3077" max="3077" width="20.140625" style="77" customWidth="1"/>
    <col min="3078" max="3078" width="22.28515625" style="77" bestFit="1" customWidth="1"/>
    <col min="3079" max="3087" width="9.140625" style="77"/>
    <col min="3088" max="3088" width="13.5703125" style="77" bestFit="1" customWidth="1"/>
    <col min="3089" max="3312" width="9.140625" style="77"/>
    <col min="3313" max="3314" width="10" style="77" customWidth="1"/>
    <col min="3315" max="3315" width="9.140625" style="77"/>
    <col min="3316" max="3316" width="24" style="77" customWidth="1"/>
    <col min="3317" max="3317" width="12.85546875" style="77" customWidth="1"/>
    <col min="3318" max="3319" width="13.140625" style="77" customWidth="1"/>
    <col min="3320" max="3320" width="9.140625" style="77"/>
    <col min="3321" max="3321" width="12.85546875" style="77" customWidth="1"/>
    <col min="3322" max="3322" width="9.140625" style="77"/>
    <col min="3323" max="3323" width="9.28515625" style="77" customWidth="1"/>
    <col min="3324" max="3324" width="20.140625" style="77" bestFit="1" customWidth="1"/>
    <col min="3325" max="3325" width="10.5703125" style="77" customWidth="1"/>
    <col min="3326" max="3326" width="12.7109375" style="77" customWidth="1"/>
    <col min="3327" max="3327" width="17" style="77" customWidth="1"/>
    <col min="3328" max="3328" width="14.7109375" style="77" customWidth="1"/>
    <col min="3329" max="3329" width="14.85546875" style="77" customWidth="1"/>
    <col min="3330" max="3330" width="17.7109375" style="77" customWidth="1"/>
    <col min="3331" max="3331" width="19.42578125" style="77" bestFit="1" customWidth="1"/>
    <col min="3332" max="3332" width="18" style="77" customWidth="1"/>
    <col min="3333" max="3333" width="20.140625" style="77" customWidth="1"/>
    <col min="3334" max="3334" width="22.28515625" style="77" bestFit="1" customWidth="1"/>
    <col min="3335" max="3343" width="9.140625" style="77"/>
    <col min="3344" max="3344" width="13.5703125" style="77" bestFit="1" customWidth="1"/>
    <col min="3345" max="3568" width="9.140625" style="77"/>
    <col min="3569" max="3570" width="10" style="77" customWidth="1"/>
    <col min="3571" max="3571" width="9.140625" style="77"/>
    <col min="3572" max="3572" width="24" style="77" customWidth="1"/>
    <col min="3573" max="3573" width="12.85546875" style="77" customWidth="1"/>
    <col min="3574" max="3575" width="13.140625" style="77" customWidth="1"/>
    <col min="3576" max="3576" width="9.140625" style="77"/>
    <col min="3577" max="3577" width="12.85546875" style="77" customWidth="1"/>
    <col min="3578" max="3578" width="9.140625" style="77"/>
    <col min="3579" max="3579" width="9.28515625" style="77" customWidth="1"/>
    <col min="3580" max="3580" width="20.140625" style="77" bestFit="1" customWidth="1"/>
    <col min="3581" max="3581" width="10.5703125" style="77" customWidth="1"/>
    <col min="3582" max="3582" width="12.7109375" style="77" customWidth="1"/>
    <col min="3583" max="3583" width="17" style="77" customWidth="1"/>
    <col min="3584" max="3584" width="14.7109375" style="77" customWidth="1"/>
    <col min="3585" max="3585" width="14.85546875" style="77" customWidth="1"/>
    <col min="3586" max="3586" width="17.7109375" style="77" customWidth="1"/>
    <col min="3587" max="3587" width="19.42578125" style="77" bestFit="1" customWidth="1"/>
    <col min="3588" max="3588" width="18" style="77" customWidth="1"/>
    <col min="3589" max="3589" width="20.140625" style="77" customWidth="1"/>
    <col min="3590" max="3590" width="22.28515625" style="77" bestFit="1" customWidth="1"/>
    <col min="3591" max="3599" width="9.140625" style="77"/>
    <col min="3600" max="3600" width="13.5703125" style="77" bestFit="1" customWidth="1"/>
    <col min="3601" max="3824" width="9.140625" style="77"/>
    <col min="3825" max="3826" width="10" style="77" customWidth="1"/>
    <col min="3827" max="3827" width="9.140625" style="77"/>
    <col min="3828" max="3828" width="24" style="77" customWidth="1"/>
    <col min="3829" max="3829" width="12.85546875" style="77" customWidth="1"/>
    <col min="3830" max="3831" width="13.140625" style="77" customWidth="1"/>
    <col min="3832" max="3832" width="9.140625" style="77"/>
    <col min="3833" max="3833" width="12.85546875" style="77" customWidth="1"/>
    <col min="3834" max="3834" width="9.140625" style="77"/>
    <col min="3835" max="3835" width="9.28515625" style="77" customWidth="1"/>
    <col min="3836" max="3836" width="20.140625" style="77" bestFit="1" customWidth="1"/>
    <col min="3837" max="3837" width="10.5703125" style="77" customWidth="1"/>
    <col min="3838" max="3838" width="12.7109375" style="77" customWidth="1"/>
    <col min="3839" max="3839" width="17" style="77" customWidth="1"/>
    <col min="3840" max="3840" width="14.7109375" style="77" customWidth="1"/>
    <col min="3841" max="3841" width="14.85546875" style="77" customWidth="1"/>
    <col min="3842" max="3842" width="17.7109375" style="77" customWidth="1"/>
    <col min="3843" max="3843" width="19.42578125" style="77" bestFit="1" customWidth="1"/>
    <col min="3844" max="3844" width="18" style="77" customWidth="1"/>
    <col min="3845" max="3845" width="20.140625" style="77" customWidth="1"/>
    <col min="3846" max="3846" width="22.28515625" style="77" bestFit="1" customWidth="1"/>
    <col min="3847" max="3855" width="9.140625" style="77"/>
    <col min="3856" max="3856" width="13.5703125" style="77" bestFit="1" customWidth="1"/>
    <col min="3857" max="4080" width="9.140625" style="77"/>
    <col min="4081" max="4082" width="10" style="77" customWidth="1"/>
    <col min="4083" max="4083" width="9.140625" style="77"/>
    <col min="4084" max="4084" width="24" style="77" customWidth="1"/>
    <col min="4085" max="4085" width="12.85546875" style="77" customWidth="1"/>
    <col min="4086" max="4087" width="13.140625" style="77" customWidth="1"/>
    <col min="4088" max="4088" width="9.140625" style="77"/>
    <col min="4089" max="4089" width="12.85546875" style="77" customWidth="1"/>
    <col min="4090" max="4090" width="9.140625" style="77"/>
    <col min="4091" max="4091" width="9.28515625" style="77" customWidth="1"/>
    <col min="4092" max="4092" width="20.140625" style="77" bestFit="1" customWidth="1"/>
    <col min="4093" max="4093" width="10.5703125" style="77" customWidth="1"/>
    <col min="4094" max="4094" width="12.7109375" style="77" customWidth="1"/>
    <col min="4095" max="4095" width="17" style="77" customWidth="1"/>
    <col min="4096" max="4096" width="14.7109375" style="77" customWidth="1"/>
    <col min="4097" max="4097" width="14.85546875" style="77" customWidth="1"/>
    <col min="4098" max="4098" width="17.7109375" style="77" customWidth="1"/>
    <col min="4099" max="4099" width="19.42578125" style="77" bestFit="1" customWidth="1"/>
    <col min="4100" max="4100" width="18" style="77" customWidth="1"/>
    <col min="4101" max="4101" width="20.140625" style="77" customWidth="1"/>
    <col min="4102" max="4102" width="22.28515625" style="77" bestFit="1" customWidth="1"/>
    <col min="4103" max="4111" width="9.140625" style="77"/>
    <col min="4112" max="4112" width="13.5703125" style="77" bestFit="1" customWidth="1"/>
    <col min="4113" max="4336" width="9.140625" style="77"/>
    <col min="4337" max="4338" width="10" style="77" customWidth="1"/>
    <col min="4339" max="4339" width="9.140625" style="77"/>
    <col min="4340" max="4340" width="24" style="77" customWidth="1"/>
    <col min="4341" max="4341" width="12.85546875" style="77" customWidth="1"/>
    <col min="4342" max="4343" width="13.140625" style="77" customWidth="1"/>
    <col min="4344" max="4344" width="9.140625" style="77"/>
    <col min="4345" max="4345" width="12.85546875" style="77" customWidth="1"/>
    <col min="4346" max="4346" width="9.140625" style="77"/>
    <col min="4347" max="4347" width="9.28515625" style="77" customWidth="1"/>
    <col min="4348" max="4348" width="20.140625" style="77" bestFit="1" customWidth="1"/>
    <col min="4349" max="4349" width="10.5703125" style="77" customWidth="1"/>
    <col min="4350" max="4350" width="12.7109375" style="77" customWidth="1"/>
    <col min="4351" max="4351" width="17" style="77" customWidth="1"/>
    <col min="4352" max="4352" width="14.7109375" style="77" customWidth="1"/>
    <col min="4353" max="4353" width="14.85546875" style="77" customWidth="1"/>
    <col min="4354" max="4354" width="17.7109375" style="77" customWidth="1"/>
    <col min="4355" max="4355" width="19.42578125" style="77" bestFit="1" customWidth="1"/>
    <col min="4356" max="4356" width="18" style="77" customWidth="1"/>
    <col min="4357" max="4357" width="20.140625" style="77" customWidth="1"/>
    <col min="4358" max="4358" width="22.28515625" style="77" bestFit="1" customWidth="1"/>
    <col min="4359" max="4367" width="9.140625" style="77"/>
    <col min="4368" max="4368" width="13.5703125" style="77" bestFit="1" customWidth="1"/>
    <col min="4369" max="4592" width="9.140625" style="77"/>
    <col min="4593" max="4594" width="10" style="77" customWidth="1"/>
    <col min="4595" max="4595" width="9.140625" style="77"/>
    <col min="4596" max="4596" width="24" style="77" customWidth="1"/>
    <col min="4597" max="4597" width="12.85546875" style="77" customWidth="1"/>
    <col min="4598" max="4599" width="13.140625" style="77" customWidth="1"/>
    <col min="4600" max="4600" width="9.140625" style="77"/>
    <col min="4601" max="4601" width="12.85546875" style="77" customWidth="1"/>
    <col min="4602" max="4602" width="9.140625" style="77"/>
    <col min="4603" max="4603" width="9.28515625" style="77" customWidth="1"/>
    <col min="4604" max="4604" width="20.140625" style="77" bestFit="1" customWidth="1"/>
    <col min="4605" max="4605" width="10.5703125" style="77" customWidth="1"/>
    <col min="4606" max="4606" width="12.7109375" style="77" customWidth="1"/>
    <col min="4607" max="4607" width="17" style="77" customWidth="1"/>
    <col min="4608" max="4608" width="14.7109375" style="77" customWidth="1"/>
    <col min="4609" max="4609" width="14.85546875" style="77" customWidth="1"/>
    <col min="4610" max="4610" width="17.7109375" style="77" customWidth="1"/>
    <col min="4611" max="4611" width="19.42578125" style="77" bestFit="1" customWidth="1"/>
    <col min="4612" max="4612" width="18" style="77" customWidth="1"/>
    <col min="4613" max="4613" width="20.140625" style="77" customWidth="1"/>
    <col min="4614" max="4614" width="22.28515625" style="77" bestFit="1" customWidth="1"/>
    <col min="4615" max="4623" width="9.140625" style="77"/>
    <col min="4624" max="4624" width="13.5703125" style="77" bestFit="1" customWidth="1"/>
    <col min="4625" max="4848" width="9.140625" style="77"/>
    <col min="4849" max="4850" width="10" style="77" customWidth="1"/>
    <col min="4851" max="4851" width="9.140625" style="77"/>
    <col min="4852" max="4852" width="24" style="77" customWidth="1"/>
    <col min="4853" max="4853" width="12.85546875" style="77" customWidth="1"/>
    <col min="4854" max="4855" width="13.140625" style="77" customWidth="1"/>
    <col min="4856" max="4856" width="9.140625" style="77"/>
    <col min="4857" max="4857" width="12.85546875" style="77" customWidth="1"/>
    <col min="4858" max="4858" width="9.140625" style="77"/>
    <col min="4859" max="4859" width="9.28515625" style="77" customWidth="1"/>
    <col min="4860" max="4860" width="20.140625" style="77" bestFit="1" customWidth="1"/>
    <col min="4861" max="4861" width="10.5703125" style="77" customWidth="1"/>
    <col min="4862" max="4862" width="12.7109375" style="77" customWidth="1"/>
    <col min="4863" max="4863" width="17" style="77" customWidth="1"/>
    <col min="4864" max="4864" width="14.7109375" style="77" customWidth="1"/>
    <col min="4865" max="4865" width="14.85546875" style="77" customWidth="1"/>
    <col min="4866" max="4866" width="17.7109375" style="77" customWidth="1"/>
    <col min="4867" max="4867" width="19.42578125" style="77" bestFit="1" customWidth="1"/>
    <col min="4868" max="4868" width="18" style="77" customWidth="1"/>
    <col min="4869" max="4869" width="20.140625" style="77" customWidth="1"/>
    <col min="4870" max="4870" width="22.28515625" style="77" bestFit="1" customWidth="1"/>
    <col min="4871" max="4879" width="9.140625" style="77"/>
    <col min="4880" max="4880" width="13.5703125" style="77" bestFit="1" customWidth="1"/>
    <col min="4881" max="5104" width="9.140625" style="77"/>
    <col min="5105" max="5106" width="10" style="77" customWidth="1"/>
    <col min="5107" max="5107" width="9.140625" style="77"/>
    <col min="5108" max="5108" width="24" style="77" customWidth="1"/>
    <col min="5109" max="5109" width="12.85546875" style="77" customWidth="1"/>
    <col min="5110" max="5111" width="13.140625" style="77" customWidth="1"/>
    <col min="5112" max="5112" width="9.140625" style="77"/>
    <col min="5113" max="5113" width="12.85546875" style="77" customWidth="1"/>
    <col min="5114" max="5114" width="9.140625" style="77"/>
    <col min="5115" max="5115" width="9.28515625" style="77" customWidth="1"/>
    <col min="5116" max="5116" width="20.140625" style="77" bestFit="1" customWidth="1"/>
    <col min="5117" max="5117" width="10.5703125" style="77" customWidth="1"/>
    <col min="5118" max="5118" width="12.7109375" style="77" customWidth="1"/>
    <col min="5119" max="5119" width="17" style="77" customWidth="1"/>
    <col min="5120" max="5120" width="14.7109375" style="77" customWidth="1"/>
    <col min="5121" max="5121" width="14.85546875" style="77" customWidth="1"/>
    <col min="5122" max="5122" width="17.7109375" style="77" customWidth="1"/>
    <col min="5123" max="5123" width="19.42578125" style="77" bestFit="1" customWidth="1"/>
    <col min="5124" max="5124" width="18" style="77" customWidth="1"/>
    <col min="5125" max="5125" width="20.140625" style="77" customWidth="1"/>
    <col min="5126" max="5126" width="22.28515625" style="77" bestFit="1" customWidth="1"/>
    <col min="5127" max="5135" width="9.140625" style="77"/>
    <col min="5136" max="5136" width="13.5703125" style="77" bestFit="1" customWidth="1"/>
    <col min="5137" max="5360" width="9.140625" style="77"/>
    <col min="5361" max="5362" width="10" style="77" customWidth="1"/>
    <col min="5363" max="5363" width="9.140625" style="77"/>
    <col min="5364" max="5364" width="24" style="77" customWidth="1"/>
    <col min="5365" max="5365" width="12.85546875" style="77" customWidth="1"/>
    <col min="5366" max="5367" width="13.140625" style="77" customWidth="1"/>
    <col min="5368" max="5368" width="9.140625" style="77"/>
    <col min="5369" max="5369" width="12.85546875" style="77" customWidth="1"/>
    <col min="5370" max="5370" width="9.140625" style="77"/>
    <col min="5371" max="5371" width="9.28515625" style="77" customWidth="1"/>
    <col min="5372" max="5372" width="20.140625" style="77" bestFit="1" customWidth="1"/>
    <col min="5373" max="5373" width="10.5703125" style="77" customWidth="1"/>
    <col min="5374" max="5374" width="12.7109375" style="77" customWidth="1"/>
    <col min="5375" max="5375" width="17" style="77" customWidth="1"/>
    <col min="5376" max="5376" width="14.7109375" style="77" customWidth="1"/>
    <col min="5377" max="5377" width="14.85546875" style="77" customWidth="1"/>
    <col min="5378" max="5378" width="17.7109375" style="77" customWidth="1"/>
    <col min="5379" max="5379" width="19.42578125" style="77" bestFit="1" customWidth="1"/>
    <col min="5380" max="5380" width="18" style="77" customWidth="1"/>
    <col min="5381" max="5381" width="20.140625" style="77" customWidth="1"/>
    <col min="5382" max="5382" width="22.28515625" style="77" bestFit="1" customWidth="1"/>
    <col min="5383" max="5391" width="9.140625" style="77"/>
    <col min="5392" max="5392" width="13.5703125" style="77" bestFit="1" customWidth="1"/>
    <col min="5393" max="5616" width="9.140625" style="77"/>
    <col min="5617" max="5618" width="10" style="77" customWidth="1"/>
    <col min="5619" max="5619" width="9.140625" style="77"/>
    <col min="5620" max="5620" width="24" style="77" customWidth="1"/>
    <col min="5621" max="5621" width="12.85546875" style="77" customWidth="1"/>
    <col min="5622" max="5623" width="13.140625" style="77" customWidth="1"/>
    <col min="5624" max="5624" width="9.140625" style="77"/>
    <col min="5625" max="5625" width="12.85546875" style="77" customWidth="1"/>
    <col min="5626" max="5626" width="9.140625" style="77"/>
    <col min="5627" max="5627" width="9.28515625" style="77" customWidth="1"/>
    <col min="5628" max="5628" width="20.140625" style="77" bestFit="1" customWidth="1"/>
    <col min="5629" max="5629" width="10.5703125" style="77" customWidth="1"/>
    <col min="5630" max="5630" width="12.7109375" style="77" customWidth="1"/>
    <col min="5631" max="5631" width="17" style="77" customWidth="1"/>
    <col min="5632" max="5632" width="14.7109375" style="77" customWidth="1"/>
    <col min="5633" max="5633" width="14.85546875" style="77" customWidth="1"/>
    <col min="5634" max="5634" width="17.7109375" style="77" customWidth="1"/>
    <col min="5635" max="5635" width="19.42578125" style="77" bestFit="1" customWidth="1"/>
    <col min="5636" max="5636" width="18" style="77" customWidth="1"/>
    <col min="5637" max="5637" width="20.140625" style="77" customWidth="1"/>
    <col min="5638" max="5638" width="22.28515625" style="77" bestFit="1" customWidth="1"/>
    <col min="5639" max="5647" width="9.140625" style="77"/>
    <col min="5648" max="5648" width="13.5703125" style="77" bestFit="1" customWidth="1"/>
    <col min="5649" max="5872" width="9.140625" style="77"/>
    <col min="5873" max="5874" width="10" style="77" customWidth="1"/>
    <col min="5875" max="5875" width="9.140625" style="77"/>
    <col min="5876" max="5876" width="24" style="77" customWidth="1"/>
    <col min="5877" max="5877" width="12.85546875" style="77" customWidth="1"/>
    <col min="5878" max="5879" width="13.140625" style="77" customWidth="1"/>
    <col min="5880" max="5880" width="9.140625" style="77"/>
    <col min="5881" max="5881" width="12.85546875" style="77" customWidth="1"/>
    <col min="5882" max="5882" width="9.140625" style="77"/>
    <col min="5883" max="5883" width="9.28515625" style="77" customWidth="1"/>
    <col min="5884" max="5884" width="20.140625" style="77" bestFit="1" customWidth="1"/>
    <col min="5885" max="5885" width="10.5703125" style="77" customWidth="1"/>
    <col min="5886" max="5886" width="12.7109375" style="77" customWidth="1"/>
    <col min="5887" max="5887" width="17" style="77" customWidth="1"/>
    <col min="5888" max="5888" width="14.7109375" style="77" customWidth="1"/>
    <col min="5889" max="5889" width="14.85546875" style="77" customWidth="1"/>
    <col min="5890" max="5890" width="17.7109375" style="77" customWidth="1"/>
    <col min="5891" max="5891" width="19.42578125" style="77" bestFit="1" customWidth="1"/>
    <col min="5892" max="5892" width="18" style="77" customWidth="1"/>
    <col min="5893" max="5893" width="20.140625" style="77" customWidth="1"/>
    <col min="5894" max="5894" width="22.28515625" style="77" bestFit="1" customWidth="1"/>
    <col min="5895" max="5903" width="9.140625" style="77"/>
    <col min="5904" max="5904" width="13.5703125" style="77" bestFit="1" customWidth="1"/>
    <col min="5905" max="6128" width="9.140625" style="77"/>
    <col min="6129" max="6130" width="10" style="77" customWidth="1"/>
    <col min="6131" max="6131" width="9.140625" style="77"/>
    <col min="6132" max="6132" width="24" style="77" customWidth="1"/>
    <col min="6133" max="6133" width="12.85546875" style="77" customWidth="1"/>
    <col min="6134" max="6135" width="13.140625" style="77" customWidth="1"/>
    <col min="6136" max="6136" width="9.140625" style="77"/>
    <col min="6137" max="6137" width="12.85546875" style="77" customWidth="1"/>
    <col min="6138" max="6138" width="9.140625" style="77"/>
    <col min="6139" max="6139" width="9.28515625" style="77" customWidth="1"/>
    <col min="6140" max="6140" width="20.140625" style="77" bestFit="1" customWidth="1"/>
    <col min="6141" max="6141" width="10.5703125" style="77" customWidth="1"/>
    <col min="6142" max="6142" width="12.7109375" style="77" customWidth="1"/>
    <col min="6143" max="6143" width="17" style="77" customWidth="1"/>
    <col min="6144" max="6144" width="14.7109375" style="77" customWidth="1"/>
    <col min="6145" max="6145" width="14.85546875" style="77" customWidth="1"/>
    <col min="6146" max="6146" width="17.7109375" style="77" customWidth="1"/>
    <col min="6147" max="6147" width="19.42578125" style="77" bestFit="1" customWidth="1"/>
    <col min="6148" max="6148" width="18" style="77" customWidth="1"/>
    <col min="6149" max="6149" width="20.140625" style="77" customWidth="1"/>
    <col min="6150" max="6150" width="22.28515625" style="77" bestFit="1" customWidth="1"/>
    <col min="6151" max="6159" width="9.140625" style="77"/>
    <col min="6160" max="6160" width="13.5703125" style="77" bestFit="1" customWidth="1"/>
    <col min="6161" max="6384" width="9.140625" style="77"/>
    <col min="6385" max="6386" width="10" style="77" customWidth="1"/>
    <col min="6387" max="6387" width="9.140625" style="77"/>
    <col min="6388" max="6388" width="24" style="77" customWidth="1"/>
    <col min="6389" max="6389" width="12.85546875" style="77" customWidth="1"/>
    <col min="6390" max="6391" width="13.140625" style="77" customWidth="1"/>
    <col min="6392" max="6392" width="9.140625" style="77"/>
    <col min="6393" max="6393" width="12.85546875" style="77" customWidth="1"/>
    <col min="6394" max="6394" width="9.140625" style="77"/>
    <col min="6395" max="6395" width="9.28515625" style="77" customWidth="1"/>
    <col min="6396" max="6396" width="20.140625" style="77" bestFit="1" customWidth="1"/>
    <col min="6397" max="6397" width="10.5703125" style="77" customWidth="1"/>
    <col min="6398" max="6398" width="12.7109375" style="77" customWidth="1"/>
    <col min="6399" max="6399" width="17" style="77" customWidth="1"/>
    <col min="6400" max="6400" width="14.7109375" style="77" customWidth="1"/>
    <col min="6401" max="6401" width="14.85546875" style="77" customWidth="1"/>
    <col min="6402" max="6402" width="17.7109375" style="77" customWidth="1"/>
    <col min="6403" max="6403" width="19.42578125" style="77" bestFit="1" customWidth="1"/>
    <col min="6404" max="6404" width="18" style="77" customWidth="1"/>
    <col min="6405" max="6405" width="20.140625" style="77" customWidth="1"/>
    <col min="6406" max="6406" width="22.28515625" style="77" bestFit="1" customWidth="1"/>
    <col min="6407" max="6415" width="9.140625" style="77"/>
    <col min="6416" max="6416" width="13.5703125" style="77" bestFit="1" customWidth="1"/>
    <col min="6417" max="6640" width="9.140625" style="77"/>
    <col min="6641" max="6642" width="10" style="77" customWidth="1"/>
    <col min="6643" max="6643" width="9.140625" style="77"/>
    <col min="6644" max="6644" width="24" style="77" customWidth="1"/>
    <col min="6645" max="6645" width="12.85546875" style="77" customWidth="1"/>
    <col min="6646" max="6647" width="13.140625" style="77" customWidth="1"/>
    <col min="6648" max="6648" width="9.140625" style="77"/>
    <col min="6649" max="6649" width="12.85546875" style="77" customWidth="1"/>
    <col min="6650" max="6650" width="9.140625" style="77"/>
    <col min="6651" max="6651" width="9.28515625" style="77" customWidth="1"/>
    <col min="6652" max="6652" width="20.140625" style="77" bestFit="1" customWidth="1"/>
    <col min="6653" max="6653" width="10.5703125" style="77" customWidth="1"/>
    <col min="6654" max="6654" width="12.7109375" style="77" customWidth="1"/>
    <col min="6655" max="6655" width="17" style="77" customWidth="1"/>
    <col min="6656" max="6656" width="14.7109375" style="77" customWidth="1"/>
    <col min="6657" max="6657" width="14.85546875" style="77" customWidth="1"/>
    <col min="6658" max="6658" width="17.7109375" style="77" customWidth="1"/>
    <col min="6659" max="6659" width="19.42578125" style="77" bestFit="1" customWidth="1"/>
    <col min="6660" max="6660" width="18" style="77" customWidth="1"/>
    <col min="6661" max="6661" width="20.140625" style="77" customWidth="1"/>
    <col min="6662" max="6662" width="22.28515625" style="77" bestFit="1" customWidth="1"/>
    <col min="6663" max="6671" width="9.140625" style="77"/>
    <col min="6672" max="6672" width="13.5703125" style="77" bestFit="1" customWidth="1"/>
    <col min="6673" max="6896" width="9.140625" style="77"/>
    <col min="6897" max="6898" width="10" style="77" customWidth="1"/>
    <col min="6899" max="6899" width="9.140625" style="77"/>
    <col min="6900" max="6900" width="24" style="77" customWidth="1"/>
    <col min="6901" max="6901" width="12.85546875" style="77" customWidth="1"/>
    <col min="6902" max="6903" width="13.140625" style="77" customWidth="1"/>
    <col min="6904" max="6904" width="9.140625" style="77"/>
    <col min="6905" max="6905" width="12.85546875" style="77" customWidth="1"/>
    <col min="6906" max="6906" width="9.140625" style="77"/>
    <col min="6907" max="6907" width="9.28515625" style="77" customWidth="1"/>
    <col min="6908" max="6908" width="20.140625" style="77" bestFit="1" customWidth="1"/>
    <col min="6909" max="6909" width="10.5703125" style="77" customWidth="1"/>
    <col min="6910" max="6910" width="12.7109375" style="77" customWidth="1"/>
    <col min="6911" max="6911" width="17" style="77" customWidth="1"/>
    <col min="6912" max="6912" width="14.7109375" style="77" customWidth="1"/>
    <col min="6913" max="6913" width="14.85546875" style="77" customWidth="1"/>
    <col min="6914" max="6914" width="17.7109375" style="77" customWidth="1"/>
    <col min="6915" max="6915" width="19.42578125" style="77" bestFit="1" customWidth="1"/>
    <col min="6916" max="6916" width="18" style="77" customWidth="1"/>
    <col min="6917" max="6917" width="20.140625" style="77" customWidth="1"/>
    <col min="6918" max="6918" width="22.28515625" style="77" bestFit="1" customWidth="1"/>
    <col min="6919" max="6927" width="9.140625" style="77"/>
    <col min="6928" max="6928" width="13.5703125" style="77" bestFit="1" customWidth="1"/>
    <col min="6929" max="7152" width="9.140625" style="77"/>
    <col min="7153" max="7154" width="10" style="77" customWidth="1"/>
    <col min="7155" max="7155" width="9.140625" style="77"/>
    <col min="7156" max="7156" width="24" style="77" customWidth="1"/>
    <col min="7157" max="7157" width="12.85546875" style="77" customWidth="1"/>
    <col min="7158" max="7159" width="13.140625" style="77" customWidth="1"/>
    <col min="7160" max="7160" width="9.140625" style="77"/>
    <col min="7161" max="7161" width="12.85546875" style="77" customWidth="1"/>
    <col min="7162" max="7162" width="9.140625" style="77"/>
    <col min="7163" max="7163" width="9.28515625" style="77" customWidth="1"/>
    <col min="7164" max="7164" width="20.140625" style="77" bestFit="1" customWidth="1"/>
    <col min="7165" max="7165" width="10.5703125" style="77" customWidth="1"/>
    <col min="7166" max="7166" width="12.7109375" style="77" customWidth="1"/>
    <col min="7167" max="7167" width="17" style="77" customWidth="1"/>
    <col min="7168" max="7168" width="14.7109375" style="77" customWidth="1"/>
    <col min="7169" max="7169" width="14.85546875" style="77" customWidth="1"/>
    <col min="7170" max="7170" width="17.7109375" style="77" customWidth="1"/>
    <col min="7171" max="7171" width="19.42578125" style="77" bestFit="1" customWidth="1"/>
    <col min="7172" max="7172" width="18" style="77" customWidth="1"/>
    <col min="7173" max="7173" width="20.140625" style="77" customWidth="1"/>
    <col min="7174" max="7174" width="22.28515625" style="77" bestFit="1" customWidth="1"/>
    <col min="7175" max="7183" width="9.140625" style="77"/>
    <col min="7184" max="7184" width="13.5703125" style="77" bestFit="1" customWidth="1"/>
    <col min="7185" max="7408" width="9.140625" style="77"/>
    <col min="7409" max="7410" width="10" style="77" customWidth="1"/>
    <col min="7411" max="7411" width="9.140625" style="77"/>
    <col min="7412" max="7412" width="24" style="77" customWidth="1"/>
    <col min="7413" max="7413" width="12.85546875" style="77" customWidth="1"/>
    <col min="7414" max="7415" width="13.140625" style="77" customWidth="1"/>
    <col min="7416" max="7416" width="9.140625" style="77"/>
    <col min="7417" max="7417" width="12.85546875" style="77" customWidth="1"/>
    <col min="7418" max="7418" width="9.140625" style="77"/>
    <col min="7419" max="7419" width="9.28515625" style="77" customWidth="1"/>
    <col min="7420" max="7420" width="20.140625" style="77" bestFit="1" customWidth="1"/>
    <col min="7421" max="7421" width="10.5703125" style="77" customWidth="1"/>
    <col min="7422" max="7422" width="12.7109375" style="77" customWidth="1"/>
    <col min="7423" max="7423" width="17" style="77" customWidth="1"/>
    <col min="7424" max="7424" width="14.7109375" style="77" customWidth="1"/>
    <col min="7425" max="7425" width="14.85546875" style="77" customWidth="1"/>
    <col min="7426" max="7426" width="17.7109375" style="77" customWidth="1"/>
    <col min="7427" max="7427" width="19.42578125" style="77" bestFit="1" customWidth="1"/>
    <col min="7428" max="7428" width="18" style="77" customWidth="1"/>
    <col min="7429" max="7429" width="20.140625" style="77" customWidth="1"/>
    <col min="7430" max="7430" width="22.28515625" style="77" bestFit="1" customWidth="1"/>
    <col min="7431" max="7439" width="9.140625" style="77"/>
    <col min="7440" max="7440" width="13.5703125" style="77" bestFit="1" customWidth="1"/>
    <col min="7441" max="7664" width="9.140625" style="77"/>
    <col min="7665" max="7666" width="10" style="77" customWidth="1"/>
    <col min="7667" max="7667" width="9.140625" style="77"/>
    <col min="7668" max="7668" width="24" style="77" customWidth="1"/>
    <col min="7669" max="7669" width="12.85546875" style="77" customWidth="1"/>
    <col min="7670" max="7671" width="13.140625" style="77" customWidth="1"/>
    <col min="7672" max="7672" width="9.140625" style="77"/>
    <col min="7673" max="7673" width="12.85546875" style="77" customWidth="1"/>
    <col min="7674" max="7674" width="9.140625" style="77"/>
    <col min="7675" max="7675" width="9.28515625" style="77" customWidth="1"/>
    <col min="7676" max="7676" width="20.140625" style="77" bestFit="1" customWidth="1"/>
    <col min="7677" max="7677" width="10.5703125" style="77" customWidth="1"/>
    <col min="7678" max="7678" width="12.7109375" style="77" customWidth="1"/>
    <col min="7679" max="7679" width="17" style="77" customWidth="1"/>
    <col min="7680" max="7680" width="14.7109375" style="77" customWidth="1"/>
    <col min="7681" max="7681" width="14.85546875" style="77" customWidth="1"/>
    <col min="7682" max="7682" width="17.7109375" style="77" customWidth="1"/>
    <col min="7683" max="7683" width="19.42578125" style="77" bestFit="1" customWidth="1"/>
    <col min="7684" max="7684" width="18" style="77" customWidth="1"/>
    <col min="7685" max="7685" width="20.140625" style="77" customWidth="1"/>
    <col min="7686" max="7686" width="22.28515625" style="77" bestFit="1" customWidth="1"/>
    <col min="7687" max="7695" width="9.140625" style="77"/>
    <col min="7696" max="7696" width="13.5703125" style="77" bestFit="1" customWidth="1"/>
    <col min="7697" max="7920" width="9.140625" style="77"/>
    <col min="7921" max="7922" width="10" style="77" customWidth="1"/>
    <col min="7923" max="7923" width="9.140625" style="77"/>
    <col min="7924" max="7924" width="24" style="77" customWidth="1"/>
    <col min="7925" max="7925" width="12.85546875" style="77" customWidth="1"/>
    <col min="7926" max="7927" width="13.140625" style="77" customWidth="1"/>
    <col min="7928" max="7928" width="9.140625" style="77"/>
    <col min="7929" max="7929" width="12.85546875" style="77" customWidth="1"/>
    <col min="7930" max="7930" width="9.140625" style="77"/>
    <col min="7931" max="7931" width="9.28515625" style="77" customWidth="1"/>
    <col min="7932" max="7932" width="20.140625" style="77" bestFit="1" customWidth="1"/>
    <col min="7933" max="7933" width="10.5703125" style="77" customWidth="1"/>
    <col min="7934" max="7934" width="12.7109375" style="77" customWidth="1"/>
    <col min="7935" max="7935" width="17" style="77" customWidth="1"/>
    <col min="7936" max="7936" width="14.7109375" style="77" customWidth="1"/>
    <col min="7937" max="7937" width="14.85546875" style="77" customWidth="1"/>
    <col min="7938" max="7938" width="17.7109375" style="77" customWidth="1"/>
    <col min="7939" max="7939" width="19.42578125" style="77" bestFit="1" customWidth="1"/>
    <col min="7940" max="7940" width="18" style="77" customWidth="1"/>
    <col min="7941" max="7941" width="20.140625" style="77" customWidth="1"/>
    <col min="7942" max="7942" width="22.28515625" style="77" bestFit="1" customWidth="1"/>
    <col min="7943" max="7951" width="9.140625" style="77"/>
    <col min="7952" max="7952" width="13.5703125" style="77" bestFit="1" customWidth="1"/>
    <col min="7953" max="8176" width="9.140625" style="77"/>
    <col min="8177" max="8178" width="10" style="77" customWidth="1"/>
    <col min="8179" max="8179" width="9.140625" style="77"/>
    <col min="8180" max="8180" width="24" style="77" customWidth="1"/>
    <col min="8181" max="8181" width="12.85546875" style="77" customWidth="1"/>
    <col min="8182" max="8183" width="13.140625" style="77" customWidth="1"/>
    <col min="8184" max="8184" width="9.140625" style="77"/>
    <col min="8185" max="8185" width="12.85546875" style="77" customWidth="1"/>
    <col min="8186" max="8186" width="9.140625" style="77"/>
    <col min="8187" max="8187" width="9.28515625" style="77" customWidth="1"/>
    <col min="8188" max="8188" width="20.140625" style="77" bestFit="1" customWidth="1"/>
    <col min="8189" max="8189" width="10.5703125" style="77" customWidth="1"/>
    <col min="8190" max="8190" width="12.7109375" style="77" customWidth="1"/>
    <col min="8191" max="8191" width="17" style="77" customWidth="1"/>
    <col min="8192" max="8192" width="14.7109375" style="77" customWidth="1"/>
    <col min="8193" max="8193" width="14.85546875" style="77" customWidth="1"/>
    <col min="8194" max="8194" width="17.7109375" style="77" customWidth="1"/>
    <col min="8195" max="8195" width="19.42578125" style="77" bestFit="1" customWidth="1"/>
    <col min="8196" max="8196" width="18" style="77" customWidth="1"/>
    <col min="8197" max="8197" width="20.140625" style="77" customWidth="1"/>
    <col min="8198" max="8198" width="22.28515625" style="77" bestFit="1" customWidth="1"/>
    <col min="8199" max="8207" width="9.140625" style="77"/>
    <col min="8208" max="8208" width="13.5703125" style="77" bestFit="1" customWidth="1"/>
    <col min="8209" max="8432" width="9.140625" style="77"/>
    <col min="8433" max="8434" width="10" style="77" customWidth="1"/>
    <col min="8435" max="8435" width="9.140625" style="77"/>
    <col min="8436" max="8436" width="24" style="77" customWidth="1"/>
    <col min="8437" max="8437" width="12.85546875" style="77" customWidth="1"/>
    <col min="8438" max="8439" width="13.140625" style="77" customWidth="1"/>
    <col min="8440" max="8440" width="9.140625" style="77"/>
    <col min="8441" max="8441" width="12.85546875" style="77" customWidth="1"/>
    <col min="8442" max="8442" width="9.140625" style="77"/>
    <col min="8443" max="8443" width="9.28515625" style="77" customWidth="1"/>
    <col min="8444" max="8444" width="20.140625" style="77" bestFit="1" customWidth="1"/>
    <col min="8445" max="8445" width="10.5703125" style="77" customWidth="1"/>
    <col min="8446" max="8446" width="12.7109375" style="77" customWidth="1"/>
    <col min="8447" max="8447" width="17" style="77" customWidth="1"/>
    <col min="8448" max="8448" width="14.7109375" style="77" customWidth="1"/>
    <col min="8449" max="8449" width="14.85546875" style="77" customWidth="1"/>
    <col min="8450" max="8450" width="17.7109375" style="77" customWidth="1"/>
    <col min="8451" max="8451" width="19.42578125" style="77" bestFit="1" customWidth="1"/>
    <col min="8452" max="8452" width="18" style="77" customWidth="1"/>
    <col min="8453" max="8453" width="20.140625" style="77" customWidth="1"/>
    <col min="8454" max="8454" width="22.28515625" style="77" bestFit="1" customWidth="1"/>
    <col min="8455" max="8463" width="9.140625" style="77"/>
    <col min="8464" max="8464" width="13.5703125" style="77" bestFit="1" customWidth="1"/>
    <col min="8465" max="8688" width="9.140625" style="77"/>
    <col min="8689" max="8690" width="10" style="77" customWidth="1"/>
    <col min="8691" max="8691" width="9.140625" style="77"/>
    <col min="8692" max="8692" width="24" style="77" customWidth="1"/>
    <col min="8693" max="8693" width="12.85546875" style="77" customWidth="1"/>
    <col min="8694" max="8695" width="13.140625" style="77" customWidth="1"/>
    <col min="8696" max="8696" width="9.140625" style="77"/>
    <col min="8697" max="8697" width="12.85546875" style="77" customWidth="1"/>
    <col min="8698" max="8698" width="9.140625" style="77"/>
    <col min="8699" max="8699" width="9.28515625" style="77" customWidth="1"/>
    <col min="8700" max="8700" width="20.140625" style="77" bestFit="1" customWidth="1"/>
    <col min="8701" max="8701" width="10.5703125" style="77" customWidth="1"/>
    <col min="8702" max="8702" width="12.7109375" style="77" customWidth="1"/>
    <col min="8703" max="8703" width="17" style="77" customWidth="1"/>
    <col min="8704" max="8704" width="14.7109375" style="77" customWidth="1"/>
    <col min="8705" max="8705" width="14.85546875" style="77" customWidth="1"/>
    <col min="8706" max="8706" width="17.7109375" style="77" customWidth="1"/>
    <col min="8707" max="8707" width="19.42578125" style="77" bestFit="1" customWidth="1"/>
    <col min="8708" max="8708" width="18" style="77" customWidth="1"/>
    <col min="8709" max="8709" width="20.140625" style="77" customWidth="1"/>
    <col min="8710" max="8710" width="22.28515625" style="77" bestFit="1" customWidth="1"/>
    <col min="8711" max="8719" width="9.140625" style="77"/>
    <col min="8720" max="8720" width="13.5703125" style="77" bestFit="1" customWidth="1"/>
    <col min="8721" max="8944" width="9.140625" style="77"/>
    <col min="8945" max="8946" width="10" style="77" customWidth="1"/>
    <col min="8947" max="8947" width="9.140625" style="77"/>
    <col min="8948" max="8948" width="24" style="77" customWidth="1"/>
    <col min="8949" max="8949" width="12.85546875" style="77" customWidth="1"/>
    <col min="8950" max="8951" width="13.140625" style="77" customWidth="1"/>
    <col min="8952" max="8952" width="9.140625" style="77"/>
    <col min="8953" max="8953" width="12.85546875" style="77" customWidth="1"/>
    <col min="8954" max="8954" width="9.140625" style="77"/>
    <col min="8955" max="8955" width="9.28515625" style="77" customWidth="1"/>
    <col min="8956" max="8956" width="20.140625" style="77" bestFit="1" customWidth="1"/>
    <col min="8957" max="8957" width="10.5703125" style="77" customWidth="1"/>
    <col min="8958" max="8958" width="12.7109375" style="77" customWidth="1"/>
    <col min="8959" max="8959" width="17" style="77" customWidth="1"/>
    <col min="8960" max="8960" width="14.7109375" style="77" customWidth="1"/>
    <col min="8961" max="8961" width="14.85546875" style="77" customWidth="1"/>
    <col min="8962" max="8962" width="17.7109375" style="77" customWidth="1"/>
    <col min="8963" max="8963" width="19.42578125" style="77" bestFit="1" customWidth="1"/>
    <col min="8964" max="8964" width="18" style="77" customWidth="1"/>
    <col min="8965" max="8965" width="20.140625" style="77" customWidth="1"/>
    <col min="8966" max="8966" width="22.28515625" style="77" bestFit="1" customWidth="1"/>
    <col min="8967" max="8975" width="9.140625" style="77"/>
    <col min="8976" max="8976" width="13.5703125" style="77" bestFit="1" customWidth="1"/>
    <col min="8977" max="9200" width="9.140625" style="77"/>
    <col min="9201" max="9202" width="10" style="77" customWidth="1"/>
    <col min="9203" max="9203" width="9.140625" style="77"/>
    <col min="9204" max="9204" width="24" style="77" customWidth="1"/>
    <col min="9205" max="9205" width="12.85546875" style="77" customWidth="1"/>
    <col min="9206" max="9207" width="13.140625" style="77" customWidth="1"/>
    <col min="9208" max="9208" width="9.140625" style="77"/>
    <col min="9209" max="9209" width="12.85546875" style="77" customWidth="1"/>
    <col min="9210" max="9210" width="9.140625" style="77"/>
    <col min="9211" max="9211" width="9.28515625" style="77" customWidth="1"/>
    <col min="9212" max="9212" width="20.140625" style="77" bestFit="1" customWidth="1"/>
    <col min="9213" max="9213" width="10.5703125" style="77" customWidth="1"/>
    <col min="9214" max="9214" width="12.7109375" style="77" customWidth="1"/>
    <col min="9215" max="9215" width="17" style="77" customWidth="1"/>
    <col min="9216" max="9216" width="14.7109375" style="77" customWidth="1"/>
    <col min="9217" max="9217" width="14.85546875" style="77" customWidth="1"/>
    <col min="9218" max="9218" width="17.7109375" style="77" customWidth="1"/>
    <col min="9219" max="9219" width="19.42578125" style="77" bestFit="1" customWidth="1"/>
    <col min="9220" max="9220" width="18" style="77" customWidth="1"/>
    <col min="9221" max="9221" width="20.140625" style="77" customWidth="1"/>
    <col min="9222" max="9222" width="22.28515625" style="77" bestFit="1" customWidth="1"/>
    <col min="9223" max="9231" width="9.140625" style="77"/>
    <col min="9232" max="9232" width="13.5703125" style="77" bestFit="1" customWidth="1"/>
    <col min="9233" max="9456" width="9.140625" style="77"/>
    <col min="9457" max="9458" width="10" style="77" customWidth="1"/>
    <col min="9459" max="9459" width="9.140625" style="77"/>
    <col min="9460" max="9460" width="24" style="77" customWidth="1"/>
    <col min="9461" max="9461" width="12.85546875" style="77" customWidth="1"/>
    <col min="9462" max="9463" width="13.140625" style="77" customWidth="1"/>
    <col min="9464" max="9464" width="9.140625" style="77"/>
    <col min="9465" max="9465" width="12.85546875" style="77" customWidth="1"/>
    <col min="9466" max="9466" width="9.140625" style="77"/>
    <col min="9467" max="9467" width="9.28515625" style="77" customWidth="1"/>
    <col min="9468" max="9468" width="20.140625" style="77" bestFit="1" customWidth="1"/>
    <col min="9469" max="9469" width="10.5703125" style="77" customWidth="1"/>
    <col min="9470" max="9470" width="12.7109375" style="77" customWidth="1"/>
    <col min="9471" max="9471" width="17" style="77" customWidth="1"/>
    <col min="9472" max="9472" width="14.7109375" style="77" customWidth="1"/>
    <col min="9473" max="9473" width="14.85546875" style="77" customWidth="1"/>
    <col min="9474" max="9474" width="17.7109375" style="77" customWidth="1"/>
    <col min="9475" max="9475" width="19.42578125" style="77" bestFit="1" customWidth="1"/>
    <col min="9476" max="9476" width="18" style="77" customWidth="1"/>
    <col min="9477" max="9477" width="20.140625" style="77" customWidth="1"/>
    <col min="9478" max="9478" width="22.28515625" style="77" bestFit="1" customWidth="1"/>
    <col min="9479" max="9487" width="9.140625" style="77"/>
    <col min="9488" max="9488" width="13.5703125" style="77" bestFit="1" customWidth="1"/>
    <col min="9489" max="9712" width="9.140625" style="77"/>
    <col min="9713" max="9714" width="10" style="77" customWidth="1"/>
    <col min="9715" max="9715" width="9.140625" style="77"/>
    <col min="9716" max="9716" width="24" style="77" customWidth="1"/>
    <col min="9717" max="9717" width="12.85546875" style="77" customWidth="1"/>
    <col min="9718" max="9719" width="13.140625" style="77" customWidth="1"/>
    <col min="9720" max="9720" width="9.140625" style="77"/>
    <col min="9721" max="9721" width="12.85546875" style="77" customWidth="1"/>
    <col min="9722" max="9722" width="9.140625" style="77"/>
    <col min="9723" max="9723" width="9.28515625" style="77" customWidth="1"/>
    <col min="9724" max="9724" width="20.140625" style="77" bestFit="1" customWidth="1"/>
    <col min="9725" max="9725" width="10.5703125" style="77" customWidth="1"/>
    <col min="9726" max="9726" width="12.7109375" style="77" customWidth="1"/>
    <col min="9727" max="9727" width="17" style="77" customWidth="1"/>
    <col min="9728" max="9728" width="14.7109375" style="77" customWidth="1"/>
    <col min="9729" max="9729" width="14.85546875" style="77" customWidth="1"/>
    <col min="9730" max="9730" width="17.7109375" style="77" customWidth="1"/>
    <col min="9731" max="9731" width="19.42578125" style="77" bestFit="1" customWidth="1"/>
    <col min="9732" max="9732" width="18" style="77" customWidth="1"/>
    <col min="9733" max="9733" width="20.140625" style="77" customWidth="1"/>
    <col min="9734" max="9734" width="22.28515625" style="77" bestFit="1" customWidth="1"/>
    <col min="9735" max="9743" width="9.140625" style="77"/>
    <col min="9744" max="9744" width="13.5703125" style="77" bestFit="1" customWidth="1"/>
    <col min="9745" max="9968" width="9.140625" style="77"/>
    <col min="9969" max="9970" width="10" style="77" customWidth="1"/>
    <col min="9971" max="9971" width="9.140625" style="77"/>
    <col min="9972" max="9972" width="24" style="77" customWidth="1"/>
    <col min="9973" max="9973" width="12.85546875" style="77" customWidth="1"/>
    <col min="9974" max="9975" width="13.140625" style="77" customWidth="1"/>
    <col min="9976" max="9976" width="9.140625" style="77"/>
    <col min="9977" max="9977" width="12.85546875" style="77" customWidth="1"/>
    <col min="9978" max="9978" width="9.140625" style="77"/>
    <col min="9979" max="9979" width="9.28515625" style="77" customWidth="1"/>
    <col min="9980" max="9980" width="20.140625" style="77" bestFit="1" customWidth="1"/>
    <col min="9981" max="9981" width="10.5703125" style="77" customWidth="1"/>
    <col min="9982" max="9982" width="12.7109375" style="77" customWidth="1"/>
    <col min="9983" max="9983" width="17" style="77" customWidth="1"/>
    <col min="9984" max="9984" width="14.7109375" style="77" customWidth="1"/>
    <col min="9985" max="9985" width="14.85546875" style="77" customWidth="1"/>
    <col min="9986" max="9986" width="17.7109375" style="77" customWidth="1"/>
    <col min="9987" max="9987" width="19.42578125" style="77" bestFit="1" customWidth="1"/>
    <col min="9988" max="9988" width="18" style="77" customWidth="1"/>
    <col min="9989" max="9989" width="20.140625" style="77" customWidth="1"/>
    <col min="9990" max="9990" width="22.28515625" style="77" bestFit="1" customWidth="1"/>
    <col min="9991" max="9999" width="9.140625" style="77"/>
    <col min="10000" max="10000" width="13.5703125" style="77" bestFit="1" customWidth="1"/>
    <col min="10001" max="10224" width="9.140625" style="77"/>
    <col min="10225" max="10226" width="10" style="77" customWidth="1"/>
    <col min="10227" max="10227" width="9.140625" style="77"/>
    <col min="10228" max="10228" width="24" style="77" customWidth="1"/>
    <col min="10229" max="10229" width="12.85546875" style="77" customWidth="1"/>
    <col min="10230" max="10231" width="13.140625" style="77" customWidth="1"/>
    <col min="10232" max="10232" width="9.140625" style="77"/>
    <col min="10233" max="10233" width="12.85546875" style="77" customWidth="1"/>
    <col min="10234" max="10234" width="9.140625" style="77"/>
    <col min="10235" max="10235" width="9.28515625" style="77" customWidth="1"/>
    <col min="10236" max="10236" width="20.140625" style="77" bestFit="1" customWidth="1"/>
    <col min="10237" max="10237" width="10.5703125" style="77" customWidth="1"/>
    <col min="10238" max="10238" width="12.7109375" style="77" customWidth="1"/>
    <col min="10239" max="10239" width="17" style="77" customWidth="1"/>
    <col min="10240" max="10240" width="14.7109375" style="77" customWidth="1"/>
    <col min="10241" max="10241" width="14.85546875" style="77" customWidth="1"/>
    <col min="10242" max="10242" width="17.7109375" style="77" customWidth="1"/>
    <col min="10243" max="10243" width="19.42578125" style="77" bestFit="1" customWidth="1"/>
    <col min="10244" max="10244" width="18" style="77" customWidth="1"/>
    <col min="10245" max="10245" width="20.140625" style="77" customWidth="1"/>
    <col min="10246" max="10246" width="22.28515625" style="77" bestFit="1" customWidth="1"/>
    <col min="10247" max="10255" width="9.140625" style="77"/>
    <col min="10256" max="10256" width="13.5703125" style="77" bestFit="1" customWidth="1"/>
    <col min="10257" max="10480" width="9.140625" style="77"/>
    <col min="10481" max="10482" width="10" style="77" customWidth="1"/>
    <col min="10483" max="10483" width="9.140625" style="77"/>
    <col min="10484" max="10484" width="24" style="77" customWidth="1"/>
    <col min="10485" max="10485" width="12.85546875" style="77" customWidth="1"/>
    <col min="10486" max="10487" width="13.140625" style="77" customWidth="1"/>
    <col min="10488" max="10488" width="9.140625" style="77"/>
    <col min="10489" max="10489" width="12.85546875" style="77" customWidth="1"/>
    <col min="10490" max="10490" width="9.140625" style="77"/>
    <col min="10491" max="10491" width="9.28515625" style="77" customWidth="1"/>
    <col min="10492" max="10492" width="20.140625" style="77" bestFit="1" customWidth="1"/>
    <col min="10493" max="10493" width="10.5703125" style="77" customWidth="1"/>
    <col min="10494" max="10494" width="12.7109375" style="77" customWidth="1"/>
    <col min="10495" max="10495" width="17" style="77" customWidth="1"/>
    <col min="10496" max="10496" width="14.7109375" style="77" customWidth="1"/>
    <col min="10497" max="10497" width="14.85546875" style="77" customWidth="1"/>
    <col min="10498" max="10498" width="17.7109375" style="77" customWidth="1"/>
    <col min="10499" max="10499" width="19.42578125" style="77" bestFit="1" customWidth="1"/>
    <col min="10500" max="10500" width="18" style="77" customWidth="1"/>
    <col min="10501" max="10501" width="20.140625" style="77" customWidth="1"/>
    <col min="10502" max="10502" width="22.28515625" style="77" bestFit="1" customWidth="1"/>
    <col min="10503" max="10511" width="9.140625" style="77"/>
    <col min="10512" max="10512" width="13.5703125" style="77" bestFit="1" customWidth="1"/>
    <col min="10513" max="10736" width="9.140625" style="77"/>
    <col min="10737" max="10738" width="10" style="77" customWidth="1"/>
    <col min="10739" max="10739" width="9.140625" style="77"/>
    <col min="10740" max="10740" width="24" style="77" customWidth="1"/>
    <col min="10741" max="10741" width="12.85546875" style="77" customWidth="1"/>
    <col min="10742" max="10743" width="13.140625" style="77" customWidth="1"/>
    <col min="10744" max="10744" width="9.140625" style="77"/>
    <col min="10745" max="10745" width="12.85546875" style="77" customWidth="1"/>
    <col min="10746" max="10746" width="9.140625" style="77"/>
    <col min="10747" max="10747" width="9.28515625" style="77" customWidth="1"/>
    <col min="10748" max="10748" width="20.140625" style="77" bestFit="1" customWidth="1"/>
    <col min="10749" max="10749" width="10.5703125" style="77" customWidth="1"/>
    <col min="10750" max="10750" width="12.7109375" style="77" customWidth="1"/>
    <col min="10751" max="10751" width="17" style="77" customWidth="1"/>
    <col min="10752" max="10752" width="14.7109375" style="77" customWidth="1"/>
    <col min="10753" max="10753" width="14.85546875" style="77" customWidth="1"/>
    <col min="10754" max="10754" width="17.7109375" style="77" customWidth="1"/>
    <col min="10755" max="10755" width="19.42578125" style="77" bestFit="1" customWidth="1"/>
    <col min="10756" max="10756" width="18" style="77" customWidth="1"/>
    <col min="10757" max="10757" width="20.140625" style="77" customWidth="1"/>
    <col min="10758" max="10758" width="22.28515625" style="77" bestFit="1" customWidth="1"/>
    <col min="10759" max="10767" width="9.140625" style="77"/>
    <col min="10768" max="10768" width="13.5703125" style="77" bestFit="1" customWidth="1"/>
    <col min="10769" max="10992" width="9.140625" style="77"/>
    <col min="10993" max="10994" width="10" style="77" customWidth="1"/>
    <col min="10995" max="10995" width="9.140625" style="77"/>
    <col min="10996" max="10996" width="24" style="77" customWidth="1"/>
    <col min="10997" max="10997" width="12.85546875" style="77" customWidth="1"/>
    <col min="10998" max="10999" width="13.140625" style="77" customWidth="1"/>
    <col min="11000" max="11000" width="9.140625" style="77"/>
    <col min="11001" max="11001" width="12.85546875" style="77" customWidth="1"/>
    <col min="11002" max="11002" width="9.140625" style="77"/>
    <col min="11003" max="11003" width="9.28515625" style="77" customWidth="1"/>
    <col min="11004" max="11004" width="20.140625" style="77" bestFit="1" customWidth="1"/>
    <col min="11005" max="11005" width="10.5703125" style="77" customWidth="1"/>
    <col min="11006" max="11006" width="12.7109375" style="77" customWidth="1"/>
    <col min="11007" max="11007" width="17" style="77" customWidth="1"/>
    <col min="11008" max="11008" width="14.7109375" style="77" customWidth="1"/>
    <col min="11009" max="11009" width="14.85546875" style="77" customWidth="1"/>
    <col min="11010" max="11010" width="17.7109375" style="77" customWidth="1"/>
    <col min="11011" max="11011" width="19.42578125" style="77" bestFit="1" customWidth="1"/>
    <col min="11012" max="11012" width="18" style="77" customWidth="1"/>
    <col min="11013" max="11013" width="20.140625" style="77" customWidth="1"/>
    <col min="11014" max="11014" width="22.28515625" style="77" bestFit="1" customWidth="1"/>
    <col min="11015" max="11023" width="9.140625" style="77"/>
    <col min="11024" max="11024" width="13.5703125" style="77" bestFit="1" customWidth="1"/>
    <col min="11025" max="11248" width="9.140625" style="77"/>
    <col min="11249" max="11250" width="10" style="77" customWidth="1"/>
    <col min="11251" max="11251" width="9.140625" style="77"/>
    <col min="11252" max="11252" width="24" style="77" customWidth="1"/>
    <col min="11253" max="11253" width="12.85546875" style="77" customWidth="1"/>
    <col min="11254" max="11255" width="13.140625" style="77" customWidth="1"/>
    <col min="11256" max="11256" width="9.140625" style="77"/>
    <col min="11257" max="11257" width="12.85546875" style="77" customWidth="1"/>
    <col min="11258" max="11258" width="9.140625" style="77"/>
    <col min="11259" max="11259" width="9.28515625" style="77" customWidth="1"/>
    <col min="11260" max="11260" width="20.140625" style="77" bestFit="1" customWidth="1"/>
    <col min="11261" max="11261" width="10.5703125" style="77" customWidth="1"/>
    <col min="11262" max="11262" width="12.7109375" style="77" customWidth="1"/>
    <col min="11263" max="11263" width="17" style="77" customWidth="1"/>
    <col min="11264" max="11264" width="14.7109375" style="77" customWidth="1"/>
    <col min="11265" max="11265" width="14.85546875" style="77" customWidth="1"/>
    <col min="11266" max="11266" width="17.7109375" style="77" customWidth="1"/>
    <col min="11267" max="11267" width="19.42578125" style="77" bestFit="1" customWidth="1"/>
    <col min="11268" max="11268" width="18" style="77" customWidth="1"/>
    <col min="11269" max="11269" width="20.140625" style="77" customWidth="1"/>
    <col min="11270" max="11270" width="22.28515625" style="77" bestFit="1" customWidth="1"/>
    <col min="11271" max="11279" width="9.140625" style="77"/>
    <col min="11280" max="11280" width="13.5703125" style="77" bestFit="1" customWidth="1"/>
    <col min="11281" max="11504" width="9.140625" style="77"/>
    <col min="11505" max="11506" width="10" style="77" customWidth="1"/>
    <col min="11507" max="11507" width="9.140625" style="77"/>
    <col min="11508" max="11508" width="24" style="77" customWidth="1"/>
    <col min="11509" max="11509" width="12.85546875" style="77" customWidth="1"/>
    <col min="11510" max="11511" width="13.140625" style="77" customWidth="1"/>
    <col min="11512" max="11512" width="9.140625" style="77"/>
    <col min="11513" max="11513" width="12.85546875" style="77" customWidth="1"/>
    <col min="11514" max="11514" width="9.140625" style="77"/>
    <col min="11515" max="11515" width="9.28515625" style="77" customWidth="1"/>
    <col min="11516" max="11516" width="20.140625" style="77" bestFit="1" customWidth="1"/>
    <col min="11517" max="11517" width="10.5703125" style="77" customWidth="1"/>
    <col min="11518" max="11518" width="12.7109375" style="77" customWidth="1"/>
    <col min="11519" max="11519" width="17" style="77" customWidth="1"/>
    <col min="11520" max="11520" width="14.7109375" style="77" customWidth="1"/>
    <col min="11521" max="11521" width="14.85546875" style="77" customWidth="1"/>
    <col min="11522" max="11522" width="17.7109375" style="77" customWidth="1"/>
    <col min="11523" max="11523" width="19.42578125" style="77" bestFit="1" customWidth="1"/>
    <col min="11524" max="11524" width="18" style="77" customWidth="1"/>
    <col min="11525" max="11525" width="20.140625" style="77" customWidth="1"/>
    <col min="11526" max="11526" width="22.28515625" style="77" bestFit="1" customWidth="1"/>
    <col min="11527" max="11535" width="9.140625" style="77"/>
    <col min="11536" max="11536" width="13.5703125" style="77" bestFit="1" customWidth="1"/>
    <col min="11537" max="11760" width="9.140625" style="77"/>
    <col min="11761" max="11762" width="10" style="77" customWidth="1"/>
    <col min="11763" max="11763" width="9.140625" style="77"/>
    <col min="11764" max="11764" width="24" style="77" customWidth="1"/>
    <col min="11765" max="11765" width="12.85546875" style="77" customWidth="1"/>
    <col min="11766" max="11767" width="13.140625" style="77" customWidth="1"/>
    <col min="11768" max="11768" width="9.140625" style="77"/>
    <col min="11769" max="11769" width="12.85546875" style="77" customWidth="1"/>
    <col min="11770" max="11770" width="9.140625" style="77"/>
    <col min="11771" max="11771" width="9.28515625" style="77" customWidth="1"/>
    <col min="11772" max="11772" width="20.140625" style="77" bestFit="1" customWidth="1"/>
    <col min="11773" max="11773" width="10.5703125" style="77" customWidth="1"/>
    <col min="11774" max="11774" width="12.7109375" style="77" customWidth="1"/>
    <col min="11775" max="11775" width="17" style="77" customWidth="1"/>
    <col min="11776" max="11776" width="14.7109375" style="77" customWidth="1"/>
    <col min="11777" max="11777" width="14.85546875" style="77" customWidth="1"/>
    <col min="11778" max="11778" width="17.7109375" style="77" customWidth="1"/>
    <col min="11779" max="11779" width="19.42578125" style="77" bestFit="1" customWidth="1"/>
    <col min="11780" max="11780" width="18" style="77" customWidth="1"/>
    <col min="11781" max="11781" width="20.140625" style="77" customWidth="1"/>
    <col min="11782" max="11782" width="22.28515625" style="77" bestFit="1" customWidth="1"/>
    <col min="11783" max="11791" width="9.140625" style="77"/>
    <col min="11792" max="11792" width="13.5703125" style="77" bestFit="1" customWidth="1"/>
    <col min="11793" max="12016" width="9.140625" style="77"/>
    <col min="12017" max="12018" width="10" style="77" customWidth="1"/>
    <col min="12019" max="12019" width="9.140625" style="77"/>
    <col min="12020" max="12020" width="24" style="77" customWidth="1"/>
    <col min="12021" max="12021" width="12.85546875" style="77" customWidth="1"/>
    <col min="12022" max="12023" width="13.140625" style="77" customWidth="1"/>
    <col min="12024" max="12024" width="9.140625" style="77"/>
    <col min="12025" max="12025" width="12.85546875" style="77" customWidth="1"/>
    <col min="12026" max="12026" width="9.140625" style="77"/>
    <col min="12027" max="12027" width="9.28515625" style="77" customWidth="1"/>
    <col min="12028" max="12028" width="20.140625" style="77" bestFit="1" customWidth="1"/>
    <col min="12029" max="12029" width="10.5703125" style="77" customWidth="1"/>
    <col min="12030" max="12030" width="12.7109375" style="77" customWidth="1"/>
    <col min="12031" max="12031" width="17" style="77" customWidth="1"/>
    <col min="12032" max="12032" width="14.7109375" style="77" customWidth="1"/>
    <col min="12033" max="12033" width="14.85546875" style="77" customWidth="1"/>
    <col min="12034" max="12034" width="17.7109375" style="77" customWidth="1"/>
    <col min="12035" max="12035" width="19.42578125" style="77" bestFit="1" customWidth="1"/>
    <col min="12036" max="12036" width="18" style="77" customWidth="1"/>
    <col min="12037" max="12037" width="20.140625" style="77" customWidth="1"/>
    <col min="12038" max="12038" width="22.28515625" style="77" bestFit="1" customWidth="1"/>
    <col min="12039" max="12047" width="9.140625" style="77"/>
    <col min="12048" max="12048" width="13.5703125" style="77" bestFit="1" customWidth="1"/>
    <col min="12049" max="12272" width="9.140625" style="77"/>
    <col min="12273" max="12274" width="10" style="77" customWidth="1"/>
    <col min="12275" max="12275" width="9.140625" style="77"/>
    <col min="12276" max="12276" width="24" style="77" customWidth="1"/>
    <col min="12277" max="12277" width="12.85546875" style="77" customWidth="1"/>
    <col min="12278" max="12279" width="13.140625" style="77" customWidth="1"/>
    <col min="12280" max="12280" width="9.140625" style="77"/>
    <col min="12281" max="12281" width="12.85546875" style="77" customWidth="1"/>
    <col min="12282" max="12282" width="9.140625" style="77"/>
    <col min="12283" max="12283" width="9.28515625" style="77" customWidth="1"/>
    <col min="12284" max="12284" width="20.140625" style="77" bestFit="1" customWidth="1"/>
    <col min="12285" max="12285" width="10.5703125" style="77" customWidth="1"/>
    <col min="12286" max="12286" width="12.7109375" style="77" customWidth="1"/>
    <col min="12287" max="12287" width="17" style="77" customWidth="1"/>
    <col min="12288" max="12288" width="14.7109375" style="77" customWidth="1"/>
    <col min="12289" max="12289" width="14.85546875" style="77" customWidth="1"/>
    <col min="12290" max="12290" width="17.7109375" style="77" customWidth="1"/>
    <col min="12291" max="12291" width="19.42578125" style="77" bestFit="1" customWidth="1"/>
    <col min="12292" max="12292" width="18" style="77" customWidth="1"/>
    <col min="12293" max="12293" width="20.140625" style="77" customWidth="1"/>
    <col min="12294" max="12294" width="22.28515625" style="77" bestFit="1" customWidth="1"/>
    <col min="12295" max="12303" width="9.140625" style="77"/>
    <col min="12304" max="12304" width="13.5703125" style="77" bestFit="1" customWidth="1"/>
    <col min="12305" max="12528" width="9.140625" style="77"/>
    <col min="12529" max="12530" width="10" style="77" customWidth="1"/>
    <col min="12531" max="12531" width="9.140625" style="77"/>
    <col min="12532" max="12532" width="24" style="77" customWidth="1"/>
    <col min="12533" max="12533" width="12.85546875" style="77" customWidth="1"/>
    <col min="12534" max="12535" width="13.140625" style="77" customWidth="1"/>
    <col min="12536" max="12536" width="9.140625" style="77"/>
    <col min="12537" max="12537" width="12.85546875" style="77" customWidth="1"/>
    <col min="12538" max="12538" width="9.140625" style="77"/>
    <col min="12539" max="12539" width="9.28515625" style="77" customWidth="1"/>
    <col min="12540" max="12540" width="20.140625" style="77" bestFit="1" customWidth="1"/>
    <col min="12541" max="12541" width="10.5703125" style="77" customWidth="1"/>
    <col min="12542" max="12542" width="12.7109375" style="77" customWidth="1"/>
    <col min="12543" max="12543" width="17" style="77" customWidth="1"/>
    <col min="12544" max="12544" width="14.7109375" style="77" customWidth="1"/>
    <col min="12545" max="12545" width="14.85546875" style="77" customWidth="1"/>
    <col min="12546" max="12546" width="17.7109375" style="77" customWidth="1"/>
    <col min="12547" max="12547" width="19.42578125" style="77" bestFit="1" customWidth="1"/>
    <col min="12548" max="12548" width="18" style="77" customWidth="1"/>
    <col min="12549" max="12549" width="20.140625" style="77" customWidth="1"/>
    <col min="12550" max="12550" width="22.28515625" style="77" bestFit="1" customWidth="1"/>
    <col min="12551" max="12559" width="9.140625" style="77"/>
    <col min="12560" max="12560" width="13.5703125" style="77" bestFit="1" customWidth="1"/>
    <col min="12561" max="12784" width="9.140625" style="77"/>
    <col min="12785" max="12786" width="10" style="77" customWidth="1"/>
    <col min="12787" max="12787" width="9.140625" style="77"/>
    <col min="12788" max="12788" width="24" style="77" customWidth="1"/>
    <col min="12789" max="12789" width="12.85546875" style="77" customWidth="1"/>
    <col min="12790" max="12791" width="13.140625" style="77" customWidth="1"/>
    <col min="12792" max="12792" width="9.140625" style="77"/>
    <col min="12793" max="12793" width="12.85546875" style="77" customWidth="1"/>
    <col min="12794" max="12794" width="9.140625" style="77"/>
    <col min="12795" max="12795" width="9.28515625" style="77" customWidth="1"/>
    <col min="12796" max="12796" width="20.140625" style="77" bestFit="1" customWidth="1"/>
    <col min="12797" max="12797" width="10.5703125" style="77" customWidth="1"/>
    <col min="12798" max="12798" width="12.7109375" style="77" customWidth="1"/>
    <col min="12799" max="12799" width="17" style="77" customWidth="1"/>
    <col min="12800" max="12800" width="14.7109375" style="77" customWidth="1"/>
    <col min="12801" max="12801" width="14.85546875" style="77" customWidth="1"/>
    <col min="12802" max="12802" width="17.7109375" style="77" customWidth="1"/>
    <col min="12803" max="12803" width="19.42578125" style="77" bestFit="1" customWidth="1"/>
    <col min="12804" max="12804" width="18" style="77" customWidth="1"/>
    <col min="12805" max="12805" width="20.140625" style="77" customWidth="1"/>
    <col min="12806" max="12806" width="22.28515625" style="77" bestFit="1" customWidth="1"/>
    <col min="12807" max="12815" width="9.140625" style="77"/>
    <col min="12816" max="12816" width="13.5703125" style="77" bestFit="1" customWidth="1"/>
    <col min="12817" max="13040" width="9.140625" style="77"/>
    <col min="13041" max="13042" width="10" style="77" customWidth="1"/>
    <col min="13043" max="13043" width="9.140625" style="77"/>
    <col min="13044" max="13044" width="24" style="77" customWidth="1"/>
    <col min="13045" max="13045" width="12.85546875" style="77" customWidth="1"/>
    <col min="13046" max="13047" width="13.140625" style="77" customWidth="1"/>
    <col min="13048" max="13048" width="9.140625" style="77"/>
    <col min="13049" max="13049" width="12.85546875" style="77" customWidth="1"/>
    <col min="13050" max="13050" width="9.140625" style="77"/>
    <col min="13051" max="13051" width="9.28515625" style="77" customWidth="1"/>
    <col min="13052" max="13052" width="20.140625" style="77" bestFit="1" customWidth="1"/>
    <col min="13053" max="13053" width="10.5703125" style="77" customWidth="1"/>
    <col min="13054" max="13054" width="12.7109375" style="77" customWidth="1"/>
    <col min="13055" max="13055" width="17" style="77" customWidth="1"/>
    <col min="13056" max="13056" width="14.7109375" style="77" customWidth="1"/>
    <col min="13057" max="13057" width="14.85546875" style="77" customWidth="1"/>
    <col min="13058" max="13058" width="17.7109375" style="77" customWidth="1"/>
    <col min="13059" max="13059" width="19.42578125" style="77" bestFit="1" customWidth="1"/>
    <col min="13060" max="13060" width="18" style="77" customWidth="1"/>
    <col min="13061" max="13061" width="20.140625" style="77" customWidth="1"/>
    <col min="13062" max="13062" width="22.28515625" style="77" bestFit="1" customWidth="1"/>
    <col min="13063" max="13071" width="9.140625" style="77"/>
    <col min="13072" max="13072" width="13.5703125" style="77" bestFit="1" customWidth="1"/>
    <col min="13073" max="13296" width="9.140625" style="77"/>
    <col min="13297" max="13298" width="10" style="77" customWidth="1"/>
    <col min="13299" max="13299" width="9.140625" style="77"/>
    <col min="13300" max="13300" width="24" style="77" customWidth="1"/>
    <col min="13301" max="13301" width="12.85546875" style="77" customWidth="1"/>
    <col min="13302" max="13303" width="13.140625" style="77" customWidth="1"/>
    <col min="13304" max="13304" width="9.140625" style="77"/>
    <col min="13305" max="13305" width="12.85546875" style="77" customWidth="1"/>
    <col min="13306" max="13306" width="9.140625" style="77"/>
    <col min="13307" max="13307" width="9.28515625" style="77" customWidth="1"/>
    <col min="13308" max="13308" width="20.140625" style="77" bestFit="1" customWidth="1"/>
    <col min="13309" max="13309" width="10.5703125" style="77" customWidth="1"/>
    <col min="13310" max="13310" width="12.7109375" style="77" customWidth="1"/>
    <col min="13311" max="13311" width="17" style="77" customWidth="1"/>
    <col min="13312" max="13312" width="14.7109375" style="77" customWidth="1"/>
    <col min="13313" max="13313" width="14.85546875" style="77" customWidth="1"/>
    <col min="13314" max="13314" width="17.7109375" style="77" customWidth="1"/>
    <col min="13315" max="13315" width="19.42578125" style="77" bestFit="1" customWidth="1"/>
    <col min="13316" max="13316" width="18" style="77" customWidth="1"/>
    <col min="13317" max="13317" width="20.140625" style="77" customWidth="1"/>
    <col min="13318" max="13318" width="22.28515625" style="77" bestFit="1" customWidth="1"/>
    <col min="13319" max="13327" width="9.140625" style="77"/>
    <col min="13328" max="13328" width="13.5703125" style="77" bestFit="1" customWidth="1"/>
    <col min="13329" max="13552" width="9.140625" style="77"/>
    <col min="13553" max="13554" width="10" style="77" customWidth="1"/>
    <col min="13555" max="13555" width="9.140625" style="77"/>
    <col min="13556" max="13556" width="24" style="77" customWidth="1"/>
    <col min="13557" max="13557" width="12.85546875" style="77" customWidth="1"/>
    <col min="13558" max="13559" width="13.140625" style="77" customWidth="1"/>
    <col min="13560" max="13560" width="9.140625" style="77"/>
    <col min="13561" max="13561" width="12.85546875" style="77" customWidth="1"/>
    <col min="13562" max="13562" width="9.140625" style="77"/>
    <col min="13563" max="13563" width="9.28515625" style="77" customWidth="1"/>
    <col min="13564" max="13564" width="20.140625" style="77" bestFit="1" customWidth="1"/>
    <col min="13565" max="13565" width="10.5703125" style="77" customWidth="1"/>
    <col min="13566" max="13566" width="12.7109375" style="77" customWidth="1"/>
    <col min="13567" max="13567" width="17" style="77" customWidth="1"/>
    <col min="13568" max="13568" width="14.7109375" style="77" customWidth="1"/>
    <col min="13569" max="13569" width="14.85546875" style="77" customWidth="1"/>
    <col min="13570" max="13570" width="17.7109375" style="77" customWidth="1"/>
    <col min="13571" max="13571" width="19.42578125" style="77" bestFit="1" customWidth="1"/>
    <col min="13572" max="13572" width="18" style="77" customWidth="1"/>
    <col min="13573" max="13573" width="20.140625" style="77" customWidth="1"/>
    <col min="13574" max="13574" width="22.28515625" style="77" bestFit="1" customWidth="1"/>
    <col min="13575" max="13583" width="9.140625" style="77"/>
    <col min="13584" max="13584" width="13.5703125" style="77" bestFit="1" customWidth="1"/>
    <col min="13585" max="13808" width="9.140625" style="77"/>
    <col min="13809" max="13810" width="10" style="77" customWidth="1"/>
    <col min="13811" max="13811" width="9.140625" style="77"/>
    <col min="13812" max="13812" width="24" style="77" customWidth="1"/>
    <col min="13813" max="13813" width="12.85546875" style="77" customWidth="1"/>
    <col min="13814" max="13815" width="13.140625" style="77" customWidth="1"/>
    <col min="13816" max="13816" width="9.140625" style="77"/>
    <col min="13817" max="13817" width="12.85546875" style="77" customWidth="1"/>
    <col min="13818" max="13818" width="9.140625" style="77"/>
    <col min="13819" max="13819" width="9.28515625" style="77" customWidth="1"/>
    <col min="13820" max="13820" width="20.140625" style="77" bestFit="1" customWidth="1"/>
    <col min="13821" max="13821" width="10.5703125" style="77" customWidth="1"/>
    <col min="13822" max="13822" width="12.7109375" style="77" customWidth="1"/>
    <col min="13823" max="13823" width="17" style="77" customWidth="1"/>
    <col min="13824" max="13824" width="14.7109375" style="77" customWidth="1"/>
    <col min="13825" max="13825" width="14.85546875" style="77" customWidth="1"/>
    <col min="13826" max="13826" width="17.7109375" style="77" customWidth="1"/>
    <col min="13827" max="13827" width="19.42578125" style="77" bestFit="1" customWidth="1"/>
    <col min="13828" max="13828" width="18" style="77" customWidth="1"/>
    <col min="13829" max="13829" width="20.140625" style="77" customWidth="1"/>
    <col min="13830" max="13830" width="22.28515625" style="77" bestFit="1" customWidth="1"/>
    <col min="13831" max="13839" width="9.140625" style="77"/>
    <col min="13840" max="13840" width="13.5703125" style="77" bestFit="1" customWidth="1"/>
    <col min="13841" max="14064" width="9.140625" style="77"/>
    <col min="14065" max="14066" width="10" style="77" customWidth="1"/>
    <col min="14067" max="14067" width="9.140625" style="77"/>
    <col min="14068" max="14068" width="24" style="77" customWidth="1"/>
    <col min="14069" max="14069" width="12.85546875" style="77" customWidth="1"/>
    <col min="14070" max="14071" width="13.140625" style="77" customWidth="1"/>
    <col min="14072" max="14072" width="9.140625" style="77"/>
    <col min="14073" max="14073" width="12.85546875" style="77" customWidth="1"/>
    <col min="14074" max="14074" width="9.140625" style="77"/>
    <col min="14075" max="14075" width="9.28515625" style="77" customWidth="1"/>
    <col min="14076" max="14076" width="20.140625" style="77" bestFit="1" customWidth="1"/>
    <col min="14077" max="14077" width="10.5703125" style="77" customWidth="1"/>
    <col min="14078" max="14078" width="12.7109375" style="77" customWidth="1"/>
    <col min="14079" max="14079" width="17" style="77" customWidth="1"/>
    <col min="14080" max="14080" width="14.7109375" style="77" customWidth="1"/>
    <col min="14081" max="14081" width="14.85546875" style="77" customWidth="1"/>
    <col min="14082" max="14082" width="17.7109375" style="77" customWidth="1"/>
    <col min="14083" max="14083" width="19.42578125" style="77" bestFit="1" customWidth="1"/>
    <col min="14084" max="14084" width="18" style="77" customWidth="1"/>
    <col min="14085" max="14085" width="20.140625" style="77" customWidth="1"/>
    <col min="14086" max="14086" width="22.28515625" style="77" bestFit="1" customWidth="1"/>
    <col min="14087" max="14095" width="9.140625" style="77"/>
    <col min="14096" max="14096" width="13.5703125" style="77" bestFit="1" customWidth="1"/>
    <col min="14097" max="14320" width="9.140625" style="77"/>
    <col min="14321" max="14322" width="10" style="77" customWidth="1"/>
    <col min="14323" max="14323" width="9.140625" style="77"/>
    <col min="14324" max="14324" width="24" style="77" customWidth="1"/>
    <col min="14325" max="14325" width="12.85546875" style="77" customWidth="1"/>
    <col min="14326" max="14327" width="13.140625" style="77" customWidth="1"/>
    <col min="14328" max="14328" width="9.140625" style="77"/>
    <col min="14329" max="14329" width="12.85546875" style="77" customWidth="1"/>
    <col min="14330" max="14330" width="9.140625" style="77"/>
    <col min="14331" max="14331" width="9.28515625" style="77" customWidth="1"/>
    <col min="14332" max="14332" width="20.140625" style="77" bestFit="1" customWidth="1"/>
    <col min="14333" max="14333" width="10.5703125" style="77" customWidth="1"/>
    <col min="14334" max="14334" width="12.7109375" style="77" customWidth="1"/>
    <col min="14335" max="14335" width="17" style="77" customWidth="1"/>
    <col min="14336" max="14336" width="14.7109375" style="77" customWidth="1"/>
    <col min="14337" max="14337" width="14.85546875" style="77" customWidth="1"/>
    <col min="14338" max="14338" width="17.7109375" style="77" customWidth="1"/>
    <col min="14339" max="14339" width="19.42578125" style="77" bestFit="1" customWidth="1"/>
    <col min="14340" max="14340" width="18" style="77" customWidth="1"/>
    <col min="14341" max="14341" width="20.140625" style="77" customWidth="1"/>
    <col min="14342" max="14342" width="22.28515625" style="77" bestFit="1" customWidth="1"/>
    <col min="14343" max="14351" width="9.140625" style="77"/>
    <col min="14352" max="14352" width="13.5703125" style="77" bestFit="1" customWidth="1"/>
    <col min="14353" max="14576" width="9.140625" style="77"/>
    <col min="14577" max="14578" width="10" style="77" customWidth="1"/>
    <col min="14579" max="14579" width="9.140625" style="77"/>
    <col min="14580" max="14580" width="24" style="77" customWidth="1"/>
    <col min="14581" max="14581" width="12.85546875" style="77" customWidth="1"/>
    <col min="14582" max="14583" width="13.140625" style="77" customWidth="1"/>
    <col min="14584" max="14584" width="9.140625" style="77"/>
    <col min="14585" max="14585" width="12.85546875" style="77" customWidth="1"/>
    <col min="14586" max="14586" width="9.140625" style="77"/>
    <col min="14587" max="14587" width="9.28515625" style="77" customWidth="1"/>
    <col min="14588" max="14588" width="20.140625" style="77" bestFit="1" customWidth="1"/>
    <col min="14589" max="14589" width="10.5703125" style="77" customWidth="1"/>
    <col min="14590" max="14590" width="12.7109375" style="77" customWidth="1"/>
    <col min="14591" max="14591" width="17" style="77" customWidth="1"/>
    <col min="14592" max="14592" width="14.7109375" style="77" customWidth="1"/>
    <col min="14593" max="14593" width="14.85546875" style="77" customWidth="1"/>
    <col min="14594" max="14594" width="17.7109375" style="77" customWidth="1"/>
    <col min="14595" max="14595" width="19.42578125" style="77" bestFit="1" customWidth="1"/>
    <col min="14596" max="14596" width="18" style="77" customWidth="1"/>
    <col min="14597" max="14597" width="20.140625" style="77" customWidth="1"/>
    <col min="14598" max="14598" width="22.28515625" style="77" bestFit="1" customWidth="1"/>
    <col min="14599" max="14607" width="9.140625" style="77"/>
    <col min="14608" max="14608" width="13.5703125" style="77" bestFit="1" customWidth="1"/>
    <col min="14609" max="14832" width="9.140625" style="77"/>
    <col min="14833" max="14834" width="10" style="77" customWidth="1"/>
    <col min="14835" max="14835" width="9.140625" style="77"/>
    <col min="14836" max="14836" width="24" style="77" customWidth="1"/>
    <col min="14837" max="14837" width="12.85546875" style="77" customWidth="1"/>
    <col min="14838" max="14839" width="13.140625" style="77" customWidth="1"/>
    <col min="14840" max="14840" width="9.140625" style="77"/>
    <col min="14841" max="14841" width="12.85546875" style="77" customWidth="1"/>
    <col min="14842" max="14842" width="9.140625" style="77"/>
    <col min="14843" max="14843" width="9.28515625" style="77" customWidth="1"/>
    <col min="14844" max="14844" width="20.140625" style="77" bestFit="1" customWidth="1"/>
    <col min="14845" max="14845" width="10.5703125" style="77" customWidth="1"/>
    <col min="14846" max="14846" width="12.7109375" style="77" customWidth="1"/>
    <col min="14847" max="14847" width="17" style="77" customWidth="1"/>
    <col min="14848" max="14848" width="14.7109375" style="77" customWidth="1"/>
    <col min="14849" max="14849" width="14.85546875" style="77" customWidth="1"/>
    <col min="14850" max="14850" width="17.7109375" style="77" customWidth="1"/>
    <col min="14851" max="14851" width="19.42578125" style="77" bestFit="1" customWidth="1"/>
    <col min="14852" max="14852" width="18" style="77" customWidth="1"/>
    <col min="14853" max="14853" width="20.140625" style="77" customWidth="1"/>
    <col min="14854" max="14854" width="22.28515625" style="77" bestFit="1" customWidth="1"/>
    <col min="14855" max="14863" width="9.140625" style="77"/>
    <col min="14864" max="14864" width="13.5703125" style="77" bestFit="1" customWidth="1"/>
    <col min="14865" max="15088" width="9.140625" style="77"/>
    <col min="15089" max="15090" width="10" style="77" customWidth="1"/>
    <col min="15091" max="15091" width="9.140625" style="77"/>
    <col min="15092" max="15092" width="24" style="77" customWidth="1"/>
    <col min="15093" max="15093" width="12.85546875" style="77" customWidth="1"/>
    <col min="15094" max="15095" width="13.140625" style="77" customWidth="1"/>
    <col min="15096" max="15096" width="9.140625" style="77"/>
    <col min="15097" max="15097" width="12.85546875" style="77" customWidth="1"/>
    <col min="15098" max="15098" width="9.140625" style="77"/>
    <col min="15099" max="15099" width="9.28515625" style="77" customWidth="1"/>
    <col min="15100" max="15100" width="20.140625" style="77" bestFit="1" customWidth="1"/>
    <col min="15101" max="15101" width="10.5703125" style="77" customWidth="1"/>
    <col min="15102" max="15102" width="12.7109375" style="77" customWidth="1"/>
    <col min="15103" max="15103" width="17" style="77" customWidth="1"/>
    <col min="15104" max="15104" width="14.7109375" style="77" customWidth="1"/>
    <col min="15105" max="15105" width="14.85546875" style="77" customWidth="1"/>
    <col min="15106" max="15106" width="17.7109375" style="77" customWidth="1"/>
    <col min="15107" max="15107" width="19.42578125" style="77" bestFit="1" customWidth="1"/>
    <col min="15108" max="15108" width="18" style="77" customWidth="1"/>
    <col min="15109" max="15109" width="20.140625" style="77" customWidth="1"/>
    <col min="15110" max="15110" width="22.28515625" style="77" bestFit="1" customWidth="1"/>
    <col min="15111" max="15119" width="9.140625" style="77"/>
    <col min="15120" max="15120" width="13.5703125" style="77" bestFit="1" customWidth="1"/>
    <col min="15121" max="15344" width="9.140625" style="77"/>
    <col min="15345" max="15346" width="10" style="77" customWidth="1"/>
    <col min="15347" max="15347" width="9.140625" style="77"/>
    <col min="15348" max="15348" width="24" style="77" customWidth="1"/>
    <col min="15349" max="15349" width="12.85546875" style="77" customWidth="1"/>
    <col min="15350" max="15351" width="13.140625" style="77" customWidth="1"/>
    <col min="15352" max="15352" width="9.140625" style="77"/>
    <col min="15353" max="15353" width="12.85546875" style="77" customWidth="1"/>
    <col min="15354" max="15354" width="9.140625" style="77"/>
    <col min="15355" max="15355" width="9.28515625" style="77" customWidth="1"/>
    <col min="15356" max="15356" width="20.140625" style="77" bestFit="1" customWidth="1"/>
    <col min="15357" max="15357" width="10.5703125" style="77" customWidth="1"/>
    <col min="15358" max="15358" width="12.7109375" style="77" customWidth="1"/>
    <col min="15359" max="15359" width="17" style="77" customWidth="1"/>
    <col min="15360" max="15360" width="14.7109375" style="77" customWidth="1"/>
    <col min="15361" max="15361" width="14.85546875" style="77" customWidth="1"/>
    <col min="15362" max="15362" width="17.7109375" style="77" customWidth="1"/>
    <col min="15363" max="15363" width="19.42578125" style="77" bestFit="1" customWidth="1"/>
    <col min="15364" max="15364" width="18" style="77" customWidth="1"/>
    <col min="15365" max="15365" width="20.140625" style="77" customWidth="1"/>
    <col min="15366" max="15366" width="22.28515625" style="77" bestFit="1" customWidth="1"/>
    <col min="15367" max="15375" width="9.140625" style="77"/>
    <col min="15376" max="15376" width="13.5703125" style="77" bestFit="1" customWidth="1"/>
    <col min="15377" max="15600" width="9.140625" style="77"/>
    <col min="15601" max="15602" width="10" style="77" customWidth="1"/>
    <col min="15603" max="15603" width="9.140625" style="77"/>
    <col min="15604" max="15604" width="24" style="77" customWidth="1"/>
    <col min="15605" max="15605" width="12.85546875" style="77" customWidth="1"/>
    <col min="15606" max="15607" width="13.140625" style="77" customWidth="1"/>
    <col min="15608" max="15608" width="9.140625" style="77"/>
    <col min="15609" max="15609" width="12.85546875" style="77" customWidth="1"/>
    <col min="15610" max="15610" width="9.140625" style="77"/>
    <col min="15611" max="15611" width="9.28515625" style="77" customWidth="1"/>
    <col min="15612" max="15612" width="20.140625" style="77" bestFit="1" customWidth="1"/>
    <col min="15613" max="15613" width="10.5703125" style="77" customWidth="1"/>
    <col min="15614" max="15614" width="12.7109375" style="77" customWidth="1"/>
    <col min="15615" max="15615" width="17" style="77" customWidth="1"/>
    <col min="15616" max="15616" width="14.7109375" style="77" customWidth="1"/>
    <col min="15617" max="15617" width="14.85546875" style="77" customWidth="1"/>
    <col min="15618" max="15618" width="17.7109375" style="77" customWidth="1"/>
    <col min="15619" max="15619" width="19.42578125" style="77" bestFit="1" customWidth="1"/>
    <col min="15620" max="15620" width="18" style="77" customWidth="1"/>
    <col min="15621" max="15621" width="20.140625" style="77" customWidth="1"/>
    <col min="15622" max="15622" width="22.28515625" style="77" bestFit="1" customWidth="1"/>
    <col min="15623" max="15631" width="9.140625" style="77"/>
    <col min="15632" max="15632" width="13.5703125" style="77" bestFit="1" customWidth="1"/>
    <col min="15633" max="15856" width="9.140625" style="77"/>
    <col min="15857" max="15858" width="10" style="77" customWidth="1"/>
    <col min="15859" max="15859" width="9.140625" style="77"/>
    <col min="15860" max="15860" width="24" style="77" customWidth="1"/>
    <col min="15861" max="15861" width="12.85546875" style="77" customWidth="1"/>
    <col min="15862" max="15863" width="13.140625" style="77" customWidth="1"/>
    <col min="15864" max="15864" width="9.140625" style="77"/>
    <col min="15865" max="15865" width="12.85546875" style="77" customWidth="1"/>
    <col min="15866" max="15866" width="9.140625" style="77"/>
    <col min="15867" max="15867" width="9.28515625" style="77" customWidth="1"/>
    <col min="15868" max="15868" width="20.140625" style="77" bestFit="1" customWidth="1"/>
    <col min="15869" max="15869" width="10.5703125" style="77" customWidth="1"/>
    <col min="15870" max="15870" width="12.7109375" style="77" customWidth="1"/>
    <col min="15871" max="15871" width="17" style="77" customWidth="1"/>
    <col min="15872" max="15872" width="14.7109375" style="77" customWidth="1"/>
    <col min="15873" max="15873" width="14.85546875" style="77" customWidth="1"/>
    <col min="15874" max="15874" width="17.7109375" style="77" customWidth="1"/>
    <col min="15875" max="15875" width="19.42578125" style="77" bestFit="1" customWidth="1"/>
    <col min="15876" max="15876" width="18" style="77" customWidth="1"/>
    <col min="15877" max="15877" width="20.140625" style="77" customWidth="1"/>
    <col min="15878" max="15878" width="22.28515625" style="77" bestFit="1" customWidth="1"/>
    <col min="15879" max="15887" width="9.140625" style="77"/>
    <col min="15888" max="15888" width="13.5703125" style="77" bestFit="1" customWidth="1"/>
    <col min="15889" max="16112" width="9.140625" style="77"/>
    <col min="16113" max="16114" width="10" style="77" customWidth="1"/>
    <col min="16115" max="16115" width="9.140625" style="77"/>
    <col min="16116" max="16116" width="24" style="77" customWidth="1"/>
    <col min="16117" max="16117" width="12.85546875" style="77" customWidth="1"/>
    <col min="16118" max="16119" width="13.140625" style="77" customWidth="1"/>
    <col min="16120" max="16120" width="9.140625" style="77"/>
    <col min="16121" max="16121" width="12.85546875" style="77" customWidth="1"/>
    <col min="16122" max="16122" width="9.140625" style="77"/>
    <col min="16123" max="16123" width="9.28515625" style="77" customWidth="1"/>
    <col min="16124" max="16124" width="20.140625" style="77" bestFit="1" customWidth="1"/>
    <col min="16125" max="16125" width="10.5703125" style="77" customWidth="1"/>
    <col min="16126" max="16126" width="12.7109375" style="77" customWidth="1"/>
    <col min="16127" max="16127" width="17" style="77" customWidth="1"/>
    <col min="16128" max="16128" width="14.7109375" style="77" customWidth="1"/>
    <col min="16129" max="16129" width="14.85546875" style="77" customWidth="1"/>
    <col min="16130" max="16130" width="17.7109375" style="77" customWidth="1"/>
    <col min="16131" max="16131" width="19.42578125" style="77" bestFit="1" customWidth="1"/>
    <col min="16132" max="16132" width="18" style="77" customWidth="1"/>
    <col min="16133" max="16133" width="20.140625" style="77" customWidth="1"/>
    <col min="16134" max="16134" width="22.28515625" style="77" bestFit="1" customWidth="1"/>
    <col min="16135" max="16143" width="9.140625" style="77"/>
    <col min="16144" max="16144" width="13.5703125" style="77" bestFit="1" customWidth="1"/>
    <col min="16145" max="16384" width="9.140625" style="77"/>
  </cols>
  <sheetData>
    <row r="1" spans="1:16" x14ac:dyDescent="0.2">
      <c r="A1" s="147" t="s">
        <v>102</v>
      </c>
    </row>
    <row r="2" spans="1:16" x14ac:dyDescent="0.2">
      <c r="A2" s="81" t="s">
        <v>0</v>
      </c>
      <c r="J2" s="97" t="s">
        <v>103</v>
      </c>
      <c r="M2" s="371" t="s">
        <v>104</v>
      </c>
    </row>
    <row r="3" spans="1:16" x14ac:dyDescent="0.2">
      <c r="A3" s="81" t="s">
        <v>133</v>
      </c>
      <c r="J3" s="97"/>
    </row>
    <row r="4" spans="1:16" x14ac:dyDescent="0.2">
      <c r="A4" s="192" t="s">
        <v>113</v>
      </c>
      <c r="B4" s="371" t="s">
        <v>142</v>
      </c>
      <c r="J4" s="192" t="s">
        <v>92</v>
      </c>
      <c r="M4" s="371" t="s">
        <v>139</v>
      </c>
    </row>
    <row r="5" spans="1:16" x14ac:dyDescent="0.2">
      <c r="A5" s="81"/>
      <c r="B5" s="76"/>
    </row>
    <row r="6" spans="1:16" x14ac:dyDescent="0.2">
      <c r="A6" s="81" t="s">
        <v>1</v>
      </c>
      <c r="B6" s="188">
        <v>2012</v>
      </c>
    </row>
    <row r="8" spans="1:16" s="81" customFormat="1" ht="38.25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O8" s="83"/>
      <c r="P8" s="83"/>
    </row>
    <row r="9" spans="1:16" x14ac:dyDescent="0.2">
      <c r="A9" s="203" t="s">
        <v>134</v>
      </c>
      <c r="B9" s="205">
        <v>29586</v>
      </c>
      <c r="C9" s="206">
        <v>1980</v>
      </c>
      <c r="D9" s="206">
        <v>25</v>
      </c>
      <c r="E9" s="206">
        <f t="shared" ref="E9:E28" si="0">+C9+D9-1</f>
        <v>2004</v>
      </c>
      <c r="F9" s="207">
        <f t="shared" ref="F9:F29" si="1">IF(D9&gt;0,1/D9,0)</f>
        <v>0.04</v>
      </c>
      <c r="G9" s="222">
        <v>191488.9</v>
      </c>
      <c r="H9" s="209">
        <f t="shared" ref="H9:H28" si="2">IF(+G9&gt;0,IF(+$B$6-C9+1&gt;D9,D9,+$B$6-C9+1),0)</f>
        <v>25</v>
      </c>
      <c r="I9" s="173">
        <f t="shared" ref="I9:I28" si="3">IF(E9&gt;=$B$6,+D9-H9,0)</f>
        <v>0</v>
      </c>
      <c r="J9" s="222">
        <f t="shared" ref="J9:J28" si="4">+G9*F9</f>
        <v>7659.5559999999996</v>
      </c>
      <c r="K9" s="222">
        <f t="shared" ref="K9:K28" si="5">IF(E9&gt;=$B$6,+J9,0)</f>
        <v>0</v>
      </c>
      <c r="L9" s="222">
        <f t="shared" ref="L9:L28" si="6">+J9*H9</f>
        <v>191488.9</v>
      </c>
      <c r="M9" s="222">
        <f t="shared" ref="M9:M29" si="7">+G9-L9</f>
        <v>0</v>
      </c>
      <c r="N9" s="206"/>
      <c r="P9" s="252">
        <f>+G9-L9</f>
        <v>0</v>
      </c>
    </row>
    <row r="10" spans="1:16" x14ac:dyDescent="0.2">
      <c r="A10" s="203" t="s">
        <v>134</v>
      </c>
      <c r="B10" s="205">
        <v>29951</v>
      </c>
      <c r="C10" s="206">
        <v>1981</v>
      </c>
      <c r="D10" s="206">
        <v>25</v>
      </c>
      <c r="E10" s="206">
        <f t="shared" si="0"/>
        <v>2005</v>
      </c>
      <c r="F10" s="207">
        <f t="shared" si="1"/>
        <v>0.04</v>
      </c>
      <c r="G10" s="220">
        <v>145323.04</v>
      </c>
      <c r="H10" s="209">
        <f t="shared" si="2"/>
        <v>25</v>
      </c>
      <c r="I10" s="173">
        <f t="shared" si="3"/>
        <v>0</v>
      </c>
      <c r="J10" s="220">
        <f t="shared" si="4"/>
        <v>5812.9216000000006</v>
      </c>
      <c r="K10" s="220">
        <f t="shared" si="5"/>
        <v>0</v>
      </c>
      <c r="L10" s="220">
        <f t="shared" si="6"/>
        <v>145323.04</v>
      </c>
      <c r="M10" s="220">
        <f t="shared" si="7"/>
        <v>0</v>
      </c>
      <c r="N10" s="206"/>
      <c r="P10" s="252">
        <f t="shared" ref="P10:P46" si="8">+G10-L10</f>
        <v>0</v>
      </c>
    </row>
    <row r="11" spans="1:16" x14ac:dyDescent="0.2">
      <c r="A11" s="203" t="s">
        <v>134</v>
      </c>
      <c r="B11" s="205">
        <v>30316</v>
      </c>
      <c r="C11" s="206">
        <f t="shared" ref="C11:C28" si="9">+C10+1</f>
        <v>1982</v>
      </c>
      <c r="D11" s="206">
        <v>25</v>
      </c>
      <c r="E11" s="206">
        <f t="shared" si="0"/>
        <v>2006</v>
      </c>
      <c r="F11" s="207">
        <f t="shared" si="1"/>
        <v>0.04</v>
      </c>
      <c r="G11" s="220">
        <v>211170.82</v>
      </c>
      <c r="H11" s="209">
        <f t="shared" si="2"/>
        <v>25</v>
      </c>
      <c r="I11" s="173">
        <f t="shared" si="3"/>
        <v>0</v>
      </c>
      <c r="J11" s="220">
        <f t="shared" si="4"/>
        <v>8446.8328000000001</v>
      </c>
      <c r="K11" s="220">
        <f t="shared" si="5"/>
        <v>0</v>
      </c>
      <c r="L11" s="220">
        <f t="shared" si="6"/>
        <v>211170.82</v>
      </c>
      <c r="M11" s="220">
        <f t="shared" si="7"/>
        <v>0</v>
      </c>
      <c r="N11" s="206"/>
      <c r="P11" s="252">
        <f t="shared" si="8"/>
        <v>0</v>
      </c>
    </row>
    <row r="12" spans="1:16" x14ac:dyDescent="0.2">
      <c r="A12" s="203" t="s">
        <v>134</v>
      </c>
      <c r="B12" s="205">
        <v>30681</v>
      </c>
      <c r="C12" s="206">
        <f t="shared" si="9"/>
        <v>1983</v>
      </c>
      <c r="D12" s="206">
        <v>25</v>
      </c>
      <c r="E12" s="206">
        <f t="shared" si="0"/>
        <v>2007</v>
      </c>
      <c r="F12" s="207">
        <f t="shared" si="1"/>
        <v>0.04</v>
      </c>
      <c r="G12" s="220">
        <v>288119.58</v>
      </c>
      <c r="H12" s="209">
        <f t="shared" si="2"/>
        <v>25</v>
      </c>
      <c r="I12" s="173">
        <f t="shared" si="3"/>
        <v>0</v>
      </c>
      <c r="J12" s="220">
        <f t="shared" si="4"/>
        <v>11524.783200000002</v>
      </c>
      <c r="K12" s="220">
        <f t="shared" si="5"/>
        <v>0</v>
      </c>
      <c r="L12" s="220">
        <f t="shared" si="6"/>
        <v>288119.58</v>
      </c>
      <c r="M12" s="220">
        <f t="shared" si="7"/>
        <v>0</v>
      </c>
      <c r="N12" s="206"/>
      <c r="P12" s="252">
        <f t="shared" si="8"/>
        <v>0</v>
      </c>
    </row>
    <row r="13" spans="1:16" x14ac:dyDescent="0.2">
      <c r="A13" s="203" t="s">
        <v>134</v>
      </c>
      <c r="B13" s="205">
        <v>31047</v>
      </c>
      <c r="C13" s="206">
        <f t="shared" si="9"/>
        <v>1984</v>
      </c>
      <c r="D13" s="206">
        <v>25</v>
      </c>
      <c r="E13" s="206">
        <f t="shared" si="0"/>
        <v>2008</v>
      </c>
      <c r="F13" s="207">
        <f t="shared" si="1"/>
        <v>0.04</v>
      </c>
      <c r="G13" s="220">
        <v>315100.56</v>
      </c>
      <c r="H13" s="209">
        <f t="shared" si="2"/>
        <v>25</v>
      </c>
      <c r="I13" s="173">
        <f t="shared" si="3"/>
        <v>0</v>
      </c>
      <c r="J13" s="220">
        <f t="shared" si="4"/>
        <v>12604.0224</v>
      </c>
      <c r="K13" s="220">
        <f t="shared" si="5"/>
        <v>0</v>
      </c>
      <c r="L13" s="220">
        <f t="shared" si="6"/>
        <v>315100.56</v>
      </c>
      <c r="M13" s="220">
        <f t="shared" si="7"/>
        <v>0</v>
      </c>
      <c r="N13" s="206"/>
      <c r="P13" s="252">
        <f t="shared" si="8"/>
        <v>0</v>
      </c>
    </row>
    <row r="14" spans="1:16" x14ac:dyDescent="0.2">
      <c r="A14" s="203" t="s">
        <v>134</v>
      </c>
      <c r="B14" s="205">
        <v>31412</v>
      </c>
      <c r="C14" s="206">
        <f t="shared" si="9"/>
        <v>1985</v>
      </c>
      <c r="D14" s="206">
        <v>25</v>
      </c>
      <c r="E14" s="206">
        <f t="shared" si="0"/>
        <v>2009</v>
      </c>
      <c r="F14" s="207">
        <f t="shared" si="1"/>
        <v>0.04</v>
      </c>
      <c r="G14" s="220">
        <v>166391.76999999999</v>
      </c>
      <c r="H14" s="209">
        <f t="shared" si="2"/>
        <v>25</v>
      </c>
      <c r="I14" s="173">
        <f t="shared" si="3"/>
        <v>0</v>
      </c>
      <c r="J14" s="220">
        <f t="shared" si="4"/>
        <v>6655.6707999999999</v>
      </c>
      <c r="K14" s="220">
        <f t="shared" si="5"/>
        <v>0</v>
      </c>
      <c r="L14" s="220">
        <f t="shared" si="6"/>
        <v>166391.76999999999</v>
      </c>
      <c r="M14" s="220">
        <f t="shared" si="7"/>
        <v>0</v>
      </c>
      <c r="N14" s="206"/>
      <c r="P14" s="252">
        <f t="shared" si="8"/>
        <v>0</v>
      </c>
    </row>
    <row r="15" spans="1:16" x14ac:dyDescent="0.2">
      <c r="A15" s="203" t="s">
        <v>134</v>
      </c>
      <c r="B15" s="205">
        <v>31777</v>
      </c>
      <c r="C15" s="206">
        <f t="shared" si="9"/>
        <v>1986</v>
      </c>
      <c r="D15" s="206">
        <v>25</v>
      </c>
      <c r="E15" s="206">
        <f t="shared" si="0"/>
        <v>2010</v>
      </c>
      <c r="F15" s="207">
        <f t="shared" si="1"/>
        <v>0.04</v>
      </c>
      <c r="G15" s="220">
        <v>226823.5</v>
      </c>
      <c r="H15" s="209">
        <f t="shared" si="2"/>
        <v>25</v>
      </c>
      <c r="I15" s="173">
        <f t="shared" si="3"/>
        <v>0</v>
      </c>
      <c r="J15" s="220">
        <f t="shared" si="4"/>
        <v>9072.94</v>
      </c>
      <c r="K15" s="220">
        <f t="shared" si="5"/>
        <v>0</v>
      </c>
      <c r="L15" s="220">
        <f t="shared" si="6"/>
        <v>226823.5</v>
      </c>
      <c r="M15" s="220">
        <f t="shared" si="7"/>
        <v>0</v>
      </c>
      <c r="N15" s="206"/>
      <c r="P15" s="252">
        <f t="shared" si="8"/>
        <v>0</v>
      </c>
    </row>
    <row r="16" spans="1:16" x14ac:dyDescent="0.2">
      <c r="A16" s="203" t="s">
        <v>134</v>
      </c>
      <c r="B16" s="205">
        <v>32142</v>
      </c>
      <c r="C16" s="206">
        <f t="shared" si="9"/>
        <v>1987</v>
      </c>
      <c r="D16" s="206">
        <v>25</v>
      </c>
      <c r="E16" s="206">
        <f t="shared" si="0"/>
        <v>2011</v>
      </c>
      <c r="F16" s="207">
        <f t="shared" si="1"/>
        <v>0.04</v>
      </c>
      <c r="G16" s="220">
        <v>319397.36</v>
      </c>
      <c r="H16" s="209">
        <f t="shared" si="2"/>
        <v>25</v>
      </c>
      <c r="I16" s="173">
        <f t="shared" si="3"/>
        <v>0</v>
      </c>
      <c r="J16" s="220">
        <f t="shared" si="4"/>
        <v>12775.894399999999</v>
      </c>
      <c r="K16" s="220">
        <f t="shared" si="5"/>
        <v>0</v>
      </c>
      <c r="L16" s="220">
        <f t="shared" si="6"/>
        <v>319397.36</v>
      </c>
      <c r="M16" s="220">
        <f t="shared" si="7"/>
        <v>0</v>
      </c>
      <c r="N16" s="206"/>
      <c r="P16" s="252">
        <f t="shared" si="8"/>
        <v>0</v>
      </c>
    </row>
    <row r="17" spans="1:21" x14ac:dyDescent="0.2">
      <c r="A17" s="203" t="s">
        <v>134</v>
      </c>
      <c r="B17" s="205">
        <v>32508</v>
      </c>
      <c r="C17" s="206">
        <f t="shared" si="9"/>
        <v>1988</v>
      </c>
      <c r="D17" s="206">
        <v>25</v>
      </c>
      <c r="E17" s="206">
        <f t="shared" si="0"/>
        <v>2012</v>
      </c>
      <c r="F17" s="207">
        <f t="shared" si="1"/>
        <v>0.04</v>
      </c>
      <c r="G17" s="220">
        <v>425838.53</v>
      </c>
      <c r="H17" s="209">
        <f t="shared" si="2"/>
        <v>25</v>
      </c>
      <c r="I17" s="173">
        <f t="shared" si="3"/>
        <v>0</v>
      </c>
      <c r="J17" s="220">
        <f t="shared" si="4"/>
        <v>17033.5412</v>
      </c>
      <c r="K17" s="220">
        <f t="shared" si="5"/>
        <v>17033.5412</v>
      </c>
      <c r="L17" s="220">
        <f t="shared" si="6"/>
        <v>425838.52999999997</v>
      </c>
      <c r="M17" s="220">
        <f t="shared" si="7"/>
        <v>0</v>
      </c>
      <c r="N17" s="206"/>
      <c r="P17" s="252"/>
    </row>
    <row r="18" spans="1:21" x14ac:dyDescent="0.2">
      <c r="A18" s="203" t="s">
        <v>134</v>
      </c>
      <c r="B18" s="205">
        <v>32873</v>
      </c>
      <c r="C18" s="206">
        <f t="shared" si="9"/>
        <v>1989</v>
      </c>
      <c r="D18" s="206">
        <v>25</v>
      </c>
      <c r="E18" s="206">
        <f t="shared" si="0"/>
        <v>2013</v>
      </c>
      <c r="F18" s="207">
        <f t="shared" si="1"/>
        <v>0.04</v>
      </c>
      <c r="G18" s="220">
        <v>300770.15000000002</v>
      </c>
      <c r="H18" s="209">
        <f t="shared" si="2"/>
        <v>24</v>
      </c>
      <c r="I18" s="173">
        <f t="shared" si="3"/>
        <v>1</v>
      </c>
      <c r="J18" s="220">
        <f t="shared" si="4"/>
        <v>12030.806</v>
      </c>
      <c r="K18" s="220">
        <f t="shared" si="5"/>
        <v>12030.806</v>
      </c>
      <c r="L18" s="220">
        <f t="shared" si="6"/>
        <v>288739.34400000004</v>
      </c>
      <c r="M18" s="220">
        <f t="shared" si="7"/>
        <v>12030.805999999982</v>
      </c>
      <c r="N18" s="206"/>
      <c r="P18" s="252"/>
    </row>
    <row r="19" spans="1:21" x14ac:dyDescent="0.2">
      <c r="A19" s="203" t="s">
        <v>134</v>
      </c>
      <c r="B19" s="205">
        <v>33238</v>
      </c>
      <c r="C19" s="206">
        <f t="shared" si="9"/>
        <v>1990</v>
      </c>
      <c r="D19" s="206">
        <v>25</v>
      </c>
      <c r="E19" s="206">
        <f t="shared" si="0"/>
        <v>2014</v>
      </c>
      <c r="F19" s="207">
        <f t="shared" si="1"/>
        <v>0.04</v>
      </c>
      <c r="G19" s="220">
        <v>379584.5</v>
      </c>
      <c r="H19" s="209">
        <f t="shared" si="2"/>
        <v>23</v>
      </c>
      <c r="I19" s="173">
        <f t="shared" si="3"/>
        <v>2</v>
      </c>
      <c r="J19" s="220">
        <f t="shared" si="4"/>
        <v>15183.380000000001</v>
      </c>
      <c r="K19" s="220">
        <f t="shared" si="5"/>
        <v>15183.380000000001</v>
      </c>
      <c r="L19" s="220">
        <f t="shared" si="6"/>
        <v>349217.74000000005</v>
      </c>
      <c r="M19" s="220">
        <f t="shared" si="7"/>
        <v>30366.759999999951</v>
      </c>
      <c r="N19" s="206"/>
      <c r="P19" s="252"/>
    </row>
    <row r="20" spans="1:21" x14ac:dyDescent="0.2">
      <c r="A20" s="203" t="s">
        <v>134</v>
      </c>
      <c r="B20" s="205">
        <v>33603</v>
      </c>
      <c r="C20" s="206">
        <f t="shared" si="9"/>
        <v>1991</v>
      </c>
      <c r="D20" s="206">
        <v>25</v>
      </c>
      <c r="E20" s="206">
        <f t="shared" si="0"/>
        <v>2015</v>
      </c>
      <c r="F20" s="207">
        <f t="shared" si="1"/>
        <v>0.04</v>
      </c>
      <c r="G20" s="220">
        <v>522098.26</v>
      </c>
      <c r="H20" s="209">
        <f t="shared" si="2"/>
        <v>22</v>
      </c>
      <c r="I20" s="173">
        <f t="shared" si="3"/>
        <v>3</v>
      </c>
      <c r="J20" s="220">
        <f t="shared" si="4"/>
        <v>20883.930400000001</v>
      </c>
      <c r="K20" s="220">
        <f t="shared" si="5"/>
        <v>20883.930400000001</v>
      </c>
      <c r="L20" s="220">
        <f t="shared" si="6"/>
        <v>459446.46880000003</v>
      </c>
      <c r="M20" s="220">
        <f t="shared" si="7"/>
        <v>62651.791199999978</v>
      </c>
      <c r="N20" s="206"/>
      <c r="P20" s="252"/>
    </row>
    <row r="21" spans="1:21" x14ac:dyDescent="0.2">
      <c r="A21" s="203" t="s">
        <v>134</v>
      </c>
      <c r="B21" s="205">
        <v>33969</v>
      </c>
      <c r="C21" s="206">
        <f t="shared" si="9"/>
        <v>1992</v>
      </c>
      <c r="D21" s="206">
        <v>25</v>
      </c>
      <c r="E21" s="206">
        <f t="shared" si="0"/>
        <v>2016</v>
      </c>
      <c r="F21" s="207">
        <f t="shared" si="1"/>
        <v>0.04</v>
      </c>
      <c r="G21" s="220">
        <v>539578.75</v>
      </c>
      <c r="H21" s="209">
        <f t="shared" si="2"/>
        <v>21</v>
      </c>
      <c r="I21" s="173">
        <f t="shared" si="3"/>
        <v>4</v>
      </c>
      <c r="J21" s="220">
        <f t="shared" si="4"/>
        <v>21583.15</v>
      </c>
      <c r="K21" s="220">
        <f t="shared" si="5"/>
        <v>21583.15</v>
      </c>
      <c r="L21" s="220">
        <f t="shared" si="6"/>
        <v>453246.15</v>
      </c>
      <c r="M21" s="220">
        <f t="shared" si="7"/>
        <v>86332.599999999977</v>
      </c>
      <c r="N21" s="206"/>
      <c r="P21" s="252"/>
    </row>
    <row r="22" spans="1:21" x14ac:dyDescent="0.2">
      <c r="A22" s="203" t="s">
        <v>134</v>
      </c>
      <c r="B22" s="205">
        <v>34334</v>
      </c>
      <c r="C22" s="206">
        <f t="shared" si="9"/>
        <v>1993</v>
      </c>
      <c r="D22" s="206">
        <v>25</v>
      </c>
      <c r="E22" s="206">
        <f t="shared" si="0"/>
        <v>2017</v>
      </c>
      <c r="F22" s="207">
        <f t="shared" si="1"/>
        <v>0.04</v>
      </c>
      <c r="G22" s="220">
        <v>494003.37</v>
      </c>
      <c r="H22" s="209">
        <f t="shared" si="2"/>
        <v>20</v>
      </c>
      <c r="I22" s="173">
        <f t="shared" si="3"/>
        <v>5</v>
      </c>
      <c r="J22" s="220">
        <f t="shared" si="4"/>
        <v>19760.1348</v>
      </c>
      <c r="K22" s="220">
        <f t="shared" si="5"/>
        <v>19760.1348</v>
      </c>
      <c r="L22" s="220">
        <f t="shared" si="6"/>
        <v>395202.696</v>
      </c>
      <c r="M22" s="220">
        <f t="shared" si="7"/>
        <v>98800.673999999999</v>
      </c>
      <c r="N22" s="206"/>
      <c r="P22" s="252"/>
    </row>
    <row r="23" spans="1:21" x14ac:dyDescent="0.2">
      <c r="A23" s="203" t="s">
        <v>134</v>
      </c>
      <c r="B23" s="205">
        <v>34699</v>
      </c>
      <c r="C23" s="206">
        <f t="shared" si="9"/>
        <v>1994</v>
      </c>
      <c r="D23" s="206">
        <v>25</v>
      </c>
      <c r="E23" s="206">
        <f t="shared" si="0"/>
        <v>2018</v>
      </c>
      <c r="F23" s="207">
        <f t="shared" si="1"/>
        <v>0.04</v>
      </c>
      <c r="G23" s="220">
        <v>608657.04</v>
      </c>
      <c r="H23" s="209">
        <f t="shared" si="2"/>
        <v>19</v>
      </c>
      <c r="I23" s="173">
        <f t="shared" si="3"/>
        <v>6</v>
      </c>
      <c r="J23" s="220">
        <f t="shared" si="4"/>
        <v>24346.281600000002</v>
      </c>
      <c r="K23" s="220">
        <f t="shared" si="5"/>
        <v>24346.281600000002</v>
      </c>
      <c r="L23" s="220">
        <f t="shared" si="6"/>
        <v>462579.35040000005</v>
      </c>
      <c r="M23" s="220">
        <f t="shared" si="7"/>
        <v>146077.68959999998</v>
      </c>
      <c r="N23" s="206"/>
      <c r="P23" s="252"/>
    </row>
    <row r="24" spans="1:21" x14ac:dyDescent="0.2">
      <c r="A24" s="203" t="s">
        <v>134</v>
      </c>
      <c r="B24" s="205">
        <v>35064</v>
      </c>
      <c r="C24" s="206">
        <f t="shared" si="9"/>
        <v>1995</v>
      </c>
      <c r="D24" s="206">
        <v>25</v>
      </c>
      <c r="E24" s="206">
        <f t="shared" si="0"/>
        <v>2019</v>
      </c>
      <c r="F24" s="207">
        <f t="shared" si="1"/>
        <v>0.04</v>
      </c>
      <c r="G24" s="220">
        <v>997939.59</v>
      </c>
      <c r="H24" s="209">
        <f t="shared" si="2"/>
        <v>18</v>
      </c>
      <c r="I24" s="173">
        <f t="shared" si="3"/>
        <v>7</v>
      </c>
      <c r="J24" s="220">
        <f t="shared" si="4"/>
        <v>39917.583599999998</v>
      </c>
      <c r="K24" s="220">
        <f t="shared" si="5"/>
        <v>39917.583599999998</v>
      </c>
      <c r="L24" s="220">
        <f t="shared" si="6"/>
        <v>718516.5048</v>
      </c>
      <c r="M24" s="220">
        <f t="shared" si="7"/>
        <v>279423.08519999997</v>
      </c>
      <c r="N24" s="206"/>
      <c r="P24" s="252"/>
    </row>
    <row r="25" spans="1:21" x14ac:dyDescent="0.2">
      <c r="A25" s="203" t="s">
        <v>134</v>
      </c>
      <c r="B25" s="205">
        <v>35430</v>
      </c>
      <c r="C25" s="206">
        <f t="shared" si="9"/>
        <v>1996</v>
      </c>
      <c r="D25" s="206">
        <v>25</v>
      </c>
      <c r="E25" s="206">
        <f t="shared" si="0"/>
        <v>2020</v>
      </c>
      <c r="F25" s="207">
        <f t="shared" si="1"/>
        <v>0.04</v>
      </c>
      <c r="G25" s="220">
        <v>772499.92</v>
      </c>
      <c r="H25" s="209">
        <f t="shared" si="2"/>
        <v>17</v>
      </c>
      <c r="I25" s="173">
        <f t="shared" si="3"/>
        <v>8</v>
      </c>
      <c r="J25" s="220">
        <f t="shared" si="4"/>
        <v>30899.996800000001</v>
      </c>
      <c r="K25" s="220">
        <f t="shared" si="5"/>
        <v>30899.996800000001</v>
      </c>
      <c r="L25" s="220">
        <f t="shared" si="6"/>
        <v>525299.94559999998</v>
      </c>
      <c r="M25" s="220">
        <f t="shared" si="7"/>
        <v>247199.97440000006</v>
      </c>
      <c r="N25" s="206"/>
      <c r="P25" s="252"/>
    </row>
    <row r="26" spans="1:21" x14ac:dyDescent="0.2">
      <c r="A26" s="203" t="s">
        <v>134</v>
      </c>
      <c r="B26" s="205">
        <v>35795</v>
      </c>
      <c r="C26" s="206">
        <f t="shared" si="9"/>
        <v>1997</v>
      </c>
      <c r="D26" s="206">
        <v>25</v>
      </c>
      <c r="E26" s="206">
        <f t="shared" si="0"/>
        <v>2021</v>
      </c>
      <c r="F26" s="207">
        <f t="shared" si="1"/>
        <v>0.04</v>
      </c>
      <c r="G26" s="220">
        <v>1111676.96</v>
      </c>
      <c r="H26" s="209">
        <f t="shared" si="2"/>
        <v>16</v>
      </c>
      <c r="I26" s="173">
        <f t="shared" si="3"/>
        <v>9</v>
      </c>
      <c r="J26" s="220">
        <f t="shared" si="4"/>
        <v>44467.078399999999</v>
      </c>
      <c r="K26" s="220">
        <f t="shared" si="5"/>
        <v>44467.078399999999</v>
      </c>
      <c r="L26" s="220">
        <f t="shared" si="6"/>
        <v>711473.25439999998</v>
      </c>
      <c r="M26" s="220">
        <f t="shared" si="7"/>
        <v>400203.70559999999</v>
      </c>
      <c r="N26" s="206"/>
      <c r="P26" s="252"/>
    </row>
    <row r="27" spans="1:21" x14ac:dyDescent="0.2">
      <c r="A27" s="203" t="s">
        <v>134</v>
      </c>
      <c r="B27" s="205">
        <v>36160</v>
      </c>
      <c r="C27" s="206">
        <f t="shared" si="9"/>
        <v>1998</v>
      </c>
      <c r="D27" s="206">
        <v>25</v>
      </c>
      <c r="E27" s="206">
        <f t="shared" si="0"/>
        <v>2022</v>
      </c>
      <c r="F27" s="207">
        <f t="shared" si="1"/>
        <v>0.04</v>
      </c>
      <c r="G27" s="220">
        <v>775164.12</v>
      </c>
      <c r="H27" s="209">
        <f t="shared" si="2"/>
        <v>15</v>
      </c>
      <c r="I27" s="173">
        <f t="shared" si="3"/>
        <v>10</v>
      </c>
      <c r="J27" s="220">
        <f t="shared" si="4"/>
        <v>31006.5648</v>
      </c>
      <c r="K27" s="220">
        <f t="shared" si="5"/>
        <v>31006.5648</v>
      </c>
      <c r="L27" s="220">
        <f t="shared" si="6"/>
        <v>465098.47200000001</v>
      </c>
      <c r="M27" s="220">
        <f t="shared" si="7"/>
        <v>310065.64799999999</v>
      </c>
      <c r="N27" s="206"/>
      <c r="P27" s="252"/>
    </row>
    <row r="28" spans="1:21" x14ac:dyDescent="0.2">
      <c r="A28" s="203" t="s">
        <v>134</v>
      </c>
      <c r="B28" s="205">
        <v>36525</v>
      </c>
      <c r="C28" s="206">
        <f t="shared" si="9"/>
        <v>1999</v>
      </c>
      <c r="D28" s="206">
        <v>25</v>
      </c>
      <c r="E28" s="206">
        <f t="shared" si="0"/>
        <v>2023</v>
      </c>
      <c r="F28" s="207">
        <f t="shared" si="1"/>
        <v>0.04</v>
      </c>
      <c r="G28" s="220">
        <f>9417361.34-8791626.72</f>
        <v>625734.61999999918</v>
      </c>
      <c r="H28" s="209">
        <f t="shared" si="2"/>
        <v>14</v>
      </c>
      <c r="I28" s="173">
        <f t="shared" si="3"/>
        <v>11</v>
      </c>
      <c r="J28" s="220">
        <f t="shared" si="4"/>
        <v>25029.384799999967</v>
      </c>
      <c r="K28" s="220">
        <f t="shared" si="5"/>
        <v>25029.384799999967</v>
      </c>
      <c r="L28" s="220">
        <f t="shared" si="6"/>
        <v>350411.38719999953</v>
      </c>
      <c r="M28" s="220">
        <f t="shared" si="7"/>
        <v>275323.23279999965</v>
      </c>
      <c r="N28" s="206"/>
      <c r="P28" s="252"/>
    </row>
    <row r="29" spans="1:21" x14ac:dyDescent="0.2">
      <c r="A29" s="203" t="s">
        <v>293</v>
      </c>
      <c r="B29" s="205"/>
      <c r="C29" s="206">
        <v>2006</v>
      </c>
      <c r="D29" s="206">
        <v>25</v>
      </c>
      <c r="E29" s="206"/>
      <c r="F29" s="207">
        <f t="shared" si="1"/>
        <v>0.04</v>
      </c>
      <c r="G29" s="390">
        <v>-9417361.3399999999</v>
      </c>
      <c r="H29" s="209"/>
      <c r="I29" s="173"/>
      <c r="J29" s="220">
        <v>0</v>
      </c>
      <c r="K29" s="220">
        <v>0</v>
      </c>
      <c r="L29" s="391">
        <v>-5135941.33</v>
      </c>
      <c r="M29" s="372">
        <f t="shared" si="7"/>
        <v>-4281420.01</v>
      </c>
      <c r="N29" s="206"/>
      <c r="P29" s="252"/>
    </row>
    <row r="30" spans="1:21" x14ac:dyDescent="0.2">
      <c r="A30" s="148" t="s">
        <v>100</v>
      </c>
      <c r="B30" s="205"/>
      <c r="C30" s="206"/>
      <c r="D30" s="206"/>
      <c r="E30" s="206"/>
      <c r="F30" s="207"/>
      <c r="G30" s="236">
        <f>SUM(G9:G29)</f>
        <v>0</v>
      </c>
      <c r="H30" s="209"/>
      <c r="I30" s="173"/>
      <c r="J30" s="220"/>
      <c r="K30" s="246">
        <f>SUM(K9:K29)</f>
        <v>302141.83239999996</v>
      </c>
      <c r="L30" s="249">
        <f>SUM(L9:L29)</f>
        <v>2332944.0432000002</v>
      </c>
      <c r="M30" s="393">
        <f>SUM(M9:M29)</f>
        <v>-2332944.0432000002</v>
      </c>
      <c r="N30" s="206"/>
      <c r="P30" s="252"/>
      <c r="R30" s="92">
        <v>45</v>
      </c>
      <c r="T30" s="77" t="s">
        <v>308</v>
      </c>
      <c r="U30" s="77" t="s">
        <v>309</v>
      </c>
    </row>
    <row r="31" spans="1:21" x14ac:dyDescent="0.2">
      <c r="A31" s="203"/>
      <c r="B31" s="205"/>
      <c r="C31" s="206"/>
      <c r="D31" s="206"/>
      <c r="E31" s="206"/>
      <c r="F31" s="207"/>
      <c r="G31" s="220"/>
      <c r="H31" s="209"/>
      <c r="I31" s="173"/>
      <c r="J31" s="220"/>
      <c r="K31" s="220"/>
      <c r="L31" s="220"/>
      <c r="M31" s="220"/>
      <c r="N31" s="206"/>
      <c r="P31" s="252">
        <f t="shared" si="8"/>
        <v>0</v>
      </c>
      <c r="R31" s="92" t="s">
        <v>312</v>
      </c>
      <c r="T31" s="221">
        <v>-955802</v>
      </c>
      <c r="U31" s="252">
        <f>+T31+M48</f>
        <v>3630040.8485889342</v>
      </c>
    </row>
    <row r="32" spans="1:21" x14ac:dyDescent="0.2">
      <c r="A32" s="203" t="s">
        <v>135</v>
      </c>
      <c r="B32" s="205">
        <v>36891</v>
      </c>
      <c r="C32" s="206">
        <v>2000</v>
      </c>
      <c r="D32" s="206">
        <v>25</v>
      </c>
      <c r="E32" s="206">
        <f t="shared" ref="E32:E38" si="10">+C32+D32-1</f>
        <v>2024</v>
      </c>
      <c r="F32" s="207">
        <f t="shared" ref="F32:F38" si="11">IF(D32&gt;0,1/D32,0)</f>
        <v>0.04</v>
      </c>
      <c r="G32" s="220">
        <v>264705.08</v>
      </c>
      <c r="H32" s="209">
        <f t="shared" ref="H32:H37" si="12">IF(+G32&gt;0,IF(+$B$6-C32+1&gt;D32,D32,+$B$6-C32+1),0)</f>
        <v>13</v>
      </c>
      <c r="I32" s="173">
        <f t="shared" ref="I32:I37" si="13">IF(E32&gt;=$B$6,+D32-H32,0)</f>
        <v>12</v>
      </c>
      <c r="J32" s="220">
        <f t="shared" ref="J32:J38" si="14">+G32*F32</f>
        <v>10588.203200000002</v>
      </c>
      <c r="K32" s="220">
        <f t="shared" ref="K32:K37" si="15">IF(E32&gt;=$B$6,+J32,0)</f>
        <v>10588.203200000002</v>
      </c>
      <c r="L32" s="220">
        <f>+J32*H32</f>
        <v>137646.64160000003</v>
      </c>
      <c r="M32" s="220">
        <f t="shared" ref="M32:M46" si="16">+G32-L32</f>
        <v>127058.43839999998</v>
      </c>
      <c r="N32" s="206"/>
      <c r="P32" s="252">
        <f t="shared" si="8"/>
        <v>127058.43839999998</v>
      </c>
      <c r="Q32" s="398">
        <f>+P32/$P$48</f>
        <v>2.7706670855303279E-2</v>
      </c>
      <c r="R32" s="421">
        <f>+$R$30-H32</f>
        <v>32</v>
      </c>
      <c r="S32" s="422">
        <f>+Q32*R32</f>
        <v>0.88661346736970492</v>
      </c>
      <c r="U32" s="221">
        <f>+Q32*$U$31</f>
        <v>100576.3469831594</v>
      </c>
    </row>
    <row r="33" spans="1:21" x14ac:dyDescent="0.2">
      <c r="A33" s="203" t="s">
        <v>135</v>
      </c>
      <c r="B33" s="233">
        <v>37256</v>
      </c>
      <c r="C33" s="206">
        <v>2001</v>
      </c>
      <c r="D33" s="206">
        <v>25</v>
      </c>
      <c r="E33" s="206">
        <f t="shared" si="10"/>
        <v>2025</v>
      </c>
      <c r="F33" s="207">
        <f t="shared" si="11"/>
        <v>0.04</v>
      </c>
      <c r="G33" s="220">
        <f>4517226.97-4162550.94</f>
        <v>354676.0299999998</v>
      </c>
      <c r="H33" s="209">
        <f t="shared" si="12"/>
        <v>12</v>
      </c>
      <c r="I33" s="173">
        <f t="shared" si="13"/>
        <v>13</v>
      </c>
      <c r="J33" s="220">
        <f t="shared" si="14"/>
        <v>14187.041199999992</v>
      </c>
      <c r="K33" s="220">
        <f t="shared" si="15"/>
        <v>14187.041199999992</v>
      </c>
      <c r="L33" s="220">
        <f>+J33*H33</f>
        <v>170244.49439999991</v>
      </c>
      <c r="M33" s="220">
        <f t="shared" si="16"/>
        <v>184431.53559999989</v>
      </c>
      <c r="N33" s="206"/>
      <c r="P33" s="252">
        <f t="shared" si="8"/>
        <v>184431.53559999989</v>
      </c>
      <c r="Q33" s="398">
        <f t="shared" ref="Q33:Q46" si="17">+P33/$P$48</f>
        <v>4.0217587407459801E-2</v>
      </c>
      <c r="R33" s="421">
        <f t="shared" ref="R33:R46" si="18">+$R$30-H33</f>
        <v>33</v>
      </c>
      <c r="S33" s="422">
        <f t="shared" ref="S33:S46" si="19">+Q33*R33</f>
        <v>1.3271803844461734</v>
      </c>
      <c r="U33" s="221">
        <f t="shared" ref="U33:U46" si="20">+Q33*$U$31</f>
        <v>145991.485120775</v>
      </c>
    </row>
    <row r="34" spans="1:21" x14ac:dyDescent="0.2">
      <c r="A34" s="203" t="s">
        <v>135</v>
      </c>
      <c r="B34" s="233">
        <v>37621</v>
      </c>
      <c r="C34" s="206">
        <v>2002</v>
      </c>
      <c r="D34" s="206">
        <v>25</v>
      </c>
      <c r="E34" s="206">
        <f t="shared" si="10"/>
        <v>2026</v>
      </c>
      <c r="F34" s="207">
        <f t="shared" si="11"/>
        <v>0.04</v>
      </c>
      <c r="G34" s="220">
        <v>437827.45</v>
      </c>
      <c r="H34" s="209">
        <f t="shared" si="12"/>
        <v>11</v>
      </c>
      <c r="I34" s="173">
        <f t="shared" si="13"/>
        <v>14</v>
      </c>
      <c r="J34" s="220">
        <f t="shared" si="14"/>
        <v>17513.098000000002</v>
      </c>
      <c r="K34" s="220">
        <f t="shared" si="15"/>
        <v>17513.098000000002</v>
      </c>
      <c r="L34" s="220">
        <f>+J34*H34</f>
        <v>192644.07800000001</v>
      </c>
      <c r="M34" s="220">
        <f t="shared" si="16"/>
        <v>245183.372</v>
      </c>
      <c r="N34" s="206"/>
      <c r="P34" s="252">
        <f t="shared" si="8"/>
        <v>245183.372</v>
      </c>
      <c r="Q34" s="398">
        <f t="shared" si="17"/>
        <v>5.3465280013998522E-2</v>
      </c>
      <c r="R34" s="421">
        <f t="shared" si="18"/>
        <v>34</v>
      </c>
      <c r="S34" s="422">
        <f t="shared" si="19"/>
        <v>1.8178195204759497</v>
      </c>
      <c r="U34" s="221">
        <f t="shared" si="20"/>
        <v>194081.15043206018</v>
      </c>
    </row>
    <row r="35" spans="1:21" x14ac:dyDescent="0.2">
      <c r="A35" s="203" t="s">
        <v>135</v>
      </c>
      <c r="B35" s="205">
        <v>37986</v>
      </c>
      <c r="C35" s="206">
        <v>2003</v>
      </c>
      <c r="D35" s="206">
        <v>25</v>
      </c>
      <c r="E35" s="206">
        <f t="shared" si="10"/>
        <v>2027</v>
      </c>
      <c r="F35" s="207">
        <f t="shared" si="11"/>
        <v>0.04</v>
      </c>
      <c r="G35" s="220">
        <v>302352.08</v>
      </c>
      <c r="H35" s="209">
        <f t="shared" si="12"/>
        <v>10</v>
      </c>
      <c r="I35" s="173">
        <f t="shared" si="13"/>
        <v>15</v>
      </c>
      <c r="J35" s="221">
        <f t="shared" si="14"/>
        <v>12094.083200000001</v>
      </c>
      <c r="K35" s="221">
        <f t="shared" si="15"/>
        <v>12094.083200000001</v>
      </c>
      <c r="L35" s="221">
        <f>+J35*H35</f>
        <v>120940.83200000001</v>
      </c>
      <c r="M35" s="221">
        <f t="shared" si="16"/>
        <v>181411.24800000002</v>
      </c>
      <c r="N35" s="173"/>
      <c r="P35" s="252">
        <f t="shared" si="8"/>
        <v>181411.24800000002</v>
      </c>
      <c r="Q35" s="398">
        <f t="shared" si="17"/>
        <v>3.9558976177262666E-2</v>
      </c>
      <c r="R35" s="421">
        <f t="shared" si="18"/>
        <v>35</v>
      </c>
      <c r="S35" s="422">
        <f t="shared" si="19"/>
        <v>1.3845641662041932</v>
      </c>
      <c r="U35" s="221">
        <f t="shared" si="20"/>
        <v>143600.69945181999</v>
      </c>
    </row>
    <row r="36" spans="1:21" x14ac:dyDescent="0.2">
      <c r="A36" s="203" t="s">
        <v>135</v>
      </c>
      <c r="B36" s="233">
        <v>38352</v>
      </c>
      <c r="C36" s="206">
        <v>2004</v>
      </c>
      <c r="D36" s="206">
        <v>25</v>
      </c>
      <c r="E36" s="206">
        <f t="shared" si="10"/>
        <v>2028</v>
      </c>
      <c r="F36" s="207">
        <f t="shared" si="11"/>
        <v>0.04</v>
      </c>
      <c r="G36" s="220">
        <f>206082.78-7280.5-0.03</f>
        <v>198802.25</v>
      </c>
      <c r="H36" s="209">
        <f t="shared" si="12"/>
        <v>9</v>
      </c>
      <c r="I36" s="173">
        <f t="shared" si="13"/>
        <v>16</v>
      </c>
      <c r="J36" s="220">
        <f t="shared" si="14"/>
        <v>7952.09</v>
      </c>
      <c r="K36" s="220">
        <f t="shared" si="15"/>
        <v>7952.09</v>
      </c>
      <c r="L36" s="220">
        <f>+J36*H36-0.03</f>
        <v>71568.78</v>
      </c>
      <c r="M36" s="220">
        <f t="shared" si="16"/>
        <v>127233.47</v>
      </c>
      <c r="N36" s="206"/>
      <c r="P36" s="252">
        <f t="shared" si="8"/>
        <v>127233.47</v>
      </c>
      <c r="Q36" s="398">
        <f t="shared" si="17"/>
        <v>2.7744838669984034E-2</v>
      </c>
      <c r="R36" s="421">
        <f t="shared" si="18"/>
        <v>36</v>
      </c>
      <c r="S36" s="422">
        <f t="shared" si="19"/>
        <v>0.99881419211942524</v>
      </c>
      <c r="U36" s="221">
        <f t="shared" si="20"/>
        <v>100714.89770955192</v>
      </c>
    </row>
    <row r="37" spans="1:21" x14ac:dyDescent="0.2">
      <c r="A37" s="203" t="s">
        <v>135</v>
      </c>
      <c r="B37" s="205">
        <v>38717</v>
      </c>
      <c r="C37" s="206">
        <v>2005</v>
      </c>
      <c r="D37" s="206">
        <v>25</v>
      </c>
      <c r="E37" s="206">
        <f t="shared" si="10"/>
        <v>2029</v>
      </c>
      <c r="F37" s="207">
        <f t="shared" si="11"/>
        <v>0.04</v>
      </c>
      <c r="G37" s="220">
        <v>348863.75</v>
      </c>
      <c r="H37" s="209">
        <f t="shared" si="12"/>
        <v>8</v>
      </c>
      <c r="I37" s="173">
        <f t="shared" si="13"/>
        <v>17</v>
      </c>
      <c r="J37" s="220">
        <f t="shared" si="14"/>
        <v>13954.550000000001</v>
      </c>
      <c r="K37" s="220">
        <f t="shared" si="15"/>
        <v>13954.550000000001</v>
      </c>
      <c r="L37" s="220">
        <f>+J37*H37-0.03</f>
        <v>111636.37000000001</v>
      </c>
      <c r="M37" s="220">
        <f t="shared" si="16"/>
        <v>237227.38</v>
      </c>
      <c r="N37" s="206"/>
      <c r="P37" s="252">
        <f t="shared" si="8"/>
        <v>237227.38</v>
      </c>
      <c r="Q37" s="398">
        <f t="shared" si="17"/>
        <v>5.1730377126419626E-2</v>
      </c>
      <c r="R37" s="421">
        <f t="shared" si="18"/>
        <v>37</v>
      </c>
      <c r="S37" s="422">
        <f t="shared" si="19"/>
        <v>1.9140239536775261</v>
      </c>
      <c r="U37" s="221">
        <f t="shared" si="20"/>
        <v>187783.38208181388</v>
      </c>
    </row>
    <row r="38" spans="1:21" x14ac:dyDescent="0.2">
      <c r="A38" s="203" t="s">
        <v>293</v>
      </c>
      <c r="B38" s="205"/>
      <c r="C38" s="206">
        <v>2006</v>
      </c>
      <c r="D38" s="206">
        <v>25</v>
      </c>
      <c r="E38" s="206">
        <f t="shared" si="10"/>
        <v>2030</v>
      </c>
      <c r="F38" s="207">
        <f t="shared" si="11"/>
        <v>0.04</v>
      </c>
      <c r="G38" s="390">
        <f>+L55-1907226.64</f>
        <v>3897845.8600000003</v>
      </c>
      <c r="H38" s="209"/>
      <c r="I38" s="173"/>
      <c r="J38" s="220">
        <f t="shared" si="14"/>
        <v>155913.83440000002</v>
      </c>
      <c r="K38" s="238"/>
      <c r="L38" s="391">
        <v>2005683.1</v>
      </c>
      <c r="M38" s="372">
        <f t="shared" si="16"/>
        <v>1892162.7600000002</v>
      </c>
      <c r="N38" s="228"/>
      <c r="P38" s="252">
        <f t="shared" si="8"/>
        <v>1892162.7600000002</v>
      </c>
      <c r="Q38" s="398">
        <f t="shared" si="17"/>
        <v>0.41260959489316551</v>
      </c>
      <c r="R38" s="421">
        <v>39</v>
      </c>
      <c r="S38" s="422">
        <f t="shared" si="19"/>
        <v>16.091774200833456</v>
      </c>
      <c r="U38" s="221">
        <f t="shared" si="20"/>
        <v>1497789.6839819229</v>
      </c>
    </row>
    <row r="39" spans="1:21" x14ac:dyDescent="0.2">
      <c r="A39" s="203" t="s">
        <v>294</v>
      </c>
      <c r="B39" s="205"/>
      <c r="C39" s="206">
        <v>2006</v>
      </c>
      <c r="D39" s="206"/>
      <c r="E39" s="206"/>
      <c r="F39" s="207">
        <v>0.04</v>
      </c>
      <c r="G39" s="220"/>
      <c r="H39" s="209"/>
      <c r="I39" s="173"/>
      <c r="J39" s="237">
        <f>2005683.1/5135941.33*K30</f>
        <v>117992.15141106614</v>
      </c>
      <c r="K39" s="238">
        <f>+J39</f>
        <v>117992.15141106614</v>
      </c>
      <c r="L39" s="239">
        <f>+K39+141845.11+138546.46+134045.82+129123.7+126524.54</f>
        <v>788077.78141106619</v>
      </c>
      <c r="M39" s="394">
        <f t="shared" si="16"/>
        <v>-788077.78141106619</v>
      </c>
      <c r="N39" s="228"/>
      <c r="P39" s="252">
        <f t="shared" si="8"/>
        <v>-788077.78141106619</v>
      </c>
      <c r="Q39" s="398">
        <f t="shared" si="17"/>
        <v>-0.17185015000100975</v>
      </c>
      <c r="R39" s="421">
        <v>39</v>
      </c>
      <c r="S39" s="422">
        <f t="shared" si="19"/>
        <v>-6.7021558500393805</v>
      </c>
      <c r="U39" s="221">
        <f t="shared" si="20"/>
        <v>-623823.06433980109</v>
      </c>
    </row>
    <row r="40" spans="1:21" x14ac:dyDescent="0.2">
      <c r="A40" s="203" t="s">
        <v>135</v>
      </c>
      <c r="B40" s="205">
        <v>39082</v>
      </c>
      <c r="C40" s="206">
        <v>2006</v>
      </c>
      <c r="D40" s="206">
        <v>25</v>
      </c>
      <c r="E40" s="206">
        <f t="shared" ref="E40:E46" si="21">+C40+D40-1</f>
        <v>2030</v>
      </c>
      <c r="F40" s="207">
        <f t="shared" ref="F40:F46" si="22">IF(D40&gt;0,1/D40,0)</f>
        <v>0.04</v>
      </c>
      <c r="G40" s="220">
        <v>332908.09999999998</v>
      </c>
      <c r="H40" s="209">
        <f t="shared" ref="H40:H46" si="23">IF(+G40&gt;0,IF(+$B$6-C40+1&gt;D40,D40,+$B$6-C40+1),0)</f>
        <v>7</v>
      </c>
      <c r="I40" s="173">
        <f t="shared" ref="I40:I46" si="24">IF(E40&gt;=$B$6,+D40-H40,0)</f>
        <v>18</v>
      </c>
      <c r="J40" s="220">
        <f t="shared" ref="J40:J46" si="25">+G40*F40</f>
        <v>13316.323999999999</v>
      </c>
      <c r="K40" s="220">
        <f t="shared" ref="K40:K46" si="26">IF(E40&gt;=$B$6,+J40,0)</f>
        <v>13316.323999999999</v>
      </c>
      <c r="L40" s="220">
        <f t="shared" ref="L40:L46" si="27">+J40*H40</f>
        <v>93214.267999999996</v>
      </c>
      <c r="M40" s="220">
        <f t="shared" si="16"/>
        <v>239693.83199999999</v>
      </c>
      <c r="N40" s="206"/>
      <c r="P40" s="252">
        <f t="shared" si="8"/>
        <v>239693.83199999999</v>
      </c>
      <c r="Q40" s="398">
        <f t="shared" si="17"/>
        <v>5.2268217624106744E-2</v>
      </c>
      <c r="R40" s="421">
        <f t="shared" si="18"/>
        <v>38</v>
      </c>
      <c r="S40" s="422">
        <f t="shared" si="19"/>
        <v>1.9861922697160563</v>
      </c>
      <c r="U40" s="221">
        <f t="shared" si="20"/>
        <v>189735.76505844353</v>
      </c>
    </row>
    <row r="41" spans="1:21" x14ac:dyDescent="0.2">
      <c r="A41" s="203" t="s">
        <v>135</v>
      </c>
      <c r="B41" s="205">
        <v>39447</v>
      </c>
      <c r="C41" s="206">
        <v>2007</v>
      </c>
      <c r="D41" s="206">
        <v>25</v>
      </c>
      <c r="E41" s="206">
        <f t="shared" si="21"/>
        <v>2031</v>
      </c>
      <c r="F41" s="207">
        <f t="shared" si="22"/>
        <v>0.04</v>
      </c>
      <c r="G41" s="220">
        <f>57692.79+19403.52+50944.26+12557.92+27553.35+38225.42+54690.26+45392.64+43544.09+43107.7+97532.78+72176.08</f>
        <v>562820.80999999994</v>
      </c>
      <c r="H41" s="209">
        <f t="shared" si="23"/>
        <v>6</v>
      </c>
      <c r="I41" s="173">
        <f t="shared" si="24"/>
        <v>19</v>
      </c>
      <c r="J41" s="220">
        <f t="shared" si="25"/>
        <v>22512.832399999999</v>
      </c>
      <c r="K41" s="220">
        <f t="shared" si="26"/>
        <v>22512.832399999999</v>
      </c>
      <c r="L41" s="220">
        <f t="shared" si="27"/>
        <v>135076.9944</v>
      </c>
      <c r="M41" s="220">
        <f t="shared" si="16"/>
        <v>427743.81559999997</v>
      </c>
      <c r="N41" s="206"/>
      <c r="P41" s="252">
        <f t="shared" si="8"/>
        <v>427743.81559999997</v>
      </c>
      <c r="Q41" s="398">
        <f t="shared" si="17"/>
        <v>9.3274852567531166E-2</v>
      </c>
      <c r="R41" s="421">
        <f t="shared" si="18"/>
        <v>39</v>
      </c>
      <c r="S41" s="422">
        <f t="shared" si="19"/>
        <v>3.6377192501337157</v>
      </c>
      <c r="U41" s="221">
        <f t="shared" si="20"/>
        <v>338591.52496624854</v>
      </c>
    </row>
    <row r="42" spans="1:21" x14ac:dyDescent="0.2">
      <c r="A42" s="203" t="s">
        <v>135</v>
      </c>
      <c r="B42" s="205">
        <v>39813</v>
      </c>
      <c r="C42" s="206">
        <v>2008</v>
      </c>
      <c r="D42" s="206">
        <v>25</v>
      </c>
      <c r="E42" s="206">
        <f t="shared" si="21"/>
        <v>2032</v>
      </c>
      <c r="F42" s="207">
        <f t="shared" si="22"/>
        <v>0.04</v>
      </c>
      <c r="G42" s="221">
        <f>20313.97+16142.77+16723+35475.49+33310.05+26672.73+37464.49+49964.3+34511.52+32395.16+15990.93+18224.49</f>
        <v>337188.89999999997</v>
      </c>
      <c r="H42" s="209">
        <f t="shared" si="23"/>
        <v>5</v>
      </c>
      <c r="I42" s="173">
        <f t="shared" si="24"/>
        <v>20</v>
      </c>
      <c r="J42" s="220">
        <f t="shared" si="25"/>
        <v>13487.555999999999</v>
      </c>
      <c r="K42" s="220">
        <f t="shared" si="26"/>
        <v>13487.555999999999</v>
      </c>
      <c r="L42" s="220">
        <f t="shared" si="27"/>
        <v>67437.78</v>
      </c>
      <c r="M42" s="220">
        <f t="shared" si="16"/>
        <v>269751.12</v>
      </c>
      <c r="N42" s="206"/>
      <c r="P42" s="252">
        <f t="shared" si="8"/>
        <v>269751.12</v>
      </c>
      <c r="Q42" s="398">
        <f t="shared" si="17"/>
        <v>5.8822582654135765E-2</v>
      </c>
      <c r="R42" s="421">
        <f t="shared" si="18"/>
        <v>40</v>
      </c>
      <c r="S42" s="422">
        <f t="shared" si="19"/>
        <v>2.3529033061654308</v>
      </c>
      <c r="U42" s="221">
        <f t="shared" si="20"/>
        <v>213528.37785401172</v>
      </c>
    </row>
    <row r="43" spans="1:21" x14ac:dyDescent="0.2">
      <c r="A43" s="203" t="s">
        <v>135</v>
      </c>
      <c r="B43" s="205">
        <v>40178</v>
      </c>
      <c r="C43" s="206">
        <v>2009</v>
      </c>
      <c r="D43" s="206">
        <v>25</v>
      </c>
      <c r="E43" s="206">
        <f t="shared" si="21"/>
        <v>2033</v>
      </c>
      <c r="F43" s="207">
        <f t="shared" si="22"/>
        <v>0.04</v>
      </c>
      <c r="G43" s="221">
        <f>58880.52+69986.01+14906.75+42092.41+28825.66+37787.52+55131.68+15691.64+10130.37+7080.5+14002.92+55922</f>
        <v>410437.98</v>
      </c>
      <c r="H43" s="209">
        <f t="shared" si="23"/>
        <v>4</v>
      </c>
      <c r="I43" s="173">
        <f t="shared" si="24"/>
        <v>21</v>
      </c>
      <c r="J43" s="220">
        <f t="shared" si="25"/>
        <v>16417.519199999999</v>
      </c>
      <c r="K43" s="220">
        <f t="shared" si="26"/>
        <v>16417.519199999999</v>
      </c>
      <c r="L43" s="220">
        <f t="shared" si="27"/>
        <v>65670.076799999995</v>
      </c>
      <c r="M43" s="220">
        <f>+G43-L43</f>
        <v>344767.9032</v>
      </c>
      <c r="N43" s="206"/>
      <c r="P43" s="252">
        <f t="shared" si="8"/>
        <v>344767.9032</v>
      </c>
      <c r="Q43" s="398">
        <f t="shared" si="17"/>
        <v>7.5180924114328349E-2</v>
      </c>
      <c r="R43" s="421">
        <f t="shared" si="18"/>
        <v>41</v>
      </c>
      <c r="S43" s="422">
        <f t="shared" si="19"/>
        <v>3.0824178886874622</v>
      </c>
      <c r="U43" s="221">
        <f t="shared" si="20"/>
        <v>272909.82556967676</v>
      </c>
    </row>
    <row r="44" spans="1:21" x14ac:dyDescent="0.2">
      <c r="A44" s="203" t="s">
        <v>135</v>
      </c>
      <c r="B44" s="205">
        <v>40543</v>
      </c>
      <c r="C44" s="206">
        <v>2010</v>
      </c>
      <c r="D44" s="206">
        <v>25</v>
      </c>
      <c r="E44" s="206">
        <f t="shared" si="21"/>
        <v>2034</v>
      </c>
      <c r="F44" s="207">
        <f t="shared" si="22"/>
        <v>0.04</v>
      </c>
      <c r="G44" s="221">
        <f>19521.64+21632.33+17355.31+52152.3+18314.11+37551.02+34886.56+10692.16+3774.35+23794.79+74486.49+20593.22</f>
        <v>334754.28000000003</v>
      </c>
      <c r="H44" s="209">
        <f t="shared" si="23"/>
        <v>3</v>
      </c>
      <c r="I44" s="173">
        <f t="shared" si="24"/>
        <v>22</v>
      </c>
      <c r="J44" s="220">
        <f t="shared" si="25"/>
        <v>13390.171200000001</v>
      </c>
      <c r="K44" s="220">
        <f t="shared" si="26"/>
        <v>13390.171200000001</v>
      </c>
      <c r="L44" s="220">
        <f t="shared" si="27"/>
        <v>40170.513600000006</v>
      </c>
      <c r="M44" s="220">
        <f t="shared" si="16"/>
        <v>294583.76640000002</v>
      </c>
      <c r="N44" s="206"/>
      <c r="P44" s="252">
        <f t="shared" si="8"/>
        <v>294583.76640000002</v>
      </c>
      <c r="Q44" s="398">
        <f t="shared" si="17"/>
        <v>6.4237649681049058E-2</v>
      </c>
      <c r="R44" s="421">
        <f t="shared" si="18"/>
        <v>42</v>
      </c>
      <c r="S44" s="422">
        <f t="shared" si="19"/>
        <v>2.6979812866040604</v>
      </c>
      <c r="U44" s="221">
        <f t="shared" si="20"/>
        <v>233185.29235955401</v>
      </c>
    </row>
    <row r="45" spans="1:21" x14ac:dyDescent="0.2">
      <c r="A45" s="203" t="s">
        <v>135</v>
      </c>
      <c r="B45" s="205">
        <v>40908</v>
      </c>
      <c r="C45" s="206">
        <v>2011</v>
      </c>
      <c r="D45" s="206">
        <v>25</v>
      </c>
      <c r="E45" s="206">
        <f t="shared" si="21"/>
        <v>2035</v>
      </c>
      <c r="F45" s="207">
        <f t="shared" si="22"/>
        <v>0.04</v>
      </c>
      <c r="G45" s="221">
        <f>1816.97+12606.89+58003.79+1525.2+32220.39+9592.09+34326.23+39634.34+16501.77+21698.21+5071.03+28913.94+114430.33+299122.38</f>
        <v>675463.56</v>
      </c>
      <c r="H45" s="209">
        <f t="shared" si="23"/>
        <v>2</v>
      </c>
      <c r="I45" s="173">
        <f t="shared" si="24"/>
        <v>23</v>
      </c>
      <c r="J45" s="220">
        <f t="shared" si="25"/>
        <v>27018.542400000002</v>
      </c>
      <c r="K45" s="220">
        <f t="shared" si="26"/>
        <v>27018.542400000002</v>
      </c>
      <c r="L45" s="220">
        <f t="shared" si="27"/>
        <v>54037.084800000004</v>
      </c>
      <c r="M45" s="220">
        <f t="shared" si="16"/>
        <v>621426.4752000001</v>
      </c>
      <c r="N45" s="206"/>
      <c r="P45" s="252">
        <f t="shared" si="8"/>
        <v>621426.4752000001</v>
      </c>
      <c r="Q45" s="398">
        <f t="shared" si="17"/>
        <v>0.13550976248373039</v>
      </c>
      <c r="R45" s="421">
        <f t="shared" si="18"/>
        <v>43</v>
      </c>
      <c r="S45" s="422">
        <f t="shared" si="19"/>
        <v>5.8269197868004072</v>
      </c>
      <c r="U45" s="221">
        <f t="shared" si="20"/>
        <v>491905.97319852561</v>
      </c>
    </row>
    <row r="46" spans="1:21" x14ac:dyDescent="0.2">
      <c r="A46" s="203" t="s">
        <v>135</v>
      </c>
      <c r="B46" s="205">
        <v>41274</v>
      </c>
      <c r="C46" s="343">
        <v>2012</v>
      </c>
      <c r="D46" s="206">
        <v>25</v>
      </c>
      <c r="E46" s="206">
        <f t="shared" si="21"/>
        <v>2036</v>
      </c>
      <c r="F46" s="207">
        <f t="shared" si="22"/>
        <v>0.04</v>
      </c>
      <c r="G46" s="235">
        <v>188797.41</v>
      </c>
      <c r="H46" s="209">
        <f t="shared" si="23"/>
        <v>1</v>
      </c>
      <c r="I46" s="173">
        <f t="shared" si="24"/>
        <v>24</v>
      </c>
      <c r="J46" s="220">
        <f t="shared" si="25"/>
        <v>7551.8964000000005</v>
      </c>
      <c r="K46" s="220">
        <f t="shared" si="26"/>
        <v>7551.8964000000005</v>
      </c>
      <c r="L46" s="220">
        <f t="shared" si="27"/>
        <v>7551.8964000000005</v>
      </c>
      <c r="M46" s="220">
        <f t="shared" si="16"/>
        <v>181245.51360000001</v>
      </c>
      <c r="N46" s="206"/>
      <c r="P46" s="252">
        <f t="shared" si="8"/>
        <v>181245.51360000001</v>
      </c>
      <c r="Q46" s="398">
        <f t="shared" si="17"/>
        <v>3.9522835732534824E-2</v>
      </c>
      <c r="R46" s="421">
        <f t="shared" si="18"/>
        <v>44</v>
      </c>
      <c r="S46" s="422">
        <f t="shared" si="19"/>
        <v>1.7390047722315323</v>
      </c>
      <c r="U46" s="221">
        <f t="shared" si="20"/>
        <v>143469.50816117175</v>
      </c>
    </row>
    <row r="47" spans="1:21" x14ac:dyDescent="0.2">
      <c r="A47" s="148"/>
      <c r="B47" s="205"/>
      <c r="C47" s="212"/>
      <c r="D47" s="206"/>
      <c r="E47" s="206"/>
      <c r="F47" s="207"/>
      <c r="G47" s="236"/>
      <c r="H47" s="209"/>
      <c r="I47" s="173"/>
      <c r="J47" s="220"/>
      <c r="K47" s="220"/>
      <c r="L47" s="220"/>
      <c r="M47" s="220"/>
      <c r="N47" s="206"/>
    </row>
    <row r="48" spans="1:21" x14ac:dyDescent="0.2">
      <c r="A48" s="148" t="s">
        <v>100</v>
      </c>
      <c r="B48" s="205"/>
      <c r="C48" s="212"/>
      <c r="D48" s="206"/>
      <c r="E48" s="206"/>
      <c r="F48" s="207"/>
      <c r="G48" s="223">
        <f>SUM(G32:G47)</f>
        <v>8647443.5399999991</v>
      </c>
      <c r="H48" s="240"/>
      <c r="I48" s="241"/>
      <c r="J48" s="222"/>
      <c r="K48" s="230">
        <f>SUM(K32:K47)</f>
        <v>307976.05861106614</v>
      </c>
      <c r="L48" s="223">
        <f>SUM(L32:L47)</f>
        <v>4061600.6914110663</v>
      </c>
      <c r="M48" s="242">
        <f>SUM(M32:M47)</f>
        <v>4585842.8485889342</v>
      </c>
      <c r="N48" s="234"/>
      <c r="P48" s="252">
        <f>SUM(P9:P47)</f>
        <v>4585842.8485889342</v>
      </c>
      <c r="R48" s="81" t="s">
        <v>313</v>
      </c>
      <c r="S48" s="422">
        <f>SUM(S32:S47)</f>
        <v>39.041772595425719</v>
      </c>
      <c r="U48" s="252">
        <f>SUM(U32:U47)</f>
        <v>3630040.8485889342</v>
      </c>
    </row>
    <row r="49" spans="1:19" x14ac:dyDescent="0.2">
      <c r="A49" s="81"/>
      <c r="B49" s="146"/>
      <c r="C49" s="92"/>
      <c r="F49" s="84"/>
      <c r="G49" s="96"/>
      <c r="H49" s="87"/>
      <c r="I49" s="88"/>
      <c r="J49" s="86"/>
      <c r="K49" s="86"/>
      <c r="L49" s="86"/>
      <c r="M49" s="86"/>
      <c r="Q49" s="81" t="s">
        <v>314</v>
      </c>
      <c r="R49" s="81"/>
      <c r="S49" s="418">
        <f>+S48</f>
        <v>39.041772595425719</v>
      </c>
    </row>
    <row r="50" spans="1:19" x14ac:dyDescent="0.2">
      <c r="A50" s="81"/>
      <c r="F50" s="100"/>
      <c r="G50" s="248"/>
      <c r="H50" s="87"/>
      <c r="I50" s="88"/>
      <c r="J50" s="86"/>
      <c r="K50" s="86"/>
      <c r="L50" s="248">
        <v>3876606.02</v>
      </c>
      <c r="M50" s="86"/>
    </row>
    <row r="51" spans="1:19" x14ac:dyDescent="0.2">
      <c r="F51" s="247"/>
      <c r="G51" s="135"/>
    </row>
    <row r="52" spans="1:19" x14ac:dyDescent="0.2">
      <c r="F52" s="247"/>
      <c r="G52" s="248"/>
      <c r="L52" s="248">
        <f>+L50-L48</f>
        <v>-184994.67141106632</v>
      </c>
    </row>
    <row r="54" spans="1:19" x14ac:dyDescent="0.2">
      <c r="K54" s="387" t="s">
        <v>295</v>
      </c>
      <c r="L54" s="381"/>
      <c r="M54" s="152"/>
    </row>
    <row r="55" spans="1:19" x14ac:dyDescent="0.2">
      <c r="K55" s="388" t="s">
        <v>130</v>
      </c>
      <c r="L55" s="385">
        <v>5805072.5</v>
      </c>
      <c r="M55" s="383">
        <f>+L55/L59</f>
        <v>0.39051907596674257</v>
      </c>
    </row>
    <row r="56" spans="1:19" x14ac:dyDescent="0.2">
      <c r="F56" s="378"/>
      <c r="G56" s="112"/>
      <c r="H56" s="111"/>
      <c r="I56" s="112"/>
      <c r="K56" s="388" t="s">
        <v>131</v>
      </c>
      <c r="L56" s="382">
        <v>5766275.1699999999</v>
      </c>
      <c r="M56" s="383">
        <f>+L56/L59</f>
        <v>0.38790910038735454</v>
      </c>
    </row>
    <row r="57" spans="1:19" x14ac:dyDescent="0.2">
      <c r="K57" s="388" t="s">
        <v>132</v>
      </c>
      <c r="L57" s="382">
        <f>3355721.17-62052.36</f>
        <v>3293668.81</v>
      </c>
      <c r="M57" s="383">
        <f>+L57/L59</f>
        <v>0.22157182364590289</v>
      </c>
    </row>
    <row r="58" spans="1:19" x14ac:dyDescent="0.2">
      <c r="K58" s="243"/>
      <c r="L58" s="382"/>
      <c r="M58" s="244"/>
    </row>
    <row r="59" spans="1:19" x14ac:dyDescent="0.2">
      <c r="K59" s="245"/>
      <c r="L59" s="386">
        <f>SUM(L55:L57)</f>
        <v>14865016.48</v>
      </c>
      <c r="M59" s="384">
        <f>SUM(M55:M57)</f>
        <v>1</v>
      </c>
    </row>
  </sheetData>
  <printOptions horizontalCentered="1"/>
  <pageMargins left="0.39370078740157483" right="0.39370078740157483" top="0.39370078740157483" bottom="0.78740157480314965" header="0" footer="0.59055118110236227"/>
  <pageSetup scale="55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5" workbookViewId="0">
      <selection activeCell="E29" sqref="E28:H29"/>
    </sheetView>
  </sheetViews>
  <sheetFormatPr defaultRowHeight="12.75" x14ac:dyDescent="0.2"/>
  <cols>
    <col min="1" max="1" width="26.42578125" customWidth="1"/>
    <col min="2" max="2" width="10.140625" customWidth="1"/>
    <col min="4" max="4" width="6.42578125" customWidth="1"/>
    <col min="5" max="5" width="10.42578125" customWidth="1"/>
    <col min="7" max="7" width="13.5703125" bestFit="1" customWidth="1"/>
    <col min="9" max="9" width="10.42578125" customWidth="1"/>
    <col min="10" max="10" width="12.7109375" customWidth="1"/>
    <col min="11" max="11" width="12" bestFit="1" customWidth="1"/>
    <col min="12" max="12" width="13.5703125" bestFit="1" customWidth="1"/>
    <col min="13" max="13" width="20" bestFit="1" customWidth="1"/>
    <col min="14" max="14" width="10.5703125" bestFit="1" customWidth="1"/>
    <col min="16" max="16" width="13.5703125" bestFit="1" customWidth="1"/>
    <col min="20" max="20" width="12.42578125" bestFit="1" customWidth="1"/>
  </cols>
  <sheetData>
    <row r="1" spans="1:21" x14ac:dyDescent="0.2">
      <c r="A1" s="147" t="s">
        <v>102</v>
      </c>
    </row>
    <row r="2" spans="1:21" x14ac:dyDescent="0.2">
      <c r="A2" s="81" t="s">
        <v>0</v>
      </c>
      <c r="J2" s="97" t="s">
        <v>103</v>
      </c>
      <c r="K2" s="77"/>
      <c r="L2" s="77"/>
      <c r="M2" s="371" t="s">
        <v>104</v>
      </c>
      <c r="N2" s="79"/>
    </row>
    <row r="3" spans="1:21" x14ac:dyDescent="0.2">
      <c r="A3" s="81" t="s">
        <v>140</v>
      </c>
      <c r="J3" s="97"/>
      <c r="K3" s="77"/>
      <c r="L3" s="77"/>
      <c r="M3" s="77"/>
      <c r="N3" s="79"/>
    </row>
    <row r="4" spans="1:21" x14ac:dyDescent="0.2">
      <c r="A4" s="192" t="s">
        <v>113</v>
      </c>
      <c r="B4" s="371" t="s">
        <v>141</v>
      </c>
      <c r="J4" s="192" t="s">
        <v>92</v>
      </c>
      <c r="K4" s="77"/>
      <c r="L4" s="77"/>
      <c r="M4" s="371" t="s">
        <v>144</v>
      </c>
      <c r="N4" s="79"/>
    </row>
    <row r="5" spans="1:21" x14ac:dyDescent="0.2">
      <c r="A5" s="81"/>
      <c r="B5" s="76"/>
    </row>
    <row r="6" spans="1:21" x14ac:dyDescent="0.2">
      <c r="A6" s="81" t="s">
        <v>1</v>
      </c>
      <c r="B6" s="188">
        <v>2012</v>
      </c>
    </row>
    <row r="8" spans="1:21" ht="51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R8">
        <v>60</v>
      </c>
      <c r="T8" s="400" t="s">
        <v>302</v>
      </c>
    </row>
    <row r="9" spans="1:21" s="77" customFormat="1" x14ac:dyDescent="0.2">
      <c r="A9" s="203" t="s">
        <v>143</v>
      </c>
      <c r="B9" s="205">
        <v>36891</v>
      </c>
      <c r="C9" s="206">
        <f>+'1830'!C32</f>
        <v>2000</v>
      </c>
      <c r="D9" s="206">
        <v>25</v>
      </c>
      <c r="E9" s="206">
        <f t="shared" ref="E9:E15" si="0">+C9+D9-1</f>
        <v>2024</v>
      </c>
      <c r="F9" s="207">
        <f t="shared" ref="F9:F15" si="1">IF(D9&gt;0,1/D9,0)</f>
        <v>0.04</v>
      </c>
      <c r="G9" s="222">
        <v>333054.38</v>
      </c>
      <c r="H9" s="209">
        <f>IF(+G9&gt;0,IF(+$B$6-C9+1&gt;D9,D9,+$B$6-C9+1),0)</f>
        <v>13</v>
      </c>
      <c r="I9" s="209">
        <f>IF(E9&gt;=$B$6,+D9-H9,0)</f>
        <v>12</v>
      </c>
      <c r="J9" s="222">
        <f t="shared" ref="J9:J15" si="2">+G9*F9</f>
        <v>13322.1752</v>
      </c>
      <c r="K9" s="222">
        <f>IF(E9&gt;='1830'!$B$6,+J9,0)</f>
        <v>13322.1752</v>
      </c>
      <c r="L9" s="222">
        <f t="shared" ref="L9:L14" si="3">+J9*H9</f>
        <v>173188.2776</v>
      </c>
      <c r="M9" s="222">
        <f>+G9-L9</f>
        <v>159866.1024</v>
      </c>
      <c r="N9" s="206"/>
      <c r="P9" s="252">
        <f>+G9-L9</f>
        <v>159866.1024</v>
      </c>
      <c r="Q9" s="398">
        <f>+P9/$P$24</f>
        <v>4.7128113861845698E-2</v>
      </c>
      <c r="R9" s="88">
        <f>+$R$8-H9</f>
        <v>47</v>
      </c>
      <c r="S9" s="77">
        <f>+R9*Q9</f>
        <v>2.2150213515067478</v>
      </c>
      <c r="T9" s="401">
        <f>+$T$24*Q9</f>
        <v>128660.69340511599</v>
      </c>
      <c r="U9" s="401">
        <f>+T9/R9</f>
        <v>2737.4615618109788</v>
      </c>
    </row>
    <row r="10" spans="1:21" s="77" customFormat="1" x14ac:dyDescent="0.2">
      <c r="A10" s="203" t="s">
        <v>143</v>
      </c>
      <c r="B10" s="233">
        <v>37256</v>
      </c>
      <c r="C10" s="206">
        <v>2001</v>
      </c>
      <c r="D10" s="206">
        <v>25</v>
      </c>
      <c r="E10" s="206">
        <f t="shared" si="0"/>
        <v>2025</v>
      </c>
      <c r="F10" s="207">
        <f t="shared" si="1"/>
        <v>0.04</v>
      </c>
      <c r="G10" s="220">
        <f>4344171.68-3754381.75</f>
        <v>589789.9299999997</v>
      </c>
      <c r="H10" s="209">
        <f t="shared" ref="H10:H14" si="4">IF(+G10&gt;0,IF(+$B$6-C10+1&gt;D10,D10,+$B$6-C10+1),0)</f>
        <v>12</v>
      </c>
      <c r="I10" s="209">
        <f t="shared" ref="I10:I14" si="5">IF(E10&gt;=$B$6,+D10-H10,0)</f>
        <v>13</v>
      </c>
      <c r="J10" s="220">
        <f t="shared" si="2"/>
        <v>23591.597199999989</v>
      </c>
      <c r="K10" s="220">
        <f>IF(E10&gt;='1830'!$B$6,+J10,0)</f>
        <v>23591.597199999989</v>
      </c>
      <c r="L10" s="220">
        <f t="shared" si="3"/>
        <v>283099.16639999987</v>
      </c>
      <c r="M10" s="220">
        <f t="shared" ref="M10:M22" si="6">+G10-L10</f>
        <v>306690.76359999983</v>
      </c>
      <c r="N10" s="206"/>
      <c r="P10" s="252">
        <f t="shared" ref="P10:P22" si="7">+G10-L10</f>
        <v>306690.76359999983</v>
      </c>
      <c r="Q10" s="398">
        <f t="shared" ref="Q10:Q22" si="8">+P10/$P$24</f>
        <v>9.0411644559598603E-2</v>
      </c>
      <c r="R10" s="88">
        <f t="shared" ref="R10:R22" si="9">+$R$8-H10</f>
        <v>48</v>
      </c>
      <c r="S10" s="77">
        <f t="shared" ref="S10:S22" si="10">+R10*Q10</f>
        <v>4.3397589388607329</v>
      </c>
      <c r="T10" s="401">
        <f t="shared" ref="T10:T22" si="11">+$T$24*Q10</f>
        <v>246825.59788059536</v>
      </c>
      <c r="U10" s="401">
        <f t="shared" ref="U10:U22" si="12">+T10/R10</f>
        <v>5142.1999558457364</v>
      </c>
    </row>
    <row r="11" spans="1:21" s="77" customFormat="1" x14ac:dyDescent="0.2">
      <c r="A11" s="203" t="s">
        <v>143</v>
      </c>
      <c r="B11" s="233">
        <v>37621</v>
      </c>
      <c r="C11" s="206">
        <v>2002</v>
      </c>
      <c r="D11" s="206">
        <v>25</v>
      </c>
      <c r="E11" s="206">
        <f t="shared" si="0"/>
        <v>2026</v>
      </c>
      <c r="F11" s="207">
        <f t="shared" si="1"/>
        <v>0.04</v>
      </c>
      <c r="G11" s="220">
        <v>514027.25</v>
      </c>
      <c r="H11" s="209">
        <f t="shared" si="4"/>
        <v>11</v>
      </c>
      <c r="I11" s="209">
        <f t="shared" si="5"/>
        <v>14</v>
      </c>
      <c r="J11" s="220">
        <f t="shared" si="2"/>
        <v>20561.09</v>
      </c>
      <c r="K11" s="220">
        <f>IF(E11&gt;='1830'!$B$6,+J11,0)</f>
        <v>20561.09</v>
      </c>
      <c r="L11" s="220">
        <f t="shared" si="3"/>
        <v>226171.99</v>
      </c>
      <c r="M11" s="220">
        <f t="shared" si="6"/>
        <v>287855.26</v>
      </c>
      <c r="N11" s="206"/>
      <c r="P11" s="252">
        <f t="shared" si="7"/>
        <v>287855.26</v>
      </c>
      <c r="Q11" s="398">
        <f t="shared" si="8"/>
        <v>8.4858986772990835E-2</v>
      </c>
      <c r="R11" s="88">
        <f t="shared" si="9"/>
        <v>49</v>
      </c>
      <c r="S11" s="77">
        <f t="shared" si="10"/>
        <v>4.1580903518765506</v>
      </c>
      <c r="T11" s="401">
        <f t="shared" si="11"/>
        <v>231666.73107000045</v>
      </c>
      <c r="U11" s="401">
        <f t="shared" si="12"/>
        <v>4727.8924708163358</v>
      </c>
    </row>
    <row r="12" spans="1:21" s="77" customFormat="1" x14ac:dyDescent="0.2">
      <c r="A12" s="203" t="s">
        <v>143</v>
      </c>
      <c r="B12" s="205">
        <v>37986</v>
      </c>
      <c r="C12" s="206">
        <v>2003</v>
      </c>
      <c r="D12" s="206">
        <v>25</v>
      </c>
      <c r="E12" s="206">
        <f t="shared" si="0"/>
        <v>2027</v>
      </c>
      <c r="F12" s="207">
        <f t="shared" si="1"/>
        <v>0.04</v>
      </c>
      <c r="G12" s="220">
        <v>303410.84000000003</v>
      </c>
      <c r="H12" s="209">
        <f t="shared" si="4"/>
        <v>10</v>
      </c>
      <c r="I12" s="209">
        <f t="shared" si="5"/>
        <v>15</v>
      </c>
      <c r="J12" s="220">
        <f t="shared" si="2"/>
        <v>12136.433600000002</v>
      </c>
      <c r="K12" s="220">
        <f>IF(E12&gt;='1830'!$B$6,+J12,0)</f>
        <v>12136.433600000002</v>
      </c>
      <c r="L12" s="220">
        <f t="shared" si="3"/>
        <v>121364.33600000002</v>
      </c>
      <c r="M12" s="220">
        <f t="shared" si="6"/>
        <v>182046.50400000002</v>
      </c>
      <c r="N12" s="206"/>
      <c r="P12" s="252">
        <f t="shared" si="7"/>
        <v>182046.50400000002</v>
      </c>
      <c r="Q12" s="398">
        <f t="shared" si="8"/>
        <v>5.3666838934974558E-2</v>
      </c>
      <c r="R12" s="88">
        <f t="shared" si="9"/>
        <v>50</v>
      </c>
      <c r="S12" s="77">
        <f t="shared" si="10"/>
        <v>2.6833419467487278</v>
      </c>
      <c r="T12" s="401">
        <f t="shared" si="11"/>
        <v>146511.54362925925</v>
      </c>
      <c r="U12" s="401">
        <f t="shared" si="12"/>
        <v>2930.2308725851849</v>
      </c>
    </row>
    <row r="13" spans="1:21" s="77" customFormat="1" x14ac:dyDescent="0.2">
      <c r="A13" s="203" t="s">
        <v>143</v>
      </c>
      <c r="B13" s="205">
        <v>38352</v>
      </c>
      <c r="C13" s="206">
        <v>2004</v>
      </c>
      <c r="D13" s="206">
        <v>25</v>
      </c>
      <c r="E13" s="206">
        <f t="shared" si="0"/>
        <v>2028</v>
      </c>
      <c r="F13" s="207">
        <f t="shared" si="1"/>
        <v>0.04</v>
      </c>
      <c r="G13" s="220">
        <f>261180.96-2420.14-0.01</f>
        <v>258760.80999999997</v>
      </c>
      <c r="H13" s="209">
        <f t="shared" si="4"/>
        <v>9</v>
      </c>
      <c r="I13" s="209">
        <f t="shared" si="5"/>
        <v>16</v>
      </c>
      <c r="J13" s="220">
        <f t="shared" si="2"/>
        <v>10350.4324</v>
      </c>
      <c r="K13" s="220">
        <f>IF(E13&gt;='1830'!$B$6,+J13,0)</f>
        <v>10350.4324</v>
      </c>
      <c r="L13" s="220">
        <f t="shared" si="3"/>
        <v>93153.891600000003</v>
      </c>
      <c r="M13" s="220">
        <f t="shared" si="6"/>
        <v>165606.91839999997</v>
      </c>
      <c r="N13" s="206"/>
      <c r="P13" s="252">
        <f t="shared" si="7"/>
        <v>165606.91839999997</v>
      </c>
      <c r="Q13" s="398">
        <f t="shared" si="8"/>
        <v>4.8820491583240026E-2</v>
      </c>
      <c r="R13" s="88">
        <f t="shared" si="9"/>
        <v>51</v>
      </c>
      <c r="S13" s="77">
        <f t="shared" si="10"/>
        <v>2.4898450707452415</v>
      </c>
      <c r="T13" s="401">
        <f t="shared" si="11"/>
        <v>133280.91843207693</v>
      </c>
      <c r="U13" s="401">
        <f t="shared" si="12"/>
        <v>2613.3513418054299</v>
      </c>
    </row>
    <row r="14" spans="1:21" s="77" customFormat="1" x14ac:dyDescent="0.2">
      <c r="A14" s="203" t="s">
        <v>143</v>
      </c>
      <c r="B14" s="205">
        <v>38717</v>
      </c>
      <c r="C14" s="206">
        <v>2005</v>
      </c>
      <c r="D14" s="206">
        <v>25</v>
      </c>
      <c r="E14" s="206">
        <f t="shared" si="0"/>
        <v>2029</v>
      </c>
      <c r="F14" s="207">
        <f t="shared" si="1"/>
        <v>0.04</v>
      </c>
      <c r="G14" s="220">
        <v>345904.59</v>
      </c>
      <c r="H14" s="209">
        <f t="shared" si="4"/>
        <v>8</v>
      </c>
      <c r="I14" s="209">
        <f t="shared" si="5"/>
        <v>17</v>
      </c>
      <c r="J14" s="220">
        <f t="shared" si="2"/>
        <v>13836.183600000002</v>
      </c>
      <c r="K14" s="220">
        <f>IF(E14&gt;='1830'!$B$6,+J14,0)</f>
        <v>13836.183600000002</v>
      </c>
      <c r="L14" s="220">
        <f t="shared" si="3"/>
        <v>110689.46880000002</v>
      </c>
      <c r="M14" s="220">
        <f t="shared" si="6"/>
        <v>235215.12119999999</v>
      </c>
      <c r="N14" s="206"/>
      <c r="P14" s="252">
        <f t="shared" si="7"/>
        <v>235215.12119999999</v>
      </c>
      <c r="Q14" s="398">
        <f t="shared" si="8"/>
        <v>6.9340809887296254E-2</v>
      </c>
      <c r="R14" s="88">
        <f t="shared" si="9"/>
        <v>52</v>
      </c>
      <c r="S14" s="77">
        <f t="shared" si="10"/>
        <v>3.6057221141394051</v>
      </c>
      <c r="T14" s="401">
        <f t="shared" si="11"/>
        <v>189301.79780851651</v>
      </c>
      <c r="U14" s="401">
        <f t="shared" si="12"/>
        <v>3640.4191886253175</v>
      </c>
    </row>
    <row r="15" spans="1:21" s="77" customFormat="1" x14ac:dyDescent="0.2">
      <c r="A15" s="203" t="s">
        <v>293</v>
      </c>
      <c r="B15" s="205"/>
      <c r="C15" s="206">
        <v>2006</v>
      </c>
      <c r="D15" s="206">
        <v>25</v>
      </c>
      <c r="E15" s="206">
        <f t="shared" si="0"/>
        <v>2030</v>
      </c>
      <c r="F15" s="207">
        <f t="shared" si="1"/>
        <v>0.04</v>
      </c>
      <c r="G15" s="390">
        <f>+'1830'!L56-2344947.8</f>
        <v>3421327.37</v>
      </c>
      <c r="H15" s="209"/>
      <c r="I15" s="209"/>
      <c r="J15" s="220">
        <f t="shared" si="2"/>
        <v>136853.09480000002</v>
      </c>
      <c r="K15" s="238"/>
      <c r="L15" s="391">
        <f>ROUND(-'1830'!L29*'1830'!M56,2)</f>
        <v>1992278.38</v>
      </c>
      <c r="M15" s="372">
        <f t="shared" si="6"/>
        <v>1429048.9900000002</v>
      </c>
      <c r="N15" s="206"/>
      <c r="P15" s="252">
        <f t="shared" si="7"/>
        <v>1429048.9900000002</v>
      </c>
      <c r="Q15" s="398">
        <f t="shared" si="8"/>
        <v>0.42127994930634904</v>
      </c>
      <c r="R15" s="88">
        <v>54</v>
      </c>
      <c r="S15" s="77">
        <f t="shared" si="10"/>
        <v>22.74911726254285</v>
      </c>
      <c r="T15" s="401">
        <f t="shared" si="11"/>
        <v>1150102.6872053191</v>
      </c>
      <c r="U15" s="401">
        <f t="shared" si="12"/>
        <v>21298.197911209612</v>
      </c>
    </row>
    <row r="16" spans="1:21" s="77" customFormat="1" x14ac:dyDescent="0.2">
      <c r="A16" s="203" t="s">
        <v>136</v>
      </c>
      <c r="B16" s="205"/>
      <c r="C16" s="206"/>
      <c r="D16" s="206"/>
      <c r="E16" s="206"/>
      <c r="F16" s="207">
        <v>0.04</v>
      </c>
      <c r="G16" s="220"/>
      <c r="H16" s="209"/>
      <c r="I16" s="209"/>
      <c r="J16" s="237">
        <f>1992278.38/5135941.33*'1830'!$K$30</f>
        <v>117203.56633904604</v>
      </c>
      <c r="K16" s="238">
        <f>+J16</f>
        <v>117203.56633904604</v>
      </c>
      <c r="L16" s="239">
        <f>+K16+140897.11+137620.51+133149.94+128260.72+125678.93</f>
        <v>782810.77633904596</v>
      </c>
      <c r="M16" s="394">
        <f t="shared" si="6"/>
        <v>-782810.77633904596</v>
      </c>
      <c r="N16" s="206"/>
      <c r="P16" s="252">
        <f t="shared" si="7"/>
        <v>-782810.77633904596</v>
      </c>
      <c r="Q16" s="398">
        <f t="shared" si="8"/>
        <v>-0.23077059392664837</v>
      </c>
      <c r="R16" s="88">
        <v>54</v>
      </c>
      <c r="S16" s="77">
        <f t="shared" si="10"/>
        <v>-12.461612072039012</v>
      </c>
      <c r="T16" s="401">
        <f t="shared" si="11"/>
        <v>-630008.33683162858</v>
      </c>
      <c r="U16" s="401">
        <f t="shared" si="12"/>
        <v>-11666.821052437566</v>
      </c>
    </row>
    <row r="17" spans="1:21" s="77" customFormat="1" x14ac:dyDescent="0.2">
      <c r="A17" s="203" t="s">
        <v>143</v>
      </c>
      <c r="B17" s="205">
        <v>39082</v>
      </c>
      <c r="C17" s="206">
        <v>2006</v>
      </c>
      <c r="D17" s="206">
        <v>25</v>
      </c>
      <c r="E17" s="206">
        <f t="shared" ref="E17:E23" si="13">+C17+D17-1</f>
        <v>2030</v>
      </c>
      <c r="F17" s="207">
        <f t="shared" ref="F17:F23" si="14">IF(D17&gt;0,1/D17,0)</f>
        <v>0.04</v>
      </c>
      <c r="G17" s="220">
        <v>257617.32</v>
      </c>
      <c r="H17" s="209">
        <f t="shared" ref="H17:H22" si="15">IF(+G17&gt;0,IF(+$B$6-C17+1&gt;D17,D17,+$B$6-C17+1),0)</f>
        <v>7</v>
      </c>
      <c r="I17" s="209">
        <f t="shared" ref="I17:I22" si="16">IF(E17&gt;=$B$6,+D17-H17,0)</f>
        <v>18</v>
      </c>
      <c r="J17" s="220">
        <f t="shared" ref="J17:J22" si="17">+G17*F17</f>
        <v>10304.692800000001</v>
      </c>
      <c r="K17" s="220">
        <f>IF(E17&gt;='1830'!$B$6,+J17,0)</f>
        <v>10304.692800000001</v>
      </c>
      <c r="L17" s="220">
        <f t="shared" ref="L17:L22" si="18">+J17*H17</f>
        <v>72132.849600000001</v>
      </c>
      <c r="M17" s="220">
        <f t="shared" si="6"/>
        <v>185484.47039999999</v>
      </c>
      <c r="N17" s="206"/>
      <c r="P17" s="252">
        <f t="shared" si="7"/>
        <v>185484.47039999999</v>
      </c>
      <c r="Q17" s="398">
        <f t="shared" si="8"/>
        <v>5.4680342545308389E-2</v>
      </c>
      <c r="R17" s="88">
        <f t="shared" si="9"/>
        <v>53</v>
      </c>
      <c r="S17" s="77">
        <f t="shared" si="10"/>
        <v>2.8980581549013444</v>
      </c>
      <c r="T17" s="401">
        <f t="shared" si="11"/>
        <v>149278.42875554282</v>
      </c>
      <c r="U17" s="401">
        <f t="shared" si="12"/>
        <v>2816.5741274630718</v>
      </c>
    </row>
    <row r="18" spans="1:21" s="77" customFormat="1" x14ac:dyDescent="0.2">
      <c r="A18" s="203" t="s">
        <v>143</v>
      </c>
      <c r="B18" s="205">
        <v>39447</v>
      </c>
      <c r="C18" s="206">
        <v>2007</v>
      </c>
      <c r="D18" s="206">
        <v>25</v>
      </c>
      <c r="E18" s="206">
        <f t="shared" si="13"/>
        <v>2031</v>
      </c>
      <c r="F18" s="207">
        <f t="shared" si="14"/>
        <v>0.04</v>
      </c>
      <c r="G18" s="220">
        <f>27748.63+24268.5+61250.82+61625.82+32007.06+25842.08+33146.32+36870.31+14975.69+38293.03+24302.66+14960.3</f>
        <v>395291.22</v>
      </c>
      <c r="H18" s="209">
        <f t="shared" si="15"/>
        <v>6</v>
      </c>
      <c r="I18" s="209">
        <f t="shared" si="16"/>
        <v>19</v>
      </c>
      <c r="J18" s="220">
        <f t="shared" si="17"/>
        <v>15811.648799999999</v>
      </c>
      <c r="K18" s="220">
        <f>IF(E18&gt;='1830'!$B$6,+J18,0)</f>
        <v>15811.648799999999</v>
      </c>
      <c r="L18" s="220">
        <f t="shared" si="18"/>
        <v>94869.892800000001</v>
      </c>
      <c r="M18" s="220">
        <f t="shared" si="6"/>
        <v>300421.32719999994</v>
      </c>
      <c r="N18" s="206"/>
      <c r="P18" s="252">
        <f t="shared" si="7"/>
        <v>300421.32719999994</v>
      </c>
      <c r="Q18" s="398">
        <f t="shared" si="8"/>
        <v>8.8563430910344132E-2</v>
      </c>
      <c r="R18" s="88">
        <f t="shared" si="9"/>
        <v>54</v>
      </c>
      <c r="S18" s="77">
        <f t="shared" si="10"/>
        <v>4.7824252691585833</v>
      </c>
      <c r="T18" s="401">
        <f t="shared" si="11"/>
        <v>241779.93765385769</v>
      </c>
      <c r="U18" s="401">
        <f t="shared" si="12"/>
        <v>4477.4062528492168</v>
      </c>
    </row>
    <row r="19" spans="1:21" s="77" customFormat="1" x14ac:dyDescent="0.2">
      <c r="A19" s="203" t="s">
        <v>143</v>
      </c>
      <c r="B19" s="205">
        <v>39813</v>
      </c>
      <c r="C19" s="206">
        <v>2008</v>
      </c>
      <c r="D19" s="206">
        <v>25</v>
      </c>
      <c r="E19" s="206">
        <f t="shared" si="13"/>
        <v>2032</v>
      </c>
      <c r="F19" s="207">
        <f t="shared" si="14"/>
        <v>0.04</v>
      </c>
      <c r="G19" s="221">
        <f>34864+16888.04+18954.9+2856.02+9130.45+25152.09+15405.72+20451.6+30951.05+11102.63+13845.61+21538.2</f>
        <v>221140.31</v>
      </c>
      <c r="H19" s="209">
        <f t="shared" si="15"/>
        <v>5</v>
      </c>
      <c r="I19" s="209">
        <f t="shared" si="16"/>
        <v>20</v>
      </c>
      <c r="J19" s="220">
        <f t="shared" si="17"/>
        <v>8845.6124</v>
      </c>
      <c r="K19" s="220">
        <f>IF(E19&gt;='1830'!$B$6,+J19,0)</f>
        <v>8845.6124</v>
      </c>
      <c r="L19" s="220">
        <f t="shared" si="18"/>
        <v>44228.061999999998</v>
      </c>
      <c r="M19" s="220">
        <f t="shared" si="6"/>
        <v>176912.24799999999</v>
      </c>
      <c r="N19" s="206"/>
      <c r="P19" s="252">
        <f t="shared" si="7"/>
        <v>176912.24799999999</v>
      </c>
      <c r="Q19" s="398">
        <f t="shared" si="8"/>
        <v>5.2153273534109028E-2</v>
      </c>
      <c r="R19" s="88">
        <f t="shared" si="9"/>
        <v>55</v>
      </c>
      <c r="S19" s="77">
        <f t="shared" si="10"/>
        <v>2.8684300443759967</v>
      </c>
      <c r="T19" s="401">
        <f t="shared" si="11"/>
        <v>142379.47981358832</v>
      </c>
      <c r="U19" s="401">
        <f t="shared" si="12"/>
        <v>2588.7178147925147</v>
      </c>
    </row>
    <row r="20" spans="1:21" s="77" customFormat="1" x14ac:dyDescent="0.2">
      <c r="A20" s="203" t="s">
        <v>143</v>
      </c>
      <c r="B20" s="205">
        <v>40178</v>
      </c>
      <c r="C20" s="206">
        <v>2009</v>
      </c>
      <c r="D20" s="206">
        <v>25</v>
      </c>
      <c r="E20" s="206">
        <f t="shared" si="13"/>
        <v>2033</v>
      </c>
      <c r="F20" s="207">
        <f t="shared" si="14"/>
        <v>0.04</v>
      </c>
      <c r="G20" s="220">
        <f>8667.21+30015.01+38578.87+26013.87+11102.45+10765.32+6054.27+26430.93+8087.18+13939.75+7911.98+22718.97</f>
        <v>210285.80999999997</v>
      </c>
      <c r="H20" s="209">
        <f t="shared" si="15"/>
        <v>4</v>
      </c>
      <c r="I20" s="209">
        <f t="shared" si="16"/>
        <v>21</v>
      </c>
      <c r="J20" s="220">
        <f t="shared" si="17"/>
        <v>8411.4323999999997</v>
      </c>
      <c r="K20" s="220">
        <f>IF(E20&gt;='1830'!$B$6,+J20,0)</f>
        <v>8411.4323999999997</v>
      </c>
      <c r="L20" s="220">
        <f t="shared" si="18"/>
        <v>33645.729599999999</v>
      </c>
      <c r="M20" s="220">
        <f t="shared" si="6"/>
        <v>176640.08039999998</v>
      </c>
      <c r="N20" s="206"/>
      <c r="P20" s="252">
        <f t="shared" si="7"/>
        <v>176640.08039999998</v>
      </c>
      <c r="Q20" s="398">
        <f t="shared" si="8"/>
        <v>5.2073039228964009E-2</v>
      </c>
      <c r="R20" s="88">
        <f t="shared" si="9"/>
        <v>56</v>
      </c>
      <c r="S20" s="77">
        <f t="shared" si="10"/>
        <v>2.9160901968219846</v>
      </c>
      <c r="T20" s="401">
        <f t="shared" si="11"/>
        <v>142160.43855585632</v>
      </c>
      <c r="U20" s="401">
        <f t="shared" si="12"/>
        <v>2538.5792599260058</v>
      </c>
    </row>
    <row r="21" spans="1:21" s="77" customFormat="1" x14ac:dyDescent="0.2">
      <c r="A21" s="203" t="s">
        <v>143</v>
      </c>
      <c r="B21" s="205">
        <v>40543</v>
      </c>
      <c r="C21" s="206">
        <v>2010</v>
      </c>
      <c r="D21" s="206">
        <v>25</v>
      </c>
      <c r="E21" s="206">
        <f t="shared" si="13"/>
        <v>2034</v>
      </c>
      <c r="F21" s="207">
        <f t="shared" si="14"/>
        <v>0.04</v>
      </c>
      <c r="G21" s="220">
        <f>43842.14+20887.14+20000.04+42462.61+30175.11+14347.04+16435.56+12936.06+9188.97+24848.97+32149.85+43855.64</f>
        <v>311129.13</v>
      </c>
      <c r="H21" s="209">
        <f t="shared" si="15"/>
        <v>3</v>
      </c>
      <c r="I21" s="209">
        <f t="shared" si="16"/>
        <v>22</v>
      </c>
      <c r="J21" s="220">
        <f t="shared" si="17"/>
        <v>12445.165200000001</v>
      </c>
      <c r="K21" s="220">
        <f>IF(E21&gt;='1830'!$B$6,+J21,0)</f>
        <v>12445.165200000001</v>
      </c>
      <c r="L21" s="220">
        <f t="shared" si="18"/>
        <v>37335.495600000002</v>
      </c>
      <c r="M21" s="220">
        <f t="shared" si="6"/>
        <v>273793.63439999998</v>
      </c>
      <c r="N21" s="206"/>
      <c r="P21" s="252">
        <f t="shared" si="7"/>
        <v>273793.63439999998</v>
      </c>
      <c r="Q21" s="398">
        <f t="shared" si="8"/>
        <v>8.0713655884136648E-2</v>
      </c>
      <c r="R21" s="88">
        <f t="shared" si="9"/>
        <v>57</v>
      </c>
      <c r="S21" s="77">
        <f t="shared" si="10"/>
        <v>4.6006783853957893</v>
      </c>
      <c r="T21" s="401">
        <f t="shared" si="11"/>
        <v>220349.89483681074</v>
      </c>
      <c r="U21" s="401">
        <f t="shared" si="12"/>
        <v>3865.7876287159779</v>
      </c>
    </row>
    <row r="22" spans="1:21" s="77" customFormat="1" x14ac:dyDescent="0.2">
      <c r="A22" s="203" t="s">
        <v>143</v>
      </c>
      <c r="B22" s="205">
        <v>40908</v>
      </c>
      <c r="C22" s="206">
        <v>2011</v>
      </c>
      <c r="D22" s="206">
        <v>25</v>
      </c>
      <c r="E22" s="206">
        <f t="shared" si="13"/>
        <v>2035</v>
      </c>
      <c r="F22" s="207">
        <f t="shared" si="14"/>
        <v>0.04</v>
      </c>
      <c r="G22" s="221">
        <f>6465.76+20631.63+55825.38+5577.15+43487.29+36495.79+17279.6+27610.57+10491.64+25102.1+13469.42+34632.71+24006.34</f>
        <v>321075.38000000006</v>
      </c>
      <c r="H22" s="209">
        <f t="shared" si="15"/>
        <v>2</v>
      </c>
      <c r="I22" s="209">
        <f t="shared" si="16"/>
        <v>23</v>
      </c>
      <c r="J22" s="220">
        <f t="shared" si="17"/>
        <v>12843.015200000003</v>
      </c>
      <c r="K22" s="220">
        <f>IF(E22&gt;='1830'!$B$6,+J22,0)</f>
        <v>12843.015200000003</v>
      </c>
      <c r="L22" s="220">
        <f t="shared" si="18"/>
        <v>25686.030400000007</v>
      </c>
      <c r="M22" s="220">
        <f t="shared" si="6"/>
        <v>295389.34960000007</v>
      </c>
      <c r="N22" s="206"/>
      <c r="P22" s="252">
        <f t="shared" si="7"/>
        <v>295389.34960000007</v>
      </c>
      <c r="Q22" s="398">
        <f t="shared" si="8"/>
        <v>8.7080016917490996E-2</v>
      </c>
      <c r="R22" s="88">
        <f t="shared" si="9"/>
        <v>58</v>
      </c>
      <c r="S22" s="77">
        <f t="shared" si="10"/>
        <v>5.0506409812144781</v>
      </c>
      <c r="T22" s="401">
        <f t="shared" si="11"/>
        <v>237730.18778508878</v>
      </c>
      <c r="U22" s="401">
        <f t="shared" si="12"/>
        <v>4098.7963411222208</v>
      </c>
    </row>
    <row r="23" spans="1:21" s="77" customFormat="1" x14ac:dyDescent="0.2">
      <c r="A23" s="148"/>
      <c r="B23" s="205">
        <v>41274</v>
      </c>
      <c r="C23" s="212">
        <v>2012</v>
      </c>
      <c r="D23" s="206">
        <v>25</v>
      </c>
      <c r="E23" s="206">
        <f t="shared" si="13"/>
        <v>2036</v>
      </c>
      <c r="F23" s="207">
        <f t="shared" si="14"/>
        <v>0.04</v>
      </c>
      <c r="G23" s="221">
        <v>195298.31</v>
      </c>
      <c r="H23" s="209">
        <f t="shared" ref="H23" si="19">IF(+G23&gt;0,IF(+$B$6-C23+1&gt;D23,D23,+$B$6-C23+1),0)</f>
        <v>1</v>
      </c>
      <c r="I23" s="209">
        <f t="shared" ref="I23" si="20">IF(E23&gt;=$B$6,+D23-H23,0)</f>
        <v>24</v>
      </c>
      <c r="J23" s="220">
        <f t="shared" ref="J23" si="21">+G23*F23</f>
        <v>7811.9323999999997</v>
      </c>
      <c r="K23" s="220">
        <f>IF(E23&gt;='1830'!$B$6,+J23,0)</f>
        <v>7811.9323999999997</v>
      </c>
      <c r="L23" s="220">
        <f t="shared" ref="L23" si="22">+J23*H23</f>
        <v>7811.9323999999997</v>
      </c>
      <c r="M23" s="220">
        <f t="shared" ref="M23" si="23">+G23-L23</f>
        <v>187486.37760000001</v>
      </c>
      <c r="N23" s="206"/>
    </row>
    <row r="24" spans="1:21" s="77" customFormat="1" x14ac:dyDescent="0.2">
      <c r="A24" s="148" t="s">
        <v>100</v>
      </c>
      <c r="B24" s="205"/>
      <c r="C24" s="212"/>
      <c r="D24" s="206"/>
      <c r="E24" s="206"/>
      <c r="F24" s="207"/>
      <c r="G24" s="223">
        <f>SUM(G9:G23)</f>
        <v>7678112.6499999985</v>
      </c>
      <c r="H24" s="240"/>
      <c r="I24" s="222"/>
      <c r="J24" s="222"/>
      <c r="K24" s="230">
        <f>SUM(K9:K23)</f>
        <v>287474.97753904603</v>
      </c>
      <c r="L24" s="223">
        <f>SUM(L9:L23)</f>
        <v>4098466.2791390456</v>
      </c>
      <c r="M24" s="242">
        <f>SUM(M9:M23)</f>
        <v>3579646.3708609547</v>
      </c>
      <c r="N24" s="234"/>
      <c r="P24" s="252">
        <f>SUM(P9:P23)</f>
        <v>3392159.9932609545</v>
      </c>
      <c r="Q24" s="412">
        <f>SUM(Q9:Q23)</f>
        <v>1</v>
      </c>
      <c r="S24" s="77">
        <f>SUM(S9:S23)</f>
        <v>52.89560799624941</v>
      </c>
      <c r="T24" s="77">
        <v>2730020</v>
      </c>
      <c r="U24" s="402">
        <f>SUM(U9:U22)</f>
        <v>51808.793675130022</v>
      </c>
    </row>
    <row r="25" spans="1:21" s="77" customFormat="1" x14ac:dyDescent="0.2">
      <c r="A25" s="81"/>
      <c r="B25" s="79"/>
      <c r="C25" s="92"/>
      <c r="D25" s="79"/>
      <c r="E25" s="79"/>
      <c r="F25" s="84"/>
      <c r="G25" s="250"/>
      <c r="H25" s="251"/>
      <c r="I25" s="252"/>
      <c r="J25" s="252"/>
      <c r="K25" s="252"/>
      <c r="L25" s="252"/>
      <c r="M25" s="252"/>
      <c r="N25" s="79"/>
    </row>
    <row r="26" spans="1:21" s="77" customFormat="1" x14ac:dyDescent="0.2">
      <c r="A26" s="81"/>
      <c r="B26" s="79"/>
      <c r="C26" s="92"/>
      <c r="D26" s="79"/>
      <c r="E26" s="79"/>
      <c r="F26" s="100"/>
      <c r="G26" s="250"/>
      <c r="H26" s="251"/>
      <c r="I26" s="252"/>
      <c r="J26" s="252"/>
      <c r="K26" s="252"/>
      <c r="L26" s="250">
        <v>3933150.74</v>
      </c>
      <c r="M26" s="252"/>
      <c r="N26" s="79"/>
      <c r="T26" s="402">
        <f>+T24/S24</f>
        <v>51611.468388709574</v>
      </c>
    </row>
    <row r="27" spans="1:21" s="77" customFormat="1" x14ac:dyDescent="0.2">
      <c r="A27" s="81"/>
      <c r="B27" s="79"/>
      <c r="C27" s="92"/>
      <c r="D27" s="79"/>
      <c r="E27" s="79"/>
      <c r="F27" s="247"/>
      <c r="G27" s="250"/>
      <c r="H27" s="251"/>
      <c r="I27" s="252"/>
      <c r="J27" s="252"/>
      <c r="K27" s="252"/>
      <c r="L27" s="252"/>
      <c r="M27" s="252"/>
      <c r="N27" s="79"/>
    </row>
    <row r="28" spans="1:21" s="77" customFormat="1" x14ac:dyDescent="0.2">
      <c r="F28" s="247"/>
      <c r="G28" s="250"/>
      <c r="H28" s="252"/>
      <c r="I28" s="252"/>
      <c r="J28" s="252"/>
      <c r="K28" s="252"/>
      <c r="L28" s="250">
        <f>+L24-L26</f>
        <v>165315.5391390454</v>
      </c>
      <c r="M28" s="252"/>
    </row>
    <row r="29" spans="1:21" s="77" customFormat="1" x14ac:dyDescent="0.2">
      <c r="F29" s="79"/>
      <c r="G29" s="252"/>
      <c r="H29" s="252"/>
      <c r="I29" s="252"/>
      <c r="J29" s="252"/>
      <c r="K29" s="252"/>
      <c r="L29" s="252"/>
      <c r="M29" s="252"/>
    </row>
    <row r="30" spans="1:21" s="77" customFormat="1" x14ac:dyDescent="0.2">
      <c r="F30" s="79"/>
    </row>
    <row r="31" spans="1:21" s="77" customFormat="1" x14ac:dyDescent="0.2">
      <c r="F31" s="79"/>
    </row>
    <row r="32" spans="1:21" s="77" customFormat="1" x14ac:dyDescent="0.2">
      <c r="F32" s="378"/>
      <c r="G32" s="112"/>
      <c r="H32" s="112"/>
      <c r="I32" s="112"/>
    </row>
    <row r="33" spans="1:14" s="77" customFormat="1" x14ac:dyDescent="0.2"/>
    <row r="34" spans="1:14" s="77" customFormat="1" x14ac:dyDescent="0.2"/>
    <row r="35" spans="1:14" s="77" customFormat="1" x14ac:dyDescent="0.2"/>
    <row r="36" spans="1:14" s="77" customFormat="1" x14ac:dyDescent="0.2"/>
    <row r="37" spans="1:14" s="77" customFormat="1" x14ac:dyDescent="0.2"/>
    <row r="38" spans="1:14" s="77" customFormat="1" x14ac:dyDescent="0.2"/>
    <row r="39" spans="1:14" s="77" customFormat="1" x14ac:dyDescent="0.2"/>
    <row r="40" spans="1:14" s="77" customFormat="1" x14ac:dyDescent="0.2"/>
    <row r="41" spans="1:14" s="77" customFormat="1" x14ac:dyDescent="0.2"/>
    <row r="42" spans="1:14" s="77" customFormat="1" x14ac:dyDescent="0.2"/>
    <row r="43" spans="1:14" s="77" customFormat="1" x14ac:dyDescent="0.2"/>
    <row r="44" spans="1:14" s="77" customFormat="1" x14ac:dyDescent="0.2"/>
    <row r="45" spans="1:14" s="77" customFormat="1" x14ac:dyDescent="0.2">
      <c r="A45" s="81"/>
      <c r="B45" s="79"/>
      <c r="C45" s="92"/>
      <c r="D45" s="79"/>
      <c r="E45" s="79"/>
      <c r="F45" s="84"/>
      <c r="G45" s="96"/>
      <c r="H45" s="87"/>
      <c r="I45" s="88"/>
      <c r="J45" s="86"/>
      <c r="K45" s="86"/>
      <c r="L45" s="86"/>
      <c r="M45" s="86"/>
      <c r="N45" s="79"/>
    </row>
  </sheetData>
  <printOptions horizontalCentered="1"/>
  <pageMargins left="0.39370078740157483" right="0.39370078740157483" top="0.39370078740157483" bottom="0.78740157480314965" header="0" footer="0.59055118110236227"/>
  <pageSetup scale="51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topLeftCell="A32" workbookViewId="0">
      <selection activeCell="E51" sqref="E51:H54"/>
    </sheetView>
  </sheetViews>
  <sheetFormatPr defaultColWidth="9.140625" defaultRowHeight="12.75" x14ac:dyDescent="0.2"/>
  <cols>
    <col min="1" max="1" width="19.5703125" style="77" customWidth="1"/>
    <col min="2" max="2" width="13.140625" style="79" customWidth="1"/>
    <col min="3" max="3" width="9.7109375" style="79" customWidth="1"/>
    <col min="4" max="4" width="9.140625" style="79"/>
    <col min="5" max="5" width="12.85546875" style="79" customWidth="1"/>
    <col min="6" max="6" width="9.140625" style="79"/>
    <col min="7" max="7" width="13.140625" style="77" customWidth="1"/>
    <col min="8" max="8" width="9.7109375" style="79" bestFit="1" customWidth="1"/>
    <col min="9" max="9" width="10.28515625" style="77" bestFit="1" customWidth="1"/>
    <col min="10" max="10" width="10.7109375" style="77" bestFit="1" customWidth="1"/>
    <col min="11" max="11" width="11.85546875" style="77" bestFit="1" customWidth="1"/>
    <col min="12" max="12" width="13.5703125" style="77" bestFit="1" customWidth="1"/>
    <col min="13" max="13" width="12.7109375" style="77" customWidth="1"/>
    <col min="14" max="14" width="10.140625" style="79" customWidth="1"/>
    <col min="15" max="15" width="12.42578125" style="77" bestFit="1" customWidth="1"/>
    <col min="16" max="16" width="14.140625" style="77" bestFit="1" customWidth="1"/>
    <col min="17" max="17" width="12.42578125" style="77" bestFit="1" customWidth="1"/>
    <col min="18" max="19" width="9.140625" style="77"/>
    <col min="20" max="20" width="12.42578125" style="77" bestFit="1" customWidth="1"/>
    <col min="21" max="21" width="10" style="77" bestFit="1" customWidth="1"/>
    <col min="22" max="22" width="12" style="77" bestFit="1" customWidth="1"/>
    <col min="23" max="249" width="9.140625" style="77"/>
    <col min="250" max="251" width="10" style="77" customWidth="1"/>
    <col min="252" max="252" width="9.140625" style="77"/>
    <col min="253" max="253" width="29.140625" style="77" customWidth="1"/>
    <col min="254" max="254" width="12.85546875" style="77" customWidth="1"/>
    <col min="255" max="256" width="13.140625" style="77" customWidth="1"/>
    <col min="257" max="257" width="9.140625" style="77"/>
    <col min="258" max="258" width="12.85546875" style="77" customWidth="1"/>
    <col min="259" max="259" width="9.140625" style="77"/>
    <col min="260" max="260" width="10.42578125" style="77" customWidth="1"/>
    <col min="261" max="262" width="13.140625" style="77" customWidth="1"/>
    <col min="263" max="263" width="11.7109375" style="77" customWidth="1"/>
    <col min="264" max="264" width="14.85546875" style="77" customWidth="1"/>
    <col min="265" max="265" width="13.42578125" style="77" bestFit="1" customWidth="1"/>
    <col min="266" max="266" width="14.85546875" style="77" customWidth="1"/>
    <col min="267" max="267" width="13.42578125" style="77" bestFit="1" customWidth="1"/>
    <col min="268" max="268" width="14.85546875" style="77" customWidth="1"/>
    <col min="269" max="269" width="16.5703125" style="77" customWidth="1"/>
    <col min="270" max="270" width="10.5703125" style="77" customWidth="1"/>
    <col min="271" max="271" width="12.42578125" style="77" bestFit="1" customWidth="1"/>
    <col min="272" max="505" width="9.140625" style="77"/>
    <col min="506" max="507" width="10" style="77" customWidth="1"/>
    <col min="508" max="508" width="9.140625" style="77"/>
    <col min="509" max="509" width="29.140625" style="77" customWidth="1"/>
    <col min="510" max="510" width="12.85546875" style="77" customWidth="1"/>
    <col min="511" max="512" width="13.140625" style="77" customWidth="1"/>
    <col min="513" max="513" width="9.140625" style="77"/>
    <col min="514" max="514" width="12.85546875" style="77" customWidth="1"/>
    <col min="515" max="515" width="9.140625" style="77"/>
    <col min="516" max="516" width="10.42578125" style="77" customWidth="1"/>
    <col min="517" max="518" width="13.140625" style="77" customWidth="1"/>
    <col min="519" max="519" width="11.7109375" style="77" customWidth="1"/>
    <col min="520" max="520" width="14.85546875" style="77" customWidth="1"/>
    <col min="521" max="521" width="13.42578125" style="77" bestFit="1" customWidth="1"/>
    <col min="522" max="522" width="14.85546875" style="77" customWidth="1"/>
    <col min="523" max="523" width="13.42578125" style="77" bestFit="1" customWidth="1"/>
    <col min="524" max="524" width="14.85546875" style="77" customWidth="1"/>
    <col min="525" max="525" width="16.5703125" style="77" customWidth="1"/>
    <col min="526" max="526" width="10.5703125" style="77" customWidth="1"/>
    <col min="527" max="527" width="12.42578125" style="77" bestFit="1" customWidth="1"/>
    <col min="528" max="761" width="9.140625" style="77"/>
    <col min="762" max="763" width="10" style="77" customWidth="1"/>
    <col min="764" max="764" width="9.140625" style="77"/>
    <col min="765" max="765" width="29.140625" style="77" customWidth="1"/>
    <col min="766" max="766" width="12.85546875" style="77" customWidth="1"/>
    <col min="767" max="768" width="13.140625" style="77" customWidth="1"/>
    <col min="769" max="769" width="9.140625" style="77"/>
    <col min="770" max="770" width="12.85546875" style="77" customWidth="1"/>
    <col min="771" max="771" width="9.140625" style="77"/>
    <col min="772" max="772" width="10.42578125" style="77" customWidth="1"/>
    <col min="773" max="774" width="13.140625" style="77" customWidth="1"/>
    <col min="775" max="775" width="11.7109375" style="77" customWidth="1"/>
    <col min="776" max="776" width="14.85546875" style="77" customWidth="1"/>
    <col min="777" max="777" width="13.42578125" style="77" bestFit="1" customWidth="1"/>
    <col min="778" max="778" width="14.85546875" style="77" customWidth="1"/>
    <col min="779" max="779" width="13.42578125" style="77" bestFit="1" customWidth="1"/>
    <col min="780" max="780" width="14.85546875" style="77" customWidth="1"/>
    <col min="781" max="781" width="16.5703125" style="77" customWidth="1"/>
    <col min="782" max="782" width="10.5703125" style="77" customWidth="1"/>
    <col min="783" max="783" width="12.42578125" style="77" bestFit="1" customWidth="1"/>
    <col min="784" max="1017" width="9.140625" style="77"/>
    <col min="1018" max="1019" width="10" style="77" customWidth="1"/>
    <col min="1020" max="1020" width="9.140625" style="77"/>
    <col min="1021" max="1021" width="29.140625" style="77" customWidth="1"/>
    <col min="1022" max="1022" width="12.85546875" style="77" customWidth="1"/>
    <col min="1023" max="1024" width="13.140625" style="77" customWidth="1"/>
    <col min="1025" max="1025" width="9.140625" style="77"/>
    <col min="1026" max="1026" width="12.85546875" style="77" customWidth="1"/>
    <col min="1027" max="1027" width="9.140625" style="77"/>
    <col min="1028" max="1028" width="10.42578125" style="77" customWidth="1"/>
    <col min="1029" max="1030" width="13.140625" style="77" customWidth="1"/>
    <col min="1031" max="1031" width="11.7109375" style="77" customWidth="1"/>
    <col min="1032" max="1032" width="14.85546875" style="77" customWidth="1"/>
    <col min="1033" max="1033" width="13.42578125" style="77" bestFit="1" customWidth="1"/>
    <col min="1034" max="1034" width="14.85546875" style="77" customWidth="1"/>
    <col min="1035" max="1035" width="13.42578125" style="77" bestFit="1" customWidth="1"/>
    <col min="1036" max="1036" width="14.85546875" style="77" customWidth="1"/>
    <col min="1037" max="1037" width="16.5703125" style="77" customWidth="1"/>
    <col min="1038" max="1038" width="10.5703125" style="77" customWidth="1"/>
    <col min="1039" max="1039" width="12.42578125" style="77" bestFit="1" customWidth="1"/>
    <col min="1040" max="1273" width="9.140625" style="77"/>
    <col min="1274" max="1275" width="10" style="77" customWidth="1"/>
    <col min="1276" max="1276" width="9.140625" style="77"/>
    <col min="1277" max="1277" width="29.140625" style="77" customWidth="1"/>
    <col min="1278" max="1278" width="12.85546875" style="77" customWidth="1"/>
    <col min="1279" max="1280" width="13.140625" style="77" customWidth="1"/>
    <col min="1281" max="1281" width="9.140625" style="77"/>
    <col min="1282" max="1282" width="12.85546875" style="77" customWidth="1"/>
    <col min="1283" max="1283" width="9.140625" style="77"/>
    <col min="1284" max="1284" width="10.42578125" style="77" customWidth="1"/>
    <col min="1285" max="1286" width="13.140625" style="77" customWidth="1"/>
    <col min="1287" max="1287" width="11.7109375" style="77" customWidth="1"/>
    <col min="1288" max="1288" width="14.85546875" style="77" customWidth="1"/>
    <col min="1289" max="1289" width="13.42578125" style="77" bestFit="1" customWidth="1"/>
    <col min="1290" max="1290" width="14.85546875" style="77" customWidth="1"/>
    <col min="1291" max="1291" width="13.42578125" style="77" bestFit="1" customWidth="1"/>
    <col min="1292" max="1292" width="14.85546875" style="77" customWidth="1"/>
    <col min="1293" max="1293" width="16.5703125" style="77" customWidth="1"/>
    <col min="1294" max="1294" width="10.5703125" style="77" customWidth="1"/>
    <col min="1295" max="1295" width="12.42578125" style="77" bestFit="1" customWidth="1"/>
    <col min="1296" max="1529" width="9.140625" style="77"/>
    <col min="1530" max="1531" width="10" style="77" customWidth="1"/>
    <col min="1532" max="1532" width="9.140625" style="77"/>
    <col min="1533" max="1533" width="29.140625" style="77" customWidth="1"/>
    <col min="1534" max="1534" width="12.85546875" style="77" customWidth="1"/>
    <col min="1535" max="1536" width="13.140625" style="77" customWidth="1"/>
    <col min="1537" max="1537" width="9.140625" style="77"/>
    <col min="1538" max="1538" width="12.85546875" style="77" customWidth="1"/>
    <col min="1539" max="1539" width="9.140625" style="77"/>
    <col min="1540" max="1540" width="10.42578125" style="77" customWidth="1"/>
    <col min="1541" max="1542" width="13.140625" style="77" customWidth="1"/>
    <col min="1543" max="1543" width="11.7109375" style="77" customWidth="1"/>
    <col min="1544" max="1544" width="14.85546875" style="77" customWidth="1"/>
    <col min="1545" max="1545" width="13.42578125" style="77" bestFit="1" customWidth="1"/>
    <col min="1546" max="1546" width="14.85546875" style="77" customWidth="1"/>
    <col min="1547" max="1547" width="13.42578125" style="77" bestFit="1" customWidth="1"/>
    <col min="1548" max="1548" width="14.85546875" style="77" customWidth="1"/>
    <col min="1549" max="1549" width="16.5703125" style="77" customWidth="1"/>
    <col min="1550" max="1550" width="10.5703125" style="77" customWidth="1"/>
    <col min="1551" max="1551" width="12.42578125" style="77" bestFit="1" customWidth="1"/>
    <col min="1552" max="1785" width="9.140625" style="77"/>
    <col min="1786" max="1787" width="10" style="77" customWidth="1"/>
    <col min="1788" max="1788" width="9.140625" style="77"/>
    <col min="1789" max="1789" width="29.140625" style="77" customWidth="1"/>
    <col min="1790" max="1790" width="12.85546875" style="77" customWidth="1"/>
    <col min="1791" max="1792" width="13.140625" style="77" customWidth="1"/>
    <col min="1793" max="1793" width="9.140625" style="77"/>
    <col min="1794" max="1794" width="12.85546875" style="77" customWidth="1"/>
    <col min="1795" max="1795" width="9.140625" style="77"/>
    <col min="1796" max="1796" width="10.42578125" style="77" customWidth="1"/>
    <col min="1797" max="1798" width="13.140625" style="77" customWidth="1"/>
    <col min="1799" max="1799" width="11.7109375" style="77" customWidth="1"/>
    <col min="1800" max="1800" width="14.85546875" style="77" customWidth="1"/>
    <col min="1801" max="1801" width="13.42578125" style="77" bestFit="1" customWidth="1"/>
    <col min="1802" max="1802" width="14.85546875" style="77" customWidth="1"/>
    <col min="1803" max="1803" width="13.42578125" style="77" bestFit="1" customWidth="1"/>
    <col min="1804" max="1804" width="14.85546875" style="77" customWidth="1"/>
    <col min="1805" max="1805" width="16.5703125" style="77" customWidth="1"/>
    <col min="1806" max="1806" width="10.5703125" style="77" customWidth="1"/>
    <col min="1807" max="1807" width="12.42578125" style="77" bestFit="1" customWidth="1"/>
    <col min="1808" max="2041" width="9.140625" style="77"/>
    <col min="2042" max="2043" width="10" style="77" customWidth="1"/>
    <col min="2044" max="2044" width="9.140625" style="77"/>
    <col min="2045" max="2045" width="29.140625" style="77" customWidth="1"/>
    <col min="2046" max="2046" width="12.85546875" style="77" customWidth="1"/>
    <col min="2047" max="2048" width="13.140625" style="77" customWidth="1"/>
    <col min="2049" max="2049" width="9.140625" style="77"/>
    <col min="2050" max="2050" width="12.85546875" style="77" customWidth="1"/>
    <col min="2051" max="2051" width="9.140625" style="77"/>
    <col min="2052" max="2052" width="10.42578125" style="77" customWidth="1"/>
    <col min="2053" max="2054" width="13.140625" style="77" customWidth="1"/>
    <col min="2055" max="2055" width="11.7109375" style="77" customWidth="1"/>
    <col min="2056" max="2056" width="14.85546875" style="77" customWidth="1"/>
    <col min="2057" max="2057" width="13.42578125" style="77" bestFit="1" customWidth="1"/>
    <col min="2058" max="2058" width="14.85546875" style="77" customWidth="1"/>
    <col min="2059" max="2059" width="13.42578125" style="77" bestFit="1" customWidth="1"/>
    <col min="2060" max="2060" width="14.85546875" style="77" customWidth="1"/>
    <col min="2061" max="2061" width="16.5703125" style="77" customWidth="1"/>
    <col min="2062" max="2062" width="10.5703125" style="77" customWidth="1"/>
    <col min="2063" max="2063" width="12.42578125" style="77" bestFit="1" customWidth="1"/>
    <col min="2064" max="2297" width="9.140625" style="77"/>
    <col min="2298" max="2299" width="10" style="77" customWidth="1"/>
    <col min="2300" max="2300" width="9.140625" style="77"/>
    <col min="2301" max="2301" width="29.140625" style="77" customWidth="1"/>
    <col min="2302" max="2302" width="12.85546875" style="77" customWidth="1"/>
    <col min="2303" max="2304" width="13.140625" style="77" customWidth="1"/>
    <col min="2305" max="2305" width="9.140625" style="77"/>
    <col min="2306" max="2306" width="12.85546875" style="77" customWidth="1"/>
    <col min="2307" max="2307" width="9.140625" style="77"/>
    <col min="2308" max="2308" width="10.42578125" style="77" customWidth="1"/>
    <col min="2309" max="2310" width="13.140625" style="77" customWidth="1"/>
    <col min="2311" max="2311" width="11.7109375" style="77" customWidth="1"/>
    <col min="2312" max="2312" width="14.85546875" style="77" customWidth="1"/>
    <col min="2313" max="2313" width="13.42578125" style="77" bestFit="1" customWidth="1"/>
    <col min="2314" max="2314" width="14.85546875" style="77" customWidth="1"/>
    <col min="2315" max="2315" width="13.42578125" style="77" bestFit="1" customWidth="1"/>
    <col min="2316" max="2316" width="14.85546875" style="77" customWidth="1"/>
    <col min="2317" max="2317" width="16.5703125" style="77" customWidth="1"/>
    <col min="2318" max="2318" width="10.5703125" style="77" customWidth="1"/>
    <col min="2319" max="2319" width="12.42578125" style="77" bestFit="1" customWidth="1"/>
    <col min="2320" max="2553" width="9.140625" style="77"/>
    <col min="2554" max="2555" width="10" style="77" customWidth="1"/>
    <col min="2556" max="2556" width="9.140625" style="77"/>
    <col min="2557" max="2557" width="29.140625" style="77" customWidth="1"/>
    <col min="2558" max="2558" width="12.85546875" style="77" customWidth="1"/>
    <col min="2559" max="2560" width="13.140625" style="77" customWidth="1"/>
    <col min="2561" max="2561" width="9.140625" style="77"/>
    <col min="2562" max="2562" width="12.85546875" style="77" customWidth="1"/>
    <col min="2563" max="2563" width="9.140625" style="77"/>
    <col min="2564" max="2564" width="10.42578125" style="77" customWidth="1"/>
    <col min="2565" max="2566" width="13.140625" style="77" customWidth="1"/>
    <col min="2567" max="2567" width="11.7109375" style="77" customWidth="1"/>
    <col min="2568" max="2568" width="14.85546875" style="77" customWidth="1"/>
    <col min="2569" max="2569" width="13.42578125" style="77" bestFit="1" customWidth="1"/>
    <col min="2570" max="2570" width="14.85546875" style="77" customWidth="1"/>
    <col min="2571" max="2571" width="13.42578125" style="77" bestFit="1" customWidth="1"/>
    <col min="2572" max="2572" width="14.85546875" style="77" customWidth="1"/>
    <col min="2573" max="2573" width="16.5703125" style="77" customWidth="1"/>
    <col min="2574" max="2574" width="10.5703125" style="77" customWidth="1"/>
    <col min="2575" max="2575" width="12.42578125" style="77" bestFit="1" customWidth="1"/>
    <col min="2576" max="2809" width="9.140625" style="77"/>
    <col min="2810" max="2811" width="10" style="77" customWidth="1"/>
    <col min="2812" max="2812" width="9.140625" style="77"/>
    <col min="2813" max="2813" width="29.140625" style="77" customWidth="1"/>
    <col min="2814" max="2814" width="12.85546875" style="77" customWidth="1"/>
    <col min="2815" max="2816" width="13.140625" style="77" customWidth="1"/>
    <col min="2817" max="2817" width="9.140625" style="77"/>
    <col min="2818" max="2818" width="12.85546875" style="77" customWidth="1"/>
    <col min="2819" max="2819" width="9.140625" style="77"/>
    <col min="2820" max="2820" width="10.42578125" style="77" customWidth="1"/>
    <col min="2821" max="2822" width="13.140625" style="77" customWidth="1"/>
    <col min="2823" max="2823" width="11.7109375" style="77" customWidth="1"/>
    <col min="2824" max="2824" width="14.85546875" style="77" customWidth="1"/>
    <col min="2825" max="2825" width="13.42578125" style="77" bestFit="1" customWidth="1"/>
    <col min="2826" max="2826" width="14.85546875" style="77" customWidth="1"/>
    <col min="2827" max="2827" width="13.42578125" style="77" bestFit="1" customWidth="1"/>
    <col min="2828" max="2828" width="14.85546875" style="77" customWidth="1"/>
    <col min="2829" max="2829" width="16.5703125" style="77" customWidth="1"/>
    <col min="2830" max="2830" width="10.5703125" style="77" customWidth="1"/>
    <col min="2831" max="2831" width="12.42578125" style="77" bestFit="1" customWidth="1"/>
    <col min="2832" max="3065" width="9.140625" style="77"/>
    <col min="3066" max="3067" width="10" style="77" customWidth="1"/>
    <col min="3068" max="3068" width="9.140625" style="77"/>
    <col min="3069" max="3069" width="29.140625" style="77" customWidth="1"/>
    <col min="3070" max="3070" width="12.85546875" style="77" customWidth="1"/>
    <col min="3071" max="3072" width="13.140625" style="77" customWidth="1"/>
    <col min="3073" max="3073" width="9.140625" style="77"/>
    <col min="3074" max="3074" width="12.85546875" style="77" customWidth="1"/>
    <col min="3075" max="3075" width="9.140625" style="77"/>
    <col min="3076" max="3076" width="10.42578125" style="77" customWidth="1"/>
    <col min="3077" max="3078" width="13.140625" style="77" customWidth="1"/>
    <col min="3079" max="3079" width="11.7109375" style="77" customWidth="1"/>
    <col min="3080" max="3080" width="14.85546875" style="77" customWidth="1"/>
    <col min="3081" max="3081" width="13.42578125" style="77" bestFit="1" customWidth="1"/>
    <col min="3082" max="3082" width="14.85546875" style="77" customWidth="1"/>
    <col min="3083" max="3083" width="13.42578125" style="77" bestFit="1" customWidth="1"/>
    <col min="3084" max="3084" width="14.85546875" style="77" customWidth="1"/>
    <col min="3085" max="3085" width="16.5703125" style="77" customWidth="1"/>
    <col min="3086" max="3086" width="10.5703125" style="77" customWidth="1"/>
    <col min="3087" max="3087" width="12.42578125" style="77" bestFit="1" customWidth="1"/>
    <col min="3088" max="3321" width="9.140625" style="77"/>
    <col min="3322" max="3323" width="10" style="77" customWidth="1"/>
    <col min="3324" max="3324" width="9.140625" style="77"/>
    <col min="3325" max="3325" width="29.140625" style="77" customWidth="1"/>
    <col min="3326" max="3326" width="12.85546875" style="77" customWidth="1"/>
    <col min="3327" max="3328" width="13.140625" style="77" customWidth="1"/>
    <col min="3329" max="3329" width="9.140625" style="77"/>
    <col min="3330" max="3330" width="12.85546875" style="77" customWidth="1"/>
    <col min="3331" max="3331" width="9.140625" style="77"/>
    <col min="3332" max="3332" width="10.42578125" style="77" customWidth="1"/>
    <col min="3333" max="3334" width="13.140625" style="77" customWidth="1"/>
    <col min="3335" max="3335" width="11.7109375" style="77" customWidth="1"/>
    <col min="3336" max="3336" width="14.85546875" style="77" customWidth="1"/>
    <col min="3337" max="3337" width="13.42578125" style="77" bestFit="1" customWidth="1"/>
    <col min="3338" max="3338" width="14.85546875" style="77" customWidth="1"/>
    <col min="3339" max="3339" width="13.42578125" style="77" bestFit="1" customWidth="1"/>
    <col min="3340" max="3340" width="14.85546875" style="77" customWidth="1"/>
    <col min="3341" max="3341" width="16.5703125" style="77" customWidth="1"/>
    <col min="3342" max="3342" width="10.5703125" style="77" customWidth="1"/>
    <col min="3343" max="3343" width="12.42578125" style="77" bestFit="1" customWidth="1"/>
    <col min="3344" max="3577" width="9.140625" style="77"/>
    <col min="3578" max="3579" width="10" style="77" customWidth="1"/>
    <col min="3580" max="3580" width="9.140625" style="77"/>
    <col min="3581" max="3581" width="29.140625" style="77" customWidth="1"/>
    <col min="3582" max="3582" width="12.85546875" style="77" customWidth="1"/>
    <col min="3583" max="3584" width="13.140625" style="77" customWidth="1"/>
    <col min="3585" max="3585" width="9.140625" style="77"/>
    <col min="3586" max="3586" width="12.85546875" style="77" customWidth="1"/>
    <col min="3587" max="3587" width="9.140625" style="77"/>
    <col min="3588" max="3588" width="10.42578125" style="77" customWidth="1"/>
    <col min="3589" max="3590" width="13.140625" style="77" customWidth="1"/>
    <col min="3591" max="3591" width="11.7109375" style="77" customWidth="1"/>
    <col min="3592" max="3592" width="14.85546875" style="77" customWidth="1"/>
    <col min="3593" max="3593" width="13.42578125" style="77" bestFit="1" customWidth="1"/>
    <col min="3594" max="3594" width="14.85546875" style="77" customWidth="1"/>
    <col min="3595" max="3595" width="13.42578125" style="77" bestFit="1" customWidth="1"/>
    <col min="3596" max="3596" width="14.85546875" style="77" customWidth="1"/>
    <col min="3597" max="3597" width="16.5703125" style="77" customWidth="1"/>
    <col min="3598" max="3598" width="10.5703125" style="77" customWidth="1"/>
    <col min="3599" max="3599" width="12.42578125" style="77" bestFit="1" customWidth="1"/>
    <col min="3600" max="3833" width="9.140625" style="77"/>
    <col min="3834" max="3835" width="10" style="77" customWidth="1"/>
    <col min="3836" max="3836" width="9.140625" style="77"/>
    <col min="3837" max="3837" width="29.140625" style="77" customWidth="1"/>
    <col min="3838" max="3838" width="12.85546875" style="77" customWidth="1"/>
    <col min="3839" max="3840" width="13.140625" style="77" customWidth="1"/>
    <col min="3841" max="3841" width="9.140625" style="77"/>
    <col min="3842" max="3842" width="12.85546875" style="77" customWidth="1"/>
    <col min="3843" max="3843" width="9.140625" style="77"/>
    <col min="3844" max="3844" width="10.42578125" style="77" customWidth="1"/>
    <col min="3845" max="3846" width="13.140625" style="77" customWidth="1"/>
    <col min="3847" max="3847" width="11.7109375" style="77" customWidth="1"/>
    <col min="3848" max="3848" width="14.85546875" style="77" customWidth="1"/>
    <col min="3849" max="3849" width="13.42578125" style="77" bestFit="1" customWidth="1"/>
    <col min="3850" max="3850" width="14.85546875" style="77" customWidth="1"/>
    <col min="3851" max="3851" width="13.42578125" style="77" bestFit="1" customWidth="1"/>
    <col min="3852" max="3852" width="14.85546875" style="77" customWidth="1"/>
    <col min="3853" max="3853" width="16.5703125" style="77" customWidth="1"/>
    <col min="3854" max="3854" width="10.5703125" style="77" customWidth="1"/>
    <col min="3855" max="3855" width="12.42578125" style="77" bestFit="1" customWidth="1"/>
    <col min="3856" max="4089" width="9.140625" style="77"/>
    <col min="4090" max="4091" width="10" style="77" customWidth="1"/>
    <col min="4092" max="4092" width="9.140625" style="77"/>
    <col min="4093" max="4093" width="29.140625" style="77" customWidth="1"/>
    <col min="4094" max="4094" width="12.85546875" style="77" customWidth="1"/>
    <col min="4095" max="4096" width="13.140625" style="77" customWidth="1"/>
    <col min="4097" max="4097" width="9.140625" style="77"/>
    <col min="4098" max="4098" width="12.85546875" style="77" customWidth="1"/>
    <col min="4099" max="4099" width="9.140625" style="77"/>
    <col min="4100" max="4100" width="10.42578125" style="77" customWidth="1"/>
    <col min="4101" max="4102" width="13.140625" style="77" customWidth="1"/>
    <col min="4103" max="4103" width="11.7109375" style="77" customWidth="1"/>
    <col min="4104" max="4104" width="14.85546875" style="77" customWidth="1"/>
    <col min="4105" max="4105" width="13.42578125" style="77" bestFit="1" customWidth="1"/>
    <col min="4106" max="4106" width="14.85546875" style="77" customWidth="1"/>
    <col min="4107" max="4107" width="13.42578125" style="77" bestFit="1" customWidth="1"/>
    <col min="4108" max="4108" width="14.85546875" style="77" customWidth="1"/>
    <col min="4109" max="4109" width="16.5703125" style="77" customWidth="1"/>
    <col min="4110" max="4110" width="10.5703125" style="77" customWidth="1"/>
    <col min="4111" max="4111" width="12.42578125" style="77" bestFit="1" customWidth="1"/>
    <col min="4112" max="4345" width="9.140625" style="77"/>
    <col min="4346" max="4347" width="10" style="77" customWidth="1"/>
    <col min="4348" max="4348" width="9.140625" style="77"/>
    <col min="4349" max="4349" width="29.140625" style="77" customWidth="1"/>
    <col min="4350" max="4350" width="12.85546875" style="77" customWidth="1"/>
    <col min="4351" max="4352" width="13.140625" style="77" customWidth="1"/>
    <col min="4353" max="4353" width="9.140625" style="77"/>
    <col min="4354" max="4354" width="12.85546875" style="77" customWidth="1"/>
    <col min="4355" max="4355" width="9.140625" style="77"/>
    <col min="4356" max="4356" width="10.42578125" style="77" customWidth="1"/>
    <col min="4357" max="4358" width="13.140625" style="77" customWidth="1"/>
    <col min="4359" max="4359" width="11.7109375" style="77" customWidth="1"/>
    <col min="4360" max="4360" width="14.85546875" style="77" customWidth="1"/>
    <col min="4361" max="4361" width="13.42578125" style="77" bestFit="1" customWidth="1"/>
    <col min="4362" max="4362" width="14.85546875" style="77" customWidth="1"/>
    <col min="4363" max="4363" width="13.42578125" style="77" bestFit="1" customWidth="1"/>
    <col min="4364" max="4364" width="14.85546875" style="77" customWidth="1"/>
    <col min="4365" max="4365" width="16.5703125" style="77" customWidth="1"/>
    <col min="4366" max="4366" width="10.5703125" style="77" customWidth="1"/>
    <col min="4367" max="4367" width="12.42578125" style="77" bestFit="1" customWidth="1"/>
    <col min="4368" max="4601" width="9.140625" style="77"/>
    <col min="4602" max="4603" width="10" style="77" customWidth="1"/>
    <col min="4604" max="4604" width="9.140625" style="77"/>
    <col min="4605" max="4605" width="29.140625" style="77" customWidth="1"/>
    <col min="4606" max="4606" width="12.85546875" style="77" customWidth="1"/>
    <col min="4607" max="4608" width="13.140625" style="77" customWidth="1"/>
    <col min="4609" max="4609" width="9.140625" style="77"/>
    <col min="4610" max="4610" width="12.85546875" style="77" customWidth="1"/>
    <col min="4611" max="4611" width="9.140625" style="77"/>
    <col min="4612" max="4612" width="10.42578125" style="77" customWidth="1"/>
    <col min="4613" max="4614" width="13.140625" style="77" customWidth="1"/>
    <col min="4615" max="4615" width="11.7109375" style="77" customWidth="1"/>
    <col min="4616" max="4616" width="14.85546875" style="77" customWidth="1"/>
    <col min="4617" max="4617" width="13.42578125" style="77" bestFit="1" customWidth="1"/>
    <col min="4618" max="4618" width="14.85546875" style="77" customWidth="1"/>
    <col min="4619" max="4619" width="13.42578125" style="77" bestFit="1" customWidth="1"/>
    <col min="4620" max="4620" width="14.85546875" style="77" customWidth="1"/>
    <col min="4621" max="4621" width="16.5703125" style="77" customWidth="1"/>
    <col min="4622" max="4622" width="10.5703125" style="77" customWidth="1"/>
    <col min="4623" max="4623" width="12.42578125" style="77" bestFit="1" customWidth="1"/>
    <col min="4624" max="4857" width="9.140625" style="77"/>
    <col min="4858" max="4859" width="10" style="77" customWidth="1"/>
    <col min="4860" max="4860" width="9.140625" style="77"/>
    <col min="4861" max="4861" width="29.140625" style="77" customWidth="1"/>
    <col min="4862" max="4862" width="12.85546875" style="77" customWidth="1"/>
    <col min="4863" max="4864" width="13.140625" style="77" customWidth="1"/>
    <col min="4865" max="4865" width="9.140625" style="77"/>
    <col min="4866" max="4866" width="12.85546875" style="77" customWidth="1"/>
    <col min="4867" max="4867" width="9.140625" style="77"/>
    <col min="4868" max="4868" width="10.42578125" style="77" customWidth="1"/>
    <col min="4869" max="4870" width="13.140625" style="77" customWidth="1"/>
    <col min="4871" max="4871" width="11.7109375" style="77" customWidth="1"/>
    <col min="4872" max="4872" width="14.85546875" style="77" customWidth="1"/>
    <col min="4873" max="4873" width="13.42578125" style="77" bestFit="1" customWidth="1"/>
    <col min="4874" max="4874" width="14.85546875" style="77" customWidth="1"/>
    <col min="4875" max="4875" width="13.42578125" style="77" bestFit="1" customWidth="1"/>
    <col min="4876" max="4876" width="14.85546875" style="77" customWidth="1"/>
    <col min="4877" max="4877" width="16.5703125" style="77" customWidth="1"/>
    <col min="4878" max="4878" width="10.5703125" style="77" customWidth="1"/>
    <col min="4879" max="4879" width="12.42578125" style="77" bestFit="1" customWidth="1"/>
    <col min="4880" max="5113" width="9.140625" style="77"/>
    <col min="5114" max="5115" width="10" style="77" customWidth="1"/>
    <col min="5116" max="5116" width="9.140625" style="77"/>
    <col min="5117" max="5117" width="29.140625" style="77" customWidth="1"/>
    <col min="5118" max="5118" width="12.85546875" style="77" customWidth="1"/>
    <col min="5119" max="5120" width="13.140625" style="77" customWidth="1"/>
    <col min="5121" max="5121" width="9.140625" style="77"/>
    <col min="5122" max="5122" width="12.85546875" style="77" customWidth="1"/>
    <col min="5123" max="5123" width="9.140625" style="77"/>
    <col min="5124" max="5124" width="10.42578125" style="77" customWidth="1"/>
    <col min="5125" max="5126" width="13.140625" style="77" customWidth="1"/>
    <col min="5127" max="5127" width="11.7109375" style="77" customWidth="1"/>
    <col min="5128" max="5128" width="14.85546875" style="77" customWidth="1"/>
    <col min="5129" max="5129" width="13.42578125" style="77" bestFit="1" customWidth="1"/>
    <col min="5130" max="5130" width="14.85546875" style="77" customWidth="1"/>
    <col min="5131" max="5131" width="13.42578125" style="77" bestFit="1" customWidth="1"/>
    <col min="5132" max="5132" width="14.85546875" style="77" customWidth="1"/>
    <col min="5133" max="5133" width="16.5703125" style="77" customWidth="1"/>
    <col min="5134" max="5134" width="10.5703125" style="77" customWidth="1"/>
    <col min="5135" max="5135" width="12.42578125" style="77" bestFit="1" customWidth="1"/>
    <col min="5136" max="5369" width="9.140625" style="77"/>
    <col min="5370" max="5371" width="10" style="77" customWidth="1"/>
    <col min="5372" max="5372" width="9.140625" style="77"/>
    <col min="5373" max="5373" width="29.140625" style="77" customWidth="1"/>
    <col min="5374" max="5374" width="12.85546875" style="77" customWidth="1"/>
    <col min="5375" max="5376" width="13.140625" style="77" customWidth="1"/>
    <col min="5377" max="5377" width="9.140625" style="77"/>
    <col min="5378" max="5378" width="12.85546875" style="77" customWidth="1"/>
    <col min="5379" max="5379" width="9.140625" style="77"/>
    <col min="5380" max="5380" width="10.42578125" style="77" customWidth="1"/>
    <col min="5381" max="5382" width="13.140625" style="77" customWidth="1"/>
    <col min="5383" max="5383" width="11.7109375" style="77" customWidth="1"/>
    <col min="5384" max="5384" width="14.85546875" style="77" customWidth="1"/>
    <col min="5385" max="5385" width="13.42578125" style="77" bestFit="1" customWidth="1"/>
    <col min="5386" max="5386" width="14.85546875" style="77" customWidth="1"/>
    <col min="5387" max="5387" width="13.42578125" style="77" bestFit="1" customWidth="1"/>
    <col min="5388" max="5388" width="14.85546875" style="77" customWidth="1"/>
    <col min="5389" max="5389" width="16.5703125" style="77" customWidth="1"/>
    <col min="5390" max="5390" width="10.5703125" style="77" customWidth="1"/>
    <col min="5391" max="5391" width="12.42578125" style="77" bestFit="1" customWidth="1"/>
    <col min="5392" max="5625" width="9.140625" style="77"/>
    <col min="5626" max="5627" width="10" style="77" customWidth="1"/>
    <col min="5628" max="5628" width="9.140625" style="77"/>
    <col min="5629" max="5629" width="29.140625" style="77" customWidth="1"/>
    <col min="5630" max="5630" width="12.85546875" style="77" customWidth="1"/>
    <col min="5631" max="5632" width="13.140625" style="77" customWidth="1"/>
    <col min="5633" max="5633" width="9.140625" style="77"/>
    <col min="5634" max="5634" width="12.85546875" style="77" customWidth="1"/>
    <col min="5635" max="5635" width="9.140625" style="77"/>
    <col min="5636" max="5636" width="10.42578125" style="77" customWidth="1"/>
    <col min="5637" max="5638" width="13.140625" style="77" customWidth="1"/>
    <col min="5639" max="5639" width="11.7109375" style="77" customWidth="1"/>
    <col min="5640" max="5640" width="14.85546875" style="77" customWidth="1"/>
    <col min="5641" max="5641" width="13.42578125" style="77" bestFit="1" customWidth="1"/>
    <col min="5642" max="5642" width="14.85546875" style="77" customWidth="1"/>
    <col min="5643" max="5643" width="13.42578125" style="77" bestFit="1" customWidth="1"/>
    <col min="5644" max="5644" width="14.85546875" style="77" customWidth="1"/>
    <col min="5645" max="5645" width="16.5703125" style="77" customWidth="1"/>
    <col min="5646" max="5646" width="10.5703125" style="77" customWidth="1"/>
    <col min="5647" max="5647" width="12.42578125" style="77" bestFit="1" customWidth="1"/>
    <col min="5648" max="5881" width="9.140625" style="77"/>
    <col min="5882" max="5883" width="10" style="77" customWidth="1"/>
    <col min="5884" max="5884" width="9.140625" style="77"/>
    <col min="5885" max="5885" width="29.140625" style="77" customWidth="1"/>
    <col min="5886" max="5886" width="12.85546875" style="77" customWidth="1"/>
    <col min="5887" max="5888" width="13.140625" style="77" customWidth="1"/>
    <col min="5889" max="5889" width="9.140625" style="77"/>
    <col min="5890" max="5890" width="12.85546875" style="77" customWidth="1"/>
    <col min="5891" max="5891" width="9.140625" style="77"/>
    <col min="5892" max="5892" width="10.42578125" style="77" customWidth="1"/>
    <col min="5893" max="5894" width="13.140625" style="77" customWidth="1"/>
    <col min="5895" max="5895" width="11.7109375" style="77" customWidth="1"/>
    <col min="5896" max="5896" width="14.85546875" style="77" customWidth="1"/>
    <col min="5897" max="5897" width="13.42578125" style="77" bestFit="1" customWidth="1"/>
    <col min="5898" max="5898" width="14.85546875" style="77" customWidth="1"/>
    <col min="5899" max="5899" width="13.42578125" style="77" bestFit="1" customWidth="1"/>
    <col min="5900" max="5900" width="14.85546875" style="77" customWidth="1"/>
    <col min="5901" max="5901" width="16.5703125" style="77" customWidth="1"/>
    <col min="5902" max="5902" width="10.5703125" style="77" customWidth="1"/>
    <col min="5903" max="5903" width="12.42578125" style="77" bestFit="1" customWidth="1"/>
    <col min="5904" max="6137" width="9.140625" style="77"/>
    <col min="6138" max="6139" width="10" style="77" customWidth="1"/>
    <col min="6140" max="6140" width="9.140625" style="77"/>
    <col min="6141" max="6141" width="29.140625" style="77" customWidth="1"/>
    <col min="6142" max="6142" width="12.85546875" style="77" customWidth="1"/>
    <col min="6143" max="6144" width="13.140625" style="77" customWidth="1"/>
    <col min="6145" max="6145" width="9.140625" style="77"/>
    <col min="6146" max="6146" width="12.85546875" style="77" customWidth="1"/>
    <col min="6147" max="6147" width="9.140625" style="77"/>
    <col min="6148" max="6148" width="10.42578125" style="77" customWidth="1"/>
    <col min="6149" max="6150" width="13.140625" style="77" customWidth="1"/>
    <col min="6151" max="6151" width="11.7109375" style="77" customWidth="1"/>
    <col min="6152" max="6152" width="14.85546875" style="77" customWidth="1"/>
    <col min="6153" max="6153" width="13.42578125" style="77" bestFit="1" customWidth="1"/>
    <col min="6154" max="6154" width="14.85546875" style="77" customWidth="1"/>
    <col min="6155" max="6155" width="13.42578125" style="77" bestFit="1" customWidth="1"/>
    <col min="6156" max="6156" width="14.85546875" style="77" customWidth="1"/>
    <col min="6157" max="6157" width="16.5703125" style="77" customWidth="1"/>
    <col min="6158" max="6158" width="10.5703125" style="77" customWidth="1"/>
    <col min="6159" max="6159" width="12.42578125" style="77" bestFit="1" customWidth="1"/>
    <col min="6160" max="6393" width="9.140625" style="77"/>
    <col min="6394" max="6395" width="10" style="77" customWidth="1"/>
    <col min="6396" max="6396" width="9.140625" style="77"/>
    <col min="6397" max="6397" width="29.140625" style="77" customWidth="1"/>
    <col min="6398" max="6398" width="12.85546875" style="77" customWidth="1"/>
    <col min="6399" max="6400" width="13.140625" style="77" customWidth="1"/>
    <col min="6401" max="6401" width="9.140625" style="77"/>
    <col min="6402" max="6402" width="12.85546875" style="77" customWidth="1"/>
    <col min="6403" max="6403" width="9.140625" style="77"/>
    <col min="6404" max="6404" width="10.42578125" style="77" customWidth="1"/>
    <col min="6405" max="6406" width="13.140625" style="77" customWidth="1"/>
    <col min="6407" max="6407" width="11.7109375" style="77" customWidth="1"/>
    <col min="6408" max="6408" width="14.85546875" style="77" customWidth="1"/>
    <col min="6409" max="6409" width="13.42578125" style="77" bestFit="1" customWidth="1"/>
    <col min="6410" max="6410" width="14.85546875" style="77" customWidth="1"/>
    <col min="6411" max="6411" width="13.42578125" style="77" bestFit="1" customWidth="1"/>
    <col min="6412" max="6412" width="14.85546875" style="77" customWidth="1"/>
    <col min="6413" max="6413" width="16.5703125" style="77" customWidth="1"/>
    <col min="6414" max="6414" width="10.5703125" style="77" customWidth="1"/>
    <col min="6415" max="6415" width="12.42578125" style="77" bestFit="1" customWidth="1"/>
    <col min="6416" max="6649" width="9.140625" style="77"/>
    <col min="6650" max="6651" width="10" style="77" customWidth="1"/>
    <col min="6652" max="6652" width="9.140625" style="77"/>
    <col min="6653" max="6653" width="29.140625" style="77" customWidth="1"/>
    <col min="6654" max="6654" width="12.85546875" style="77" customWidth="1"/>
    <col min="6655" max="6656" width="13.140625" style="77" customWidth="1"/>
    <col min="6657" max="6657" width="9.140625" style="77"/>
    <col min="6658" max="6658" width="12.85546875" style="77" customWidth="1"/>
    <col min="6659" max="6659" width="9.140625" style="77"/>
    <col min="6660" max="6660" width="10.42578125" style="77" customWidth="1"/>
    <col min="6661" max="6662" width="13.140625" style="77" customWidth="1"/>
    <col min="6663" max="6663" width="11.7109375" style="77" customWidth="1"/>
    <col min="6664" max="6664" width="14.85546875" style="77" customWidth="1"/>
    <col min="6665" max="6665" width="13.42578125" style="77" bestFit="1" customWidth="1"/>
    <col min="6666" max="6666" width="14.85546875" style="77" customWidth="1"/>
    <col min="6667" max="6667" width="13.42578125" style="77" bestFit="1" customWidth="1"/>
    <col min="6668" max="6668" width="14.85546875" style="77" customWidth="1"/>
    <col min="6669" max="6669" width="16.5703125" style="77" customWidth="1"/>
    <col min="6670" max="6670" width="10.5703125" style="77" customWidth="1"/>
    <col min="6671" max="6671" width="12.42578125" style="77" bestFit="1" customWidth="1"/>
    <col min="6672" max="6905" width="9.140625" style="77"/>
    <col min="6906" max="6907" width="10" style="77" customWidth="1"/>
    <col min="6908" max="6908" width="9.140625" style="77"/>
    <col min="6909" max="6909" width="29.140625" style="77" customWidth="1"/>
    <col min="6910" max="6910" width="12.85546875" style="77" customWidth="1"/>
    <col min="6911" max="6912" width="13.140625" style="77" customWidth="1"/>
    <col min="6913" max="6913" width="9.140625" style="77"/>
    <col min="6914" max="6914" width="12.85546875" style="77" customWidth="1"/>
    <col min="6915" max="6915" width="9.140625" style="77"/>
    <col min="6916" max="6916" width="10.42578125" style="77" customWidth="1"/>
    <col min="6917" max="6918" width="13.140625" style="77" customWidth="1"/>
    <col min="6919" max="6919" width="11.7109375" style="77" customWidth="1"/>
    <col min="6920" max="6920" width="14.85546875" style="77" customWidth="1"/>
    <col min="6921" max="6921" width="13.42578125" style="77" bestFit="1" customWidth="1"/>
    <col min="6922" max="6922" width="14.85546875" style="77" customWidth="1"/>
    <col min="6923" max="6923" width="13.42578125" style="77" bestFit="1" customWidth="1"/>
    <col min="6924" max="6924" width="14.85546875" style="77" customWidth="1"/>
    <col min="6925" max="6925" width="16.5703125" style="77" customWidth="1"/>
    <col min="6926" max="6926" width="10.5703125" style="77" customWidth="1"/>
    <col min="6927" max="6927" width="12.42578125" style="77" bestFit="1" customWidth="1"/>
    <col min="6928" max="7161" width="9.140625" style="77"/>
    <col min="7162" max="7163" width="10" style="77" customWidth="1"/>
    <col min="7164" max="7164" width="9.140625" style="77"/>
    <col min="7165" max="7165" width="29.140625" style="77" customWidth="1"/>
    <col min="7166" max="7166" width="12.85546875" style="77" customWidth="1"/>
    <col min="7167" max="7168" width="13.140625" style="77" customWidth="1"/>
    <col min="7169" max="7169" width="9.140625" style="77"/>
    <col min="7170" max="7170" width="12.85546875" style="77" customWidth="1"/>
    <col min="7171" max="7171" width="9.140625" style="77"/>
    <col min="7172" max="7172" width="10.42578125" style="77" customWidth="1"/>
    <col min="7173" max="7174" width="13.140625" style="77" customWidth="1"/>
    <col min="7175" max="7175" width="11.7109375" style="77" customWidth="1"/>
    <col min="7176" max="7176" width="14.85546875" style="77" customWidth="1"/>
    <col min="7177" max="7177" width="13.42578125" style="77" bestFit="1" customWidth="1"/>
    <col min="7178" max="7178" width="14.85546875" style="77" customWidth="1"/>
    <col min="7179" max="7179" width="13.42578125" style="77" bestFit="1" customWidth="1"/>
    <col min="7180" max="7180" width="14.85546875" style="77" customWidth="1"/>
    <col min="7181" max="7181" width="16.5703125" style="77" customWidth="1"/>
    <col min="7182" max="7182" width="10.5703125" style="77" customWidth="1"/>
    <col min="7183" max="7183" width="12.42578125" style="77" bestFit="1" customWidth="1"/>
    <col min="7184" max="7417" width="9.140625" style="77"/>
    <col min="7418" max="7419" width="10" style="77" customWidth="1"/>
    <col min="7420" max="7420" width="9.140625" style="77"/>
    <col min="7421" max="7421" width="29.140625" style="77" customWidth="1"/>
    <col min="7422" max="7422" width="12.85546875" style="77" customWidth="1"/>
    <col min="7423" max="7424" width="13.140625" style="77" customWidth="1"/>
    <col min="7425" max="7425" width="9.140625" style="77"/>
    <col min="7426" max="7426" width="12.85546875" style="77" customWidth="1"/>
    <col min="7427" max="7427" width="9.140625" style="77"/>
    <col min="7428" max="7428" width="10.42578125" style="77" customWidth="1"/>
    <col min="7429" max="7430" width="13.140625" style="77" customWidth="1"/>
    <col min="7431" max="7431" width="11.7109375" style="77" customWidth="1"/>
    <col min="7432" max="7432" width="14.85546875" style="77" customWidth="1"/>
    <col min="7433" max="7433" width="13.42578125" style="77" bestFit="1" customWidth="1"/>
    <col min="7434" max="7434" width="14.85546875" style="77" customWidth="1"/>
    <col min="7435" max="7435" width="13.42578125" style="77" bestFit="1" customWidth="1"/>
    <col min="7436" max="7436" width="14.85546875" style="77" customWidth="1"/>
    <col min="7437" max="7437" width="16.5703125" style="77" customWidth="1"/>
    <col min="7438" max="7438" width="10.5703125" style="77" customWidth="1"/>
    <col min="7439" max="7439" width="12.42578125" style="77" bestFit="1" customWidth="1"/>
    <col min="7440" max="7673" width="9.140625" style="77"/>
    <col min="7674" max="7675" width="10" style="77" customWidth="1"/>
    <col min="7676" max="7676" width="9.140625" style="77"/>
    <col min="7677" max="7677" width="29.140625" style="77" customWidth="1"/>
    <col min="7678" max="7678" width="12.85546875" style="77" customWidth="1"/>
    <col min="7679" max="7680" width="13.140625" style="77" customWidth="1"/>
    <col min="7681" max="7681" width="9.140625" style="77"/>
    <col min="7682" max="7682" width="12.85546875" style="77" customWidth="1"/>
    <col min="7683" max="7683" width="9.140625" style="77"/>
    <col min="7684" max="7684" width="10.42578125" style="77" customWidth="1"/>
    <col min="7685" max="7686" width="13.140625" style="77" customWidth="1"/>
    <col min="7687" max="7687" width="11.7109375" style="77" customWidth="1"/>
    <col min="7688" max="7688" width="14.85546875" style="77" customWidth="1"/>
    <col min="7689" max="7689" width="13.42578125" style="77" bestFit="1" customWidth="1"/>
    <col min="7690" max="7690" width="14.85546875" style="77" customWidth="1"/>
    <col min="7691" max="7691" width="13.42578125" style="77" bestFit="1" customWidth="1"/>
    <col min="7692" max="7692" width="14.85546875" style="77" customWidth="1"/>
    <col min="7693" max="7693" width="16.5703125" style="77" customWidth="1"/>
    <col min="7694" max="7694" width="10.5703125" style="77" customWidth="1"/>
    <col min="7695" max="7695" width="12.42578125" style="77" bestFit="1" customWidth="1"/>
    <col min="7696" max="7929" width="9.140625" style="77"/>
    <col min="7930" max="7931" width="10" style="77" customWidth="1"/>
    <col min="7932" max="7932" width="9.140625" style="77"/>
    <col min="7933" max="7933" width="29.140625" style="77" customWidth="1"/>
    <col min="7934" max="7934" width="12.85546875" style="77" customWidth="1"/>
    <col min="7935" max="7936" width="13.140625" style="77" customWidth="1"/>
    <col min="7937" max="7937" width="9.140625" style="77"/>
    <col min="7938" max="7938" width="12.85546875" style="77" customWidth="1"/>
    <col min="7939" max="7939" width="9.140625" style="77"/>
    <col min="7940" max="7940" width="10.42578125" style="77" customWidth="1"/>
    <col min="7941" max="7942" width="13.140625" style="77" customWidth="1"/>
    <col min="7943" max="7943" width="11.7109375" style="77" customWidth="1"/>
    <col min="7944" max="7944" width="14.85546875" style="77" customWidth="1"/>
    <col min="7945" max="7945" width="13.42578125" style="77" bestFit="1" customWidth="1"/>
    <col min="7946" max="7946" width="14.85546875" style="77" customWidth="1"/>
    <col min="7947" max="7947" width="13.42578125" style="77" bestFit="1" customWidth="1"/>
    <col min="7948" max="7948" width="14.85546875" style="77" customWidth="1"/>
    <col min="7949" max="7949" width="16.5703125" style="77" customWidth="1"/>
    <col min="7950" max="7950" width="10.5703125" style="77" customWidth="1"/>
    <col min="7951" max="7951" width="12.42578125" style="77" bestFit="1" customWidth="1"/>
    <col min="7952" max="8185" width="9.140625" style="77"/>
    <col min="8186" max="8187" width="10" style="77" customWidth="1"/>
    <col min="8188" max="8188" width="9.140625" style="77"/>
    <col min="8189" max="8189" width="29.140625" style="77" customWidth="1"/>
    <col min="8190" max="8190" width="12.85546875" style="77" customWidth="1"/>
    <col min="8191" max="8192" width="13.140625" style="77" customWidth="1"/>
    <col min="8193" max="8193" width="9.140625" style="77"/>
    <col min="8194" max="8194" width="12.85546875" style="77" customWidth="1"/>
    <col min="8195" max="8195" width="9.140625" style="77"/>
    <col min="8196" max="8196" width="10.42578125" style="77" customWidth="1"/>
    <col min="8197" max="8198" width="13.140625" style="77" customWidth="1"/>
    <col min="8199" max="8199" width="11.7109375" style="77" customWidth="1"/>
    <col min="8200" max="8200" width="14.85546875" style="77" customWidth="1"/>
    <col min="8201" max="8201" width="13.42578125" style="77" bestFit="1" customWidth="1"/>
    <col min="8202" max="8202" width="14.85546875" style="77" customWidth="1"/>
    <col min="8203" max="8203" width="13.42578125" style="77" bestFit="1" customWidth="1"/>
    <col min="8204" max="8204" width="14.85546875" style="77" customWidth="1"/>
    <col min="8205" max="8205" width="16.5703125" style="77" customWidth="1"/>
    <col min="8206" max="8206" width="10.5703125" style="77" customWidth="1"/>
    <col min="8207" max="8207" width="12.42578125" style="77" bestFit="1" customWidth="1"/>
    <col min="8208" max="8441" width="9.140625" style="77"/>
    <col min="8442" max="8443" width="10" style="77" customWidth="1"/>
    <col min="8444" max="8444" width="9.140625" style="77"/>
    <col min="8445" max="8445" width="29.140625" style="77" customWidth="1"/>
    <col min="8446" max="8446" width="12.85546875" style="77" customWidth="1"/>
    <col min="8447" max="8448" width="13.140625" style="77" customWidth="1"/>
    <col min="8449" max="8449" width="9.140625" style="77"/>
    <col min="8450" max="8450" width="12.85546875" style="77" customWidth="1"/>
    <col min="8451" max="8451" width="9.140625" style="77"/>
    <col min="8452" max="8452" width="10.42578125" style="77" customWidth="1"/>
    <col min="8453" max="8454" width="13.140625" style="77" customWidth="1"/>
    <col min="8455" max="8455" width="11.7109375" style="77" customWidth="1"/>
    <col min="8456" max="8456" width="14.85546875" style="77" customWidth="1"/>
    <col min="8457" max="8457" width="13.42578125" style="77" bestFit="1" customWidth="1"/>
    <col min="8458" max="8458" width="14.85546875" style="77" customWidth="1"/>
    <col min="8459" max="8459" width="13.42578125" style="77" bestFit="1" customWidth="1"/>
    <col min="8460" max="8460" width="14.85546875" style="77" customWidth="1"/>
    <col min="8461" max="8461" width="16.5703125" style="77" customWidth="1"/>
    <col min="8462" max="8462" width="10.5703125" style="77" customWidth="1"/>
    <col min="8463" max="8463" width="12.42578125" style="77" bestFit="1" customWidth="1"/>
    <col min="8464" max="8697" width="9.140625" style="77"/>
    <col min="8698" max="8699" width="10" style="77" customWidth="1"/>
    <col min="8700" max="8700" width="9.140625" style="77"/>
    <col min="8701" max="8701" width="29.140625" style="77" customWidth="1"/>
    <col min="8702" max="8702" width="12.85546875" style="77" customWidth="1"/>
    <col min="8703" max="8704" width="13.140625" style="77" customWidth="1"/>
    <col min="8705" max="8705" width="9.140625" style="77"/>
    <col min="8706" max="8706" width="12.85546875" style="77" customWidth="1"/>
    <col min="8707" max="8707" width="9.140625" style="77"/>
    <col min="8708" max="8708" width="10.42578125" style="77" customWidth="1"/>
    <col min="8709" max="8710" width="13.140625" style="77" customWidth="1"/>
    <col min="8711" max="8711" width="11.7109375" style="77" customWidth="1"/>
    <col min="8712" max="8712" width="14.85546875" style="77" customWidth="1"/>
    <col min="8713" max="8713" width="13.42578125" style="77" bestFit="1" customWidth="1"/>
    <col min="8714" max="8714" width="14.85546875" style="77" customWidth="1"/>
    <col min="8715" max="8715" width="13.42578125" style="77" bestFit="1" customWidth="1"/>
    <col min="8716" max="8716" width="14.85546875" style="77" customWidth="1"/>
    <col min="8717" max="8717" width="16.5703125" style="77" customWidth="1"/>
    <col min="8718" max="8718" width="10.5703125" style="77" customWidth="1"/>
    <col min="8719" max="8719" width="12.42578125" style="77" bestFit="1" customWidth="1"/>
    <col min="8720" max="8953" width="9.140625" style="77"/>
    <col min="8954" max="8955" width="10" style="77" customWidth="1"/>
    <col min="8956" max="8956" width="9.140625" style="77"/>
    <col min="8957" max="8957" width="29.140625" style="77" customWidth="1"/>
    <col min="8958" max="8958" width="12.85546875" style="77" customWidth="1"/>
    <col min="8959" max="8960" width="13.140625" style="77" customWidth="1"/>
    <col min="8961" max="8961" width="9.140625" style="77"/>
    <col min="8962" max="8962" width="12.85546875" style="77" customWidth="1"/>
    <col min="8963" max="8963" width="9.140625" style="77"/>
    <col min="8964" max="8964" width="10.42578125" style="77" customWidth="1"/>
    <col min="8965" max="8966" width="13.140625" style="77" customWidth="1"/>
    <col min="8967" max="8967" width="11.7109375" style="77" customWidth="1"/>
    <col min="8968" max="8968" width="14.85546875" style="77" customWidth="1"/>
    <col min="8969" max="8969" width="13.42578125" style="77" bestFit="1" customWidth="1"/>
    <col min="8970" max="8970" width="14.85546875" style="77" customWidth="1"/>
    <col min="8971" max="8971" width="13.42578125" style="77" bestFit="1" customWidth="1"/>
    <col min="8972" max="8972" width="14.85546875" style="77" customWidth="1"/>
    <col min="8973" max="8973" width="16.5703125" style="77" customWidth="1"/>
    <col min="8974" max="8974" width="10.5703125" style="77" customWidth="1"/>
    <col min="8975" max="8975" width="12.42578125" style="77" bestFit="1" customWidth="1"/>
    <col min="8976" max="9209" width="9.140625" style="77"/>
    <col min="9210" max="9211" width="10" style="77" customWidth="1"/>
    <col min="9212" max="9212" width="9.140625" style="77"/>
    <col min="9213" max="9213" width="29.140625" style="77" customWidth="1"/>
    <col min="9214" max="9214" width="12.85546875" style="77" customWidth="1"/>
    <col min="9215" max="9216" width="13.140625" style="77" customWidth="1"/>
    <col min="9217" max="9217" width="9.140625" style="77"/>
    <col min="9218" max="9218" width="12.85546875" style="77" customWidth="1"/>
    <col min="9219" max="9219" width="9.140625" style="77"/>
    <col min="9220" max="9220" width="10.42578125" style="77" customWidth="1"/>
    <col min="9221" max="9222" width="13.140625" style="77" customWidth="1"/>
    <col min="9223" max="9223" width="11.7109375" style="77" customWidth="1"/>
    <col min="9224" max="9224" width="14.85546875" style="77" customWidth="1"/>
    <col min="9225" max="9225" width="13.42578125" style="77" bestFit="1" customWidth="1"/>
    <col min="9226" max="9226" width="14.85546875" style="77" customWidth="1"/>
    <col min="9227" max="9227" width="13.42578125" style="77" bestFit="1" customWidth="1"/>
    <col min="9228" max="9228" width="14.85546875" style="77" customWidth="1"/>
    <col min="9229" max="9229" width="16.5703125" style="77" customWidth="1"/>
    <col min="9230" max="9230" width="10.5703125" style="77" customWidth="1"/>
    <col min="9231" max="9231" width="12.42578125" style="77" bestFit="1" customWidth="1"/>
    <col min="9232" max="9465" width="9.140625" style="77"/>
    <col min="9466" max="9467" width="10" style="77" customWidth="1"/>
    <col min="9468" max="9468" width="9.140625" style="77"/>
    <col min="9469" max="9469" width="29.140625" style="77" customWidth="1"/>
    <col min="9470" max="9470" width="12.85546875" style="77" customWidth="1"/>
    <col min="9471" max="9472" width="13.140625" style="77" customWidth="1"/>
    <col min="9473" max="9473" width="9.140625" style="77"/>
    <col min="9474" max="9474" width="12.85546875" style="77" customWidth="1"/>
    <col min="9475" max="9475" width="9.140625" style="77"/>
    <col min="9476" max="9476" width="10.42578125" style="77" customWidth="1"/>
    <col min="9477" max="9478" width="13.140625" style="77" customWidth="1"/>
    <col min="9479" max="9479" width="11.7109375" style="77" customWidth="1"/>
    <col min="9480" max="9480" width="14.85546875" style="77" customWidth="1"/>
    <col min="9481" max="9481" width="13.42578125" style="77" bestFit="1" customWidth="1"/>
    <col min="9482" max="9482" width="14.85546875" style="77" customWidth="1"/>
    <col min="9483" max="9483" width="13.42578125" style="77" bestFit="1" customWidth="1"/>
    <col min="9484" max="9484" width="14.85546875" style="77" customWidth="1"/>
    <col min="9485" max="9485" width="16.5703125" style="77" customWidth="1"/>
    <col min="9486" max="9486" width="10.5703125" style="77" customWidth="1"/>
    <col min="9487" max="9487" width="12.42578125" style="77" bestFit="1" customWidth="1"/>
    <col min="9488" max="9721" width="9.140625" style="77"/>
    <col min="9722" max="9723" width="10" style="77" customWidth="1"/>
    <col min="9724" max="9724" width="9.140625" style="77"/>
    <col min="9725" max="9725" width="29.140625" style="77" customWidth="1"/>
    <col min="9726" max="9726" width="12.85546875" style="77" customWidth="1"/>
    <col min="9727" max="9728" width="13.140625" style="77" customWidth="1"/>
    <col min="9729" max="9729" width="9.140625" style="77"/>
    <col min="9730" max="9730" width="12.85546875" style="77" customWidth="1"/>
    <col min="9731" max="9731" width="9.140625" style="77"/>
    <col min="9732" max="9732" width="10.42578125" style="77" customWidth="1"/>
    <col min="9733" max="9734" width="13.140625" style="77" customWidth="1"/>
    <col min="9735" max="9735" width="11.7109375" style="77" customWidth="1"/>
    <col min="9736" max="9736" width="14.85546875" style="77" customWidth="1"/>
    <col min="9737" max="9737" width="13.42578125" style="77" bestFit="1" customWidth="1"/>
    <col min="9738" max="9738" width="14.85546875" style="77" customWidth="1"/>
    <col min="9739" max="9739" width="13.42578125" style="77" bestFit="1" customWidth="1"/>
    <col min="9740" max="9740" width="14.85546875" style="77" customWidth="1"/>
    <col min="9741" max="9741" width="16.5703125" style="77" customWidth="1"/>
    <col min="9742" max="9742" width="10.5703125" style="77" customWidth="1"/>
    <col min="9743" max="9743" width="12.42578125" style="77" bestFit="1" customWidth="1"/>
    <col min="9744" max="9977" width="9.140625" style="77"/>
    <col min="9978" max="9979" width="10" style="77" customWidth="1"/>
    <col min="9980" max="9980" width="9.140625" style="77"/>
    <col min="9981" max="9981" width="29.140625" style="77" customWidth="1"/>
    <col min="9982" max="9982" width="12.85546875" style="77" customWidth="1"/>
    <col min="9983" max="9984" width="13.140625" style="77" customWidth="1"/>
    <col min="9985" max="9985" width="9.140625" style="77"/>
    <col min="9986" max="9986" width="12.85546875" style="77" customWidth="1"/>
    <col min="9987" max="9987" width="9.140625" style="77"/>
    <col min="9988" max="9988" width="10.42578125" style="77" customWidth="1"/>
    <col min="9989" max="9990" width="13.140625" style="77" customWidth="1"/>
    <col min="9991" max="9991" width="11.7109375" style="77" customWidth="1"/>
    <col min="9992" max="9992" width="14.85546875" style="77" customWidth="1"/>
    <col min="9993" max="9993" width="13.42578125" style="77" bestFit="1" customWidth="1"/>
    <col min="9994" max="9994" width="14.85546875" style="77" customWidth="1"/>
    <col min="9995" max="9995" width="13.42578125" style="77" bestFit="1" customWidth="1"/>
    <col min="9996" max="9996" width="14.85546875" style="77" customWidth="1"/>
    <col min="9997" max="9997" width="16.5703125" style="77" customWidth="1"/>
    <col min="9998" max="9998" width="10.5703125" style="77" customWidth="1"/>
    <col min="9999" max="9999" width="12.42578125" style="77" bestFit="1" customWidth="1"/>
    <col min="10000" max="10233" width="9.140625" style="77"/>
    <col min="10234" max="10235" width="10" style="77" customWidth="1"/>
    <col min="10236" max="10236" width="9.140625" style="77"/>
    <col min="10237" max="10237" width="29.140625" style="77" customWidth="1"/>
    <col min="10238" max="10238" width="12.85546875" style="77" customWidth="1"/>
    <col min="10239" max="10240" width="13.140625" style="77" customWidth="1"/>
    <col min="10241" max="10241" width="9.140625" style="77"/>
    <col min="10242" max="10242" width="12.85546875" style="77" customWidth="1"/>
    <col min="10243" max="10243" width="9.140625" style="77"/>
    <col min="10244" max="10244" width="10.42578125" style="77" customWidth="1"/>
    <col min="10245" max="10246" width="13.140625" style="77" customWidth="1"/>
    <col min="10247" max="10247" width="11.7109375" style="77" customWidth="1"/>
    <col min="10248" max="10248" width="14.85546875" style="77" customWidth="1"/>
    <col min="10249" max="10249" width="13.42578125" style="77" bestFit="1" customWidth="1"/>
    <col min="10250" max="10250" width="14.85546875" style="77" customWidth="1"/>
    <col min="10251" max="10251" width="13.42578125" style="77" bestFit="1" customWidth="1"/>
    <col min="10252" max="10252" width="14.85546875" style="77" customWidth="1"/>
    <col min="10253" max="10253" width="16.5703125" style="77" customWidth="1"/>
    <col min="10254" max="10254" width="10.5703125" style="77" customWidth="1"/>
    <col min="10255" max="10255" width="12.42578125" style="77" bestFit="1" customWidth="1"/>
    <col min="10256" max="10489" width="9.140625" style="77"/>
    <col min="10490" max="10491" width="10" style="77" customWidth="1"/>
    <col min="10492" max="10492" width="9.140625" style="77"/>
    <col min="10493" max="10493" width="29.140625" style="77" customWidth="1"/>
    <col min="10494" max="10494" width="12.85546875" style="77" customWidth="1"/>
    <col min="10495" max="10496" width="13.140625" style="77" customWidth="1"/>
    <col min="10497" max="10497" width="9.140625" style="77"/>
    <col min="10498" max="10498" width="12.85546875" style="77" customWidth="1"/>
    <col min="10499" max="10499" width="9.140625" style="77"/>
    <col min="10500" max="10500" width="10.42578125" style="77" customWidth="1"/>
    <col min="10501" max="10502" width="13.140625" style="77" customWidth="1"/>
    <col min="10503" max="10503" width="11.7109375" style="77" customWidth="1"/>
    <col min="10504" max="10504" width="14.85546875" style="77" customWidth="1"/>
    <col min="10505" max="10505" width="13.42578125" style="77" bestFit="1" customWidth="1"/>
    <col min="10506" max="10506" width="14.85546875" style="77" customWidth="1"/>
    <col min="10507" max="10507" width="13.42578125" style="77" bestFit="1" customWidth="1"/>
    <col min="10508" max="10508" width="14.85546875" style="77" customWidth="1"/>
    <col min="10509" max="10509" width="16.5703125" style="77" customWidth="1"/>
    <col min="10510" max="10510" width="10.5703125" style="77" customWidth="1"/>
    <col min="10511" max="10511" width="12.42578125" style="77" bestFit="1" customWidth="1"/>
    <col min="10512" max="10745" width="9.140625" style="77"/>
    <col min="10746" max="10747" width="10" style="77" customWidth="1"/>
    <col min="10748" max="10748" width="9.140625" style="77"/>
    <col min="10749" max="10749" width="29.140625" style="77" customWidth="1"/>
    <col min="10750" max="10750" width="12.85546875" style="77" customWidth="1"/>
    <col min="10751" max="10752" width="13.140625" style="77" customWidth="1"/>
    <col min="10753" max="10753" width="9.140625" style="77"/>
    <col min="10754" max="10754" width="12.85546875" style="77" customWidth="1"/>
    <col min="10755" max="10755" width="9.140625" style="77"/>
    <col min="10756" max="10756" width="10.42578125" style="77" customWidth="1"/>
    <col min="10757" max="10758" width="13.140625" style="77" customWidth="1"/>
    <col min="10759" max="10759" width="11.7109375" style="77" customWidth="1"/>
    <col min="10760" max="10760" width="14.85546875" style="77" customWidth="1"/>
    <col min="10761" max="10761" width="13.42578125" style="77" bestFit="1" customWidth="1"/>
    <col min="10762" max="10762" width="14.85546875" style="77" customWidth="1"/>
    <col min="10763" max="10763" width="13.42578125" style="77" bestFit="1" customWidth="1"/>
    <col min="10764" max="10764" width="14.85546875" style="77" customWidth="1"/>
    <col min="10765" max="10765" width="16.5703125" style="77" customWidth="1"/>
    <col min="10766" max="10766" width="10.5703125" style="77" customWidth="1"/>
    <col min="10767" max="10767" width="12.42578125" style="77" bestFit="1" customWidth="1"/>
    <col min="10768" max="11001" width="9.140625" style="77"/>
    <col min="11002" max="11003" width="10" style="77" customWidth="1"/>
    <col min="11004" max="11004" width="9.140625" style="77"/>
    <col min="11005" max="11005" width="29.140625" style="77" customWidth="1"/>
    <col min="11006" max="11006" width="12.85546875" style="77" customWidth="1"/>
    <col min="11007" max="11008" width="13.140625" style="77" customWidth="1"/>
    <col min="11009" max="11009" width="9.140625" style="77"/>
    <col min="11010" max="11010" width="12.85546875" style="77" customWidth="1"/>
    <col min="11011" max="11011" width="9.140625" style="77"/>
    <col min="11012" max="11012" width="10.42578125" style="77" customWidth="1"/>
    <col min="11013" max="11014" width="13.140625" style="77" customWidth="1"/>
    <col min="11015" max="11015" width="11.7109375" style="77" customWidth="1"/>
    <col min="11016" max="11016" width="14.85546875" style="77" customWidth="1"/>
    <col min="11017" max="11017" width="13.42578125" style="77" bestFit="1" customWidth="1"/>
    <col min="11018" max="11018" width="14.85546875" style="77" customWidth="1"/>
    <col min="11019" max="11019" width="13.42578125" style="77" bestFit="1" customWidth="1"/>
    <col min="11020" max="11020" width="14.85546875" style="77" customWidth="1"/>
    <col min="11021" max="11021" width="16.5703125" style="77" customWidth="1"/>
    <col min="11022" max="11022" width="10.5703125" style="77" customWidth="1"/>
    <col min="11023" max="11023" width="12.42578125" style="77" bestFit="1" customWidth="1"/>
    <col min="11024" max="11257" width="9.140625" style="77"/>
    <col min="11258" max="11259" width="10" style="77" customWidth="1"/>
    <col min="11260" max="11260" width="9.140625" style="77"/>
    <col min="11261" max="11261" width="29.140625" style="77" customWidth="1"/>
    <col min="11262" max="11262" width="12.85546875" style="77" customWidth="1"/>
    <col min="11263" max="11264" width="13.140625" style="77" customWidth="1"/>
    <col min="11265" max="11265" width="9.140625" style="77"/>
    <col min="11266" max="11266" width="12.85546875" style="77" customWidth="1"/>
    <col min="11267" max="11267" width="9.140625" style="77"/>
    <col min="11268" max="11268" width="10.42578125" style="77" customWidth="1"/>
    <col min="11269" max="11270" width="13.140625" style="77" customWidth="1"/>
    <col min="11271" max="11271" width="11.7109375" style="77" customWidth="1"/>
    <col min="11272" max="11272" width="14.85546875" style="77" customWidth="1"/>
    <col min="11273" max="11273" width="13.42578125" style="77" bestFit="1" customWidth="1"/>
    <col min="11274" max="11274" width="14.85546875" style="77" customWidth="1"/>
    <col min="11275" max="11275" width="13.42578125" style="77" bestFit="1" customWidth="1"/>
    <col min="11276" max="11276" width="14.85546875" style="77" customWidth="1"/>
    <col min="11277" max="11277" width="16.5703125" style="77" customWidth="1"/>
    <col min="11278" max="11278" width="10.5703125" style="77" customWidth="1"/>
    <col min="11279" max="11279" width="12.42578125" style="77" bestFit="1" customWidth="1"/>
    <col min="11280" max="11513" width="9.140625" style="77"/>
    <col min="11514" max="11515" width="10" style="77" customWidth="1"/>
    <col min="11516" max="11516" width="9.140625" style="77"/>
    <col min="11517" max="11517" width="29.140625" style="77" customWidth="1"/>
    <col min="11518" max="11518" width="12.85546875" style="77" customWidth="1"/>
    <col min="11519" max="11520" width="13.140625" style="77" customWidth="1"/>
    <col min="11521" max="11521" width="9.140625" style="77"/>
    <col min="11522" max="11522" width="12.85546875" style="77" customWidth="1"/>
    <col min="11523" max="11523" width="9.140625" style="77"/>
    <col min="11524" max="11524" width="10.42578125" style="77" customWidth="1"/>
    <col min="11525" max="11526" width="13.140625" style="77" customWidth="1"/>
    <col min="11527" max="11527" width="11.7109375" style="77" customWidth="1"/>
    <col min="11528" max="11528" width="14.85546875" style="77" customWidth="1"/>
    <col min="11529" max="11529" width="13.42578125" style="77" bestFit="1" customWidth="1"/>
    <col min="11530" max="11530" width="14.85546875" style="77" customWidth="1"/>
    <col min="11531" max="11531" width="13.42578125" style="77" bestFit="1" customWidth="1"/>
    <col min="11532" max="11532" width="14.85546875" style="77" customWidth="1"/>
    <col min="11533" max="11533" width="16.5703125" style="77" customWidth="1"/>
    <col min="11534" max="11534" width="10.5703125" style="77" customWidth="1"/>
    <col min="11535" max="11535" width="12.42578125" style="77" bestFit="1" customWidth="1"/>
    <col min="11536" max="11769" width="9.140625" style="77"/>
    <col min="11770" max="11771" width="10" style="77" customWidth="1"/>
    <col min="11772" max="11772" width="9.140625" style="77"/>
    <col min="11773" max="11773" width="29.140625" style="77" customWidth="1"/>
    <col min="11774" max="11774" width="12.85546875" style="77" customWidth="1"/>
    <col min="11775" max="11776" width="13.140625" style="77" customWidth="1"/>
    <col min="11777" max="11777" width="9.140625" style="77"/>
    <col min="11778" max="11778" width="12.85546875" style="77" customWidth="1"/>
    <col min="11779" max="11779" width="9.140625" style="77"/>
    <col min="11780" max="11780" width="10.42578125" style="77" customWidth="1"/>
    <col min="11781" max="11782" width="13.140625" style="77" customWidth="1"/>
    <col min="11783" max="11783" width="11.7109375" style="77" customWidth="1"/>
    <col min="11784" max="11784" width="14.85546875" style="77" customWidth="1"/>
    <col min="11785" max="11785" width="13.42578125" style="77" bestFit="1" customWidth="1"/>
    <col min="11786" max="11786" width="14.85546875" style="77" customWidth="1"/>
    <col min="11787" max="11787" width="13.42578125" style="77" bestFit="1" customWidth="1"/>
    <col min="11788" max="11788" width="14.85546875" style="77" customWidth="1"/>
    <col min="11789" max="11789" width="16.5703125" style="77" customWidth="1"/>
    <col min="11790" max="11790" width="10.5703125" style="77" customWidth="1"/>
    <col min="11791" max="11791" width="12.42578125" style="77" bestFit="1" customWidth="1"/>
    <col min="11792" max="12025" width="9.140625" style="77"/>
    <col min="12026" max="12027" width="10" style="77" customWidth="1"/>
    <col min="12028" max="12028" width="9.140625" style="77"/>
    <col min="12029" max="12029" width="29.140625" style="77" customWidth="1"/>
    <col min="12030" max="12030" width="12.85546875" style="77" customWidth="1"/>
    <col min="12031" max="12032" width="13.140625" style="77" customWidth="1"/>
    <col min="12033" max="12033" width="9.140625" style="77"/>
    <col min="12034" max="12034" width="12.85546875" style="77" customWidth="1"/>
    <col min="12035" max="12035" width="9.140625" style="77"/>
    <col min="12036" max="12036" width="10.42578125" style="77" customWidth="1"/>
    <col min="12037" max="12038" width="13.140625" style="77" customWidth="1"/>
    <col min="12039" max="12039" width="11.7109375" style="77" customWidth="1"/>
    <col min="12040" max="12040" width="14.85546875" style="77" customWidth="1"/>
    <col min="12041" max="12041" width="13.42578125" style="77" bestFit="1" customWidth="1"/>
    <col min="12042" max="12042" width="14.85546875" style="77" customWidth="1"/>
    <col min="12043" max="12043" width="13.42578125" style="77" bestFit="1" customWidth="1"/>
    <col min="12044" max="12044" width="14.85546875" style="77" customWidth="1"/>
    <col min="12045" max="12045" width="16.5703125" style="77" customWidth="1"/>
    <col min="12046" max="12046" width="10.5703125" style="77" customWidth="1"/>
    <col min="12047" max="12047" width="12.42578125" style="77" bestFit="1" customWidth="1"/>
    <col min="12048" max="12281" width="9.140625" style="77"/>
    <col min="12282" max="12283" width="10" style="77" customWidth="1"/>
    <col min="12284" max="12284" width="9.140625" style="77"/>
    <col min="12285" max="12285" width="29.140625" style="77" customWidth="1"/>
    <col min="12286" max="12286" width="12.85546875" style="77" customWidth="1"/>
    <col min="12287" max="12288" width="13.140625" style="77" customWidth="1"/>
    <col min="12289" max="12289" width="9.140625" style="77"/>
    <col min="12290" max="12290" width="12.85546875" style="77" customWidth="1"/>
    <col min="12291" max="12291" width="9.140625" style="77"/>
    <col min="12292" max="12292" width="10.42578125" style="77" customWidth="1"/>
    <col min="12293" max="12294" width="13.140625" style="77" customWidth="1"/>
    <col min="12295" max="12295" width="11.7109375" style="77" customWidth="1"/>
    <col min="12296" max="12296" width="14.85546875" style="77" customWidth="1"/>
    <col min="12297" max="12297" width="13.42578125" style="77" bestFit="1" customWidth="1"/>
    <col min="12298" max="12298" width="14.85546875" style="77" customWidth="1"/>
    <col min="12299" max="12299" width="13.42578125" style="77" bestFit="1" customWidth="1"/>
    <col min="12300" max="12300" width="14.85546875" style="77" customWidth="1"/>
    <col min="12301" max="12301" width="16.5703125" style="77" customWidth="1"/>
    <col min="12302" max="12302" width="10.5703125" style="77" customWidth="1"/>
    <col min="12303" max="12303" width="12.42578125" style="77" bestFit="1" customWidth="1"/>
    <col min="12304" max="12537" width="9.140625" style="77"/>
    <col min="12538" max="12539" width="10" style="77" customWidth="1"/>
    <col min="12540" max="12540" width="9.140625" style="77"/>
    <col min="12541" max="12541" width="29.140625" style="77" customWidth="1"/>
    <col min="12542" max="12542" width="12.85546875" style="77" customWidth="1"/>
    <col min="12543" max="12544" width="13.140625" style="77" customWidth="1"/>
    <col min="12545" max="12545" width="9.140625" style="77"/>
    <col min="12546" max="12546" width="12.85546875" style="77" customWidth="1"/>
    <col min="12547" max="12547" width="9.140625" style="77"/>
    <col min="12548" max="12548" width="10.42578125" style="77" customWidth="1"/>
    <col min="12549" max="12550" width="13.140625" style="77" customWidth="1"/>
    <col min="12551" max="12551" width="11.7109375" style="77" customWidth="1"/>
    <col min="12552" max="12552" width="14.85546875" style="77" customWidth="1"/>
    <col min="12553" max="12553" width="13.42578125" style="77" bestFit="1" customWidth="1"/>
    <col min="12554" max="12554" width="14.85546875" style="77" customWidth="1"/>
    <col min="12555" max="12555" width="13.42578125" style="77" bestFit="1" customWidth="1"/>
    <col min="12556" max="12556" width="14.85546875" style="77" customWidth="1"/>
    <col min="12557" max="12557" width="16.5703125" style="77" customWidth="1"/>
    <col min="12558" max="12558" width="10.5703125" style="77" customWidth="1"/>
    <col min="12559" max="12559" width="12.42578125" style="77" bestFit="1" customWidth="1"/>
    <col min="12560" max="12793" width="9.140625" style="77"/>
    <col min="12794" max="12795" width="10" style="77" customWidth="1"/>
    <col min="12796" max="12796" width="9.140625" style="77"/>
    <col min="12797" max="12797" width="29.140625" style="77" customWidth="1"/>
    <col min="12798" max="12798" width="12.85546875" style="77" customWidth="1"/>
    <col min="12799" max="12800" width="13.140625" style="77" customWidth="1"/>
    <col min="12801" max="12801" width="9.140625" style="77"/>
    <col min="12802" max="12802" width="12.85546875" style="77" customWidth="1"/>
    <col min="12803" max="12803" width="9.140625" style="77"/>
    <col min="12804" max="12804" width="10.42578125" style="77" customWidth="1"/>
    <col min="12805" max="12806" width="13.140625" style="77" customWidth="1"/>
    <col min="12807" max="12807" width="11.7109375" style="77" customWidth="1"/>
    <col min="12808" max="12808" width="14.85546875" style="77" customWidth="1"/>
    <col min="12809" max="12809" width="13.42578125" style="77" bestFit="1" customWidth="1"/>
    <col min="12810" max="12810" width="14.85546875" style="77" customWidth="1"/>
    <col min="12811" max="12811" width="13.42578125" style="77" bestFit="1" customWidth="1"/>
    <col min="12812" max="12812" width="14.85546875" style="77" customWidth="1"/>
    <col min="12813" max="12813" width="16.5703125" style="77" customWidth="1"/>
    <col min="12814" max="12814" width="10.5703125" style="77" customWidth="1"/>
    <col min="12815" max="12815" width="12.42578125" style="77" bestFit="1" customWidth="1"/>
    <col min="12816" max="13049" width="9.140625" style="77"/>
    <col min="13050" max="13051" width="10" style="77" customWidth="1"/>
    <col min="13052" max="13052" width="9.140625" style="77"/>
    <col min="13053" max="13053" width="29.140625" style="77" customWidth="1"/>
    <col min="13054" max="13054" width="12.85546875" style="77" customWidth="1"/>
    <col min="13055" max="13056" width="13.140625" style="77" customWidth="1"/>
    <col min="13057" max="13057" width="9.140625" style="77"/>
    <col min="13058" max="13058" width="12.85546875" style="77" customWidth="1"/>
    <col min="13059" max="13059" width="9.140625" style="77"/>
    <col min="13060" max="13060" width="10.42578125" style="77" customWidth="1"/>
    <col min="13061" max="13062" width="13.140625" style="77" customWidth="1"/>
    <col min="13063" max="13063" width="11.7109375" style="77" customWidth="1"/>
    <col min="13064" max="13064" width="14.85546875" style="77" customWidth="1"/>
    <col min="13065" max="13065" width="13.42578125" style="77" bestFit="1" customWidth="1"/>
    <col min="13066" max="13066" width="14.85546875" style="77" customWidth="1"/>
    <col min="13067" max="13067" width="13.42578125" style="77" bestFit="1" customWidth="1"/>
    <col min="13068" max="13068" width="14.85546875" style="77" customWidth="1"/>
    <col min="13069" max="13069" width="16.5703125" style="77" customWidth="1"/>
    <col min="13070" max="13070" width="10.5703125" style="77" customWidth="1"/>
    <col min="13071" max="13071" width="12.42578125" style="77" bestFit="1" customWidth="1"/>
    <col min="13072" max="13305" width="9.140625" style="77"/>
    <col min="13306" max="13307" width="10" style="77" customWidth="1"/>
    <col min="13308" max="13308" width="9.140625" style="77"/>
    <col min="13309" max="13309" width="29.140625" style="77" customWidth="1"/>
    <col min="13310" max="13310" width="12.85546875" style="77" customWidth="1"/>
    <col min="13311" max="13312" width="13.140625" style="77" customWidth="1"/>
    <col min="13313" max="13313" width="9.140625" style="77"/>
    <col min="13314" max="13314" width="12.85546875" style="77" customWidth="1"/>
    <col min="13315" max="13315" width="9.140625" style="77"/>
    <col min="13316" max="13316" width="10.42578125" style="77" customWidth="1"/>
    <col min="13317" max="13318" width="13.140625" style="77" customWidth="1"/>
    <col min="13319" max="13319" width="11.7109375" style="77" customWidth="1"/>
    <col min="13320" max="13320" width="14.85546875" style="77" customWidth="1"/>
    <col min="13321" max="13321" width="13.42578125" style="77" bestFit="1" customWidth="1"/>
    <col min="13322" max="13322" width="14.85546875" style="77" customWidth="1"/>
    <col min="13323" max="13323" width="13.42578125" style="77" bestFit="1" customWidth="1"/>
    <col min="13324" max="13324" width="14.85546875" style="77" customWidth="1"/>
    <col min="13325" max="13325" width="16.5703125" style="77" customWidth="1"/>
    <col min="13326" max="13326" width="10.5703125" style="77" customWidth="1"/>
    <col min="13327" max="13327" width="12.42578125" style="77" bestFit="1" customWidth="1"/>
    <col min="13328" max="13561" width="9.140625" style="77"/>
    <col min="13562" max="13563" width="10" style="77" customWidth="1"/>
    <col min="13564" max="13564" width="9.140625" style="77"/>
    <col min="13565" max="13565" width="29.140625" style="77" customWidth="1"/>
    <col min="13566" max="13566" width="12.85546875" style="77" customWidth="1"/>
    <col min="13567" max="13568" width="13.140625" style="77" customWidth="1"/>
    <col min="13569" max="13569" width="9.140625" style="77"/>
    <col min="13570" max="13570" width="12.85546875" style="77" customWidth="1"/>
    <col min="13571" max="13571" width="9.140625" style="77"/>
    <col min="13572" max="13572" width="10.42578125" style="77" customWidth="1"/>
    <col min="13573" max="13574" width="13.140625" style="77" customWidth="1"/>
    <col min="13575" max="13575" width="11.7109375" style="77" customWidth="1"/>
    <col min="13576" max="13576" width="14.85546875" style="77" customWidth="1"/>
    <col min="13577" max="13577" width="13.42578125" style="77" bestFit="1" customWidth="1"/>
    <col min="13578" max="13578" width="14.85546875" style="77" customWidth="1"/>
    <col min="13579" max="13579" width="13.42578125" style="77" bestFit="1" customWidth="1"/>
    <col min="13580" max="13580" width="14.85546875" style="77" customWidth="1"/>
    <col min="13581" max="13581" width="16.5703125" style="77" customWidth="1"/>
    <col min="13582" max="13582" width="10.5703125" style="77" customWidth="1"/>
    <col min="13583" max="13583" width="12.42578125" style="77" bestFit="1" customWidth="1"/>
    <col min="13584" max="13817" width="9.140625" style="77"/>
    <col min="13818" max="13819" width="10" style="77" customWidth="1"/>
    <col min="13820" max="13820" width="9.140625" style="77"/>
    <col min="13821" max="13821" width="29.140625" style="77" customWidth="1"/>
    <col min="13822" max="13822" width="12.85546875" style="77" customWidth="1"/>
    <col min="13823" max="13824" width="13.140625" style="77" customWidth="1"/>
    <col min="13825" max="13825" width="9.140625" style="77"/>
    <col min="13826" max="13826" width="12.85546875" style="77" customWidth="1"/>
    <col min="13827" max="13827" width="9.140625" style="77"/>
    <col min="13828" max="13828" width="10.42578125" style="77" customWidth="1"/>
    <col min="13829" max="13830" width="13.140625" style="77" customWidth="1"/>
    <col min="13831" max="13831" width="11.7109375" style="77" customWidth="1"/>
    <col min="13832" max="13832" width="14.85546875" style="77" customWidth="1"/>
    <col min="13833" max="13833" width="13.42578125" style="77" bestFit="1" customWidth="1"/>
    <col min="13834" max="13834" width="14.85546875" style="77" customWidth="1"/>
    <col min="13835" max="13835" width="13.42578125" style="77" bestFit="1" customWidth="1"/>
    <col min="13836" max="13836" width="14.85546875" style="77" customWidth="1"/>
    <col min="13837" max="13837" width="16.5703125" style="77" customWidth="1"/>
    <col min="13838" max="13838" width="10.5703125" style="77" customWidth="1"/>
    <col min="13839" max="13839" width="12.42578125" style="77" bestFit="1" customWidth="1"/>
    <col min="13840" max="14073" width="9.140625" style="77"/>
    <col min="14074" max="14075" width="10" style="77" customWidth="1"/>
    <col min="14076" max="14076" width="9.140625" style="77"/>
    <col min="14077" max="14077" width="29.140625" style="77" customWidth="1"/>
    <col min="14078" max="14078" width="12.85546875" style="77" customWidth="1"/>
    <col min="14079" max="14080" width="13.140625" style="77" customWidth="1"/>
    <col min="14081" max="14081" width="9.140625" style="77"/>
    <col min="14082" max="14082" width="12.85546875" style="77" customWidth="1"/>
    <col min="14083" max="14083" width="9.140625" style="77"/>
    <col min="14084" max="14084" width="10.42578125" style="77" customWidth="1"/>
    <col min="14085" max="14086" width="13.140625" style="77" customWidth="1"/>
    <col min="14087" max="14087" width="11.7109375" style="77" customWidth="1"/>
    <col min="14088" max="14088" width="14.85546875" style="77" customWidth="1"/>
    <col min="14089" max="14089" width="13.42578125" style="77" bestFit="1" customWidth="1"/>
    <col min="14090" max="14090" width="14.85546875" style="77" customWidth="1"/>
    <col min="14091" max="14091" width="13.42578125" style="77" bestFit="1" customWidth="1"/>
    <col min="14092" max="14092" width="14.85546875" style="77" customWidth="1"/>
    <col min="14093" max="14093" width="16.5703125" style="77" customWidth="1"/>
    <col min="14094" max="14094" width="10.5703125" style="77" customWidth="1"/>
    <col min="14095" max="14095" width="12.42578125" style="77" bestFit="1" customWidth="1"/>
    <col min="14096" max="14329" width="9.140625" style="77"/>
    <col min="14330" max="14331" width="10" style="77" customWidth="1"/>
    <col min="14332" max="14332" width="9.140625" style="77"/>
    <col min="14333" max="14333" width="29.140625" style="77" customWidth="1"/>
    <col min="14334" max="14334" width="12.85546875" style="77" customWidth="1"/>
    <col min="14335" max="14336" width="13.140625" style="77" customWidth="1"/>
    <col min="14337" max="14337" width="9.140625" style="77"/>
    <col min="14338" max="14338" width="12.85546875" style="77" customWidth="1"/>
    <col min="14339" max="14339" width="9.140625" style="77"/>
    <col min="14340" max="14340" width="10.42578125" style="77" customWidth="1"/>
    <col min="14341" max="14342" width="13.140625" style="77" customWidth="1"/>
    <col min="14343" max="14343" width="11.7109375" style="77" customWidth="1"/>
    <col min="14344" max="14344" width="14.85546875" style="77" customWidth="1"/>
    <col min="14345" max="14345" width="13.42578125" style="77" bestFit="1" customWidth="1"/>
    <col min="14346" max="14346" width="14.85546875" style="77" customWidth="1"/>
    <col min="14347" max="14347" width="13.42578125" style="77" bestFit="1" customWidth="1"/>
    <col min="14348" max="14348" width="14.85546875" style="77" customWidth="1"/>
    <col min="14349" max="14349" width="16.5703125" style="77" customWidth="1"/>
    <col min="14350" max="14350" width="10.5703125" style="77" customWidth="1"/>
    <col min="14351" max="14351" width="12.42578125" style="77" bestFit="1" customWidth="1"/>
    <col min="14352" max="14585" width="9.140625" style="77"/>
    <col min="14586" max="14587" width="10" style="77" customWidth="1"/>
    <col min="14588" max="14588" width="9.140625" style="77"/>
    <col min="14589" max="14589" width="29.140625" style="77" customWidth="1"/>
    <col min="14590" max="14590" width="12.85546875" style="77" customWidth="1"/>
    <col min="14591" max="14592" width="13.140625" style="77" customWidth="1"/>
    <col min="14593" max="14593" width="9.140625" style="77"/>
    <col min="14594" max="14594" width="12.85546875" style="77" customWidth="1"/>
    <col min="14595" max="14595" width="9.140625" style="77"/>
    <col min="14596" max="14596" width="10.42578125" style="77" customWidth="1"/>
    <col min="14597" max="14598" width="13.140625" style="77" customWidth="1"/>
    <col min="14599" max="14599" width="11.7109375" style="77" customWidth="1"/>
    <col min="14600" max="14600" width="14.85546875" style="77" customWidth="1"/>
    <col min="14601" max="14601" width="13.42578125" style="77" bestFit="1" customWidth="1"/>
    <col min="14602" max="14602" width="14.85546875" style="77" customWidth="1"/>
    <col min="14603" max="14603" width="13.42578125" style="77" bestFit="1" customWidth="1"/>
    <col min="14604" max="14604" width="14.85546875" style="77" customWidth="1"/>
    <col min="14605" max="14605" width="16.5703125" style="77" customWidth="1"/>
    <col min="14606" max="14606" width="10.5703125" style="77" customWidth="1"/>
    <col min="14607" max="14607" width="12.42578125" style="77" bestFit="1" customWidth="1"/>
    <col min="14608" max="14841" width="9.140625" style="77"/>
    <col min="14842" max="14843" width="10" style="77" customWidth="1"/>
    <col min="14844" max="14844" width="9.140625" style="77"/>
    <col min="14845" max="14845" width="29.140625" style="77" customWidth="1"/>
    <col min="14846" max="14846" width="12.85546875" style="77" customWidth="1"/>
    <col min="14847" max="14848" width="13.140625" style="77" customWidth="1"/>
    <col min="14849" max="14849" width="9.140625" style="77"/>
    <col min="14850" max="14850" width="12.85546875" style="77" customWidth="1"/>
    <col min="14851" max="14851" width="9.140625" style="77"/>
    <col min="14852" max="14852" width="10.42578125" style="77" customWidth="1"/>
    <col min="14853" max="14854" width="13.140625" style="77" customWidth="1"/>
    <col min="14855" max="14855" width="11.7109375" style="77" customWidth="1"/>
    <col min="14856" max="14856" width="14.85546875" style="77" customWidth="1"/>
    <col min="14857" max="14857" width="13.42578125" style="77" bestFit="1" customWidth="1"/>
    <col min="14858" max="14858" width="14.85546875" style="77" customWidth="1"/>
    <col min="14859" max="14859" width="13.42578125" style="77" bestFit="1" customWidth="1"/>
    <col min="14860" max="14860" width="14.85546875" style="77" customWidth="1"/>
    <col min="14861" max="14861" width="16.5703125" style="77" customWidth="1"/>
    <col min="14862" max="14862" width="10.5703125" style="77" customWidth="1"/>
    <col min="14863" max="14863" width="12.42578125" style="77" bestFit="1" customWidth="1"/>
    <col min="14864" max="15097" width="9.140625" style="77"/>
    <col min="15098" max="15099" width="10" style="77" customWidth="1"/>
    <col min="15100" max="15100" width="9.140625" style="77"/>
    <col min="15101" max="15101" width="29.140625" style="77" customWidth="1"/>
    <col min="15102" max="15102" width="12.85546875" style="77" customWidth="1"/>
    <col min="15103" max="15104" width="13.140625" style="77" customWidth="1"/>
    <col min="15105" max="15105" width="9.140625" style="77"/>
    <col min="15106" max="15106" width="12.85546875" style="77" customWidth="1"/>
    <col min="15107" max="15107" width="9.140625" style="77"/>
    <col min="15108" max="15108" width="10.42578125" style="77" customWidth="1"/>
    <col min="15109" max="15110" width="13.140625" style="77" customWidth="1"/>
    <col min="15111" max="15111" width="11.7109375" style="77" customWidth="1"/>
    <col min="15112" max="15112" width="14.85546875" style="77" customWidth="1"/>
    <col min="15113" max="15113" width="13.42578125" style="77" bestFit="1" customWidth="1"/>
    <col min="15114" max="15114" width="14.85546875" style="77" customWidth="1"/>
    <col min="15115" max="15115" width="13.42578125" style="77" bestFit="1" customWidth="1"/>
    <col min="15116" max="15116" width="14.85546875" style="77" customWidth="1"/>
    <col min="15117" max="15117" width="16.5703125" style="77" customWidth="1"/>
    <col min="15118" max="15118" width="10.5703125" style="77" customWidth="1"/>
    <col min="15119" max="15119" width="12.42578125" style="77" bestFit="1" customWidth="1"/>
    <col min="15120" max="15353" width="9.140625" style="77"/>
    <col min="15354" max="15355" width="10" style="77" customWidth="1"/>
    <col min="15356" max="15356" width="9.140625" style="77"/>
    <col min="15357" max="15357" width="29.140625" style="77" customWidth="1"/>
    <col min="15358" max="15358" width="12.85546875" style="77" customWidth="1"/>
    <col min="15359" max="15360" width="13.140625" style="77" customWidth="1"/>
    <col min="15361" max="15361" width="9.140625" style="77"/>
    <col min="15362" max="15362" width="12.85546875" style="77" customWidth="1"/>
    <col min="15363" max="15363" width="9.140625" style="77"/>
    <col min="15364" max="15364" width="10.42578125" style="77" customWidth="1"/>
    <col min="15365" max="15366" width="13.140625" style="77" customWidth="1"/>
    <col min="15367" max="15367" width="11.7109375" style="77" customWidth="1"/>
    <col min="15368" max="15368" width="14.85546875" style="77" customWidth="1"/>
    <col min="15369" max="15369" width="13.42578125" style="77" bestFit="1" customWidth="1"/>
    <col min="15370" max="15370" width="14.85546875" style="77" customWidth="1"/>
    <col min="15371" max="15371" width="13.42578125" style="77" bestFit="1" customWidth="1"/>
    <col min="15372" max="15372" width="14.85546875" style="77" customWidth="1"/>
    <col min="15373" max="15373" width="16.5703125" style="77" customWidth="1"/>
    <col min="15374" max="15374" width="10.5703125" style="77" customWidth="1"/>
    <col min="15375" max="15375" width="12.42578125" style="77" bestFit="1" customWidth="1"/>
    <col min="15376" max="15609" width="9.140625" style="77"/>
    <col min="15610" max="15611" width="10" style="77" customWidth="1"/>
    <col min="15612" max="15612" width="9.140625" style="77"/>
    <col min="15613" max="15613" width="29.140625" style="77" customWidth="1"/>
    <col min="15614" max="15614" width="12.85546875" style="77" customWidth="1"/>
    <col min="15615" max="15616" width="13.140625" style="77" customWidth="1"/>
    <col min="15617" max="15617" width="9.140625" style="77"/>
    <col min="15618" max="15618" width="12.85546875" style="77" customWidth="1"/>
    <col min="15619" max="15619" width="9.140625" style="77"/>
    <col min="15620" max="15620" width="10.42578125" style="77" customWidth="1"/>
    <col min="15621" max="15622" width="13.140625" style="77" customWidth="1"/>
    <col min="15623" max="15623" width="11.7109375" style="77" customWidth="1"/>
    <col min="15624" max="15624" width="14.85546875" style="77" customWidth="1"/>
    <col min="15625" max="15625" width="13.42578125" style="77" bestFit="1" customWidth="1"/>
    <col min="15626" max="15626" width="14.85546875" style="77" customWidth="1"/>
    <col min="15627" max="15627" width="13.42578125" style="77" bestFit="1" customWidth="1"/>
    <col min="15628" max="15628" width="14.85546875" style="77" customWidth="1"/>
    <col min="15629" max="15629" width="16.5703125" style="77" customWidth="1"/>
    <col min="15630" max="15630" width="10.5703125" style="77" customWidth="1"/>
    <col min="15631" max="15631" width="12.42578125" style="77" bestFit="1" customWidth="1"/>
    <col min="15632" max="15865" width="9.140625" style="77"/>
    <col min="15866" max="15867" width="10" style="77" customWidth="1"/>
    <col min="15868" max="15868" width="9.140625" style="77"/>
    <col min="15869" max="15869" width="29.140625" style="77" customWidth="1"/>
    <col min="15870" max="15870" width="12.85546875" style="77" customWidth="1"/>
    <col min="15871" max="15872" width="13.140625" style="77" customWidth="1"/>
    <col min="15873" max="15873" width="9.140625" style="77"/>
    <col min="15874" max="15874" width="12.85546875" style="77" customWidth="1"/>
    <col min="15875" max="15875" width="9.140625" style="77"/>
    <col min="15876" max="15876" width="10.42578125" style="77" customWidth="1"/>
    <col min="15877" max="15878" width="13.140625" style="77" customWidth="1"/>
    <col min="15879" max="15879" width="11.7109375" style="77" customWidth="1"/>
    <col min="15880" max="15880" width="14.85546875" style="77" customWidth="1"/>
    <col min="15881" max="15881" width="13.42578125" style="77" bestFit="1" customWidth="1"/>
    <col min="15882" max="15882" width="14.85546875" style="77" customWidth="1"/>
    <col min="15883" max="15883" width="13.42578125" style="77" bestFit="1" customWidth="1"/>
    <col min="15884" max="15884" width="14.85546875" style="77" customWidth="1"/>
    <col min="15885" max="15885" width="16.5703125" style="77" customWidth="1"/>
    <col min="15886" max="15886" width="10.5703125" style="77" customWidth="1"/>
    <col min="15887" max="15887" width="12.42578125" style="77" bestFit="1" customWidth="1"/>
    <col min="15888" max="16121" width="9.140625" style="77"/>
    <col min="16122" max="16123" width="10" style="77" customWidth="1"/>
    <col min="16124" max="16124" width="9.140625" style="77"/>
    <col min="16125" max="16125" width="29.140625" style="77" customWidth="1"/>
    <col min="16126" max="16126" width="12.85546875" style="77" customWidth="1"/>
    <col min="16127" max="16128" width="13.140625" style="77" customWidth="1"/>
    <col min="16129" max="16129" width="9.140625" style="77"/>
    <col min="16130" max="16130" width="12.85546875" style="77" customWidth="1"/>
    <col min="16131" max="16131" width="9.140625" style="77"/>
    <col min="16132" max="16132" width="10.42578125" style="77" customWidth="1"/>
    <col min="16133" max="16134" width="13.140625" style="77" customWidth="1"/>
    <col min="16135" max="16135" width="11.7109375" style="77" customWidth="1"/>
    <col min="16136" max="16136" width="14.85546875" style="77" customWidth="1"/>
    <col min="16137" max="16137" width="13.42578125" style="77" bestFit="1" customWidth="1"/>
    <col min="16138" max="16138" width="14.85546875" style="77" customWidth="1"/>
    <col min="16139" max="16139" width="13.42578125" style="77" bestFit="1" customWidth="1"/>
    <col min="16140" max="16140" width="14.85546875" style="77" customWidth="1"/>
    <col min="16141" max="16141" width="16.5703125" style="77" customWidth="1"/>
    <col min="16142" max="16142" width="10.5703125" style="77" customWidth="1"/>
    <col min="16143" max="16143" width="12.42578125" style="77" bestFit="1" customWidth="1"/>
    <col min="16144" max="16384" width="9.140625" style="77"/>
  </cols>
  <sheetData>
    <row r="1" spans="1:22" x14ac:dyDescent="0.2">
      <c r="A1" s="75" t="s">
        <v>102</v>
      </c>
      <c r="B1" s="76"/>
      <c r="M1" s="371"/>
    </row>
    <row r="2" spans="1:22" x14ac:dyDescent="0.2">
      <c r="A2" s="76" t="s">
        <v>0</v>
      </c>
      <c r="B2" s="76"/>
      <c r="J2" s="97" t="s">
        <v>103</v>
      </c>
      <c r="M2" s="371" t="s">
        <v>104</v>
      </c>
    </row>
    <row r="3" spans="1:22" x14ac:dyDescent="0.2">
      <c r="A3" s="76" t="s">
        <v>146</v>
      </c>
      <c r="B3" s="76"/>
      <c r="J3" s="97"/>
    </row>
    <row r="4" spans="1:22" x14ac:dyDescent="0.2">
      <c r="A4" s="192" t="s">
        <v>113</v>
      </c>
      <c r="B4" s="371" t="s">
        <v>148</v>
      </c>
      <c r="J4" s="192" t="s">
        <v>92</v>
      </c>
      <c r="M4" s="371" t="s">
        <v>151</v>
      </c>
    </row>
    <row r="5" spans="1:22" x14ac:dyDescent="0.2">
      <c r="A5" s="76"/>
      <c r="B5" s="76"/>
    </row>
    <row r="6" spans="1:22" x14ac:dyDescent="0.2">
      <c r="A6" s="76" t="s">
        <v>1</v>
      </c>
      <c r="B6" s="188">
        <v>2012</v>
      </c>
    </row>
    <row r="8" spans="1:22" s="81" customFormat="1" ht="38.25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O8" s="83"/>
      <c r="P8" s="83"/>
      <c r="Q8" s="83"/>
      <c r="R8" s="83"/>
      <c r="S8" s="83"/>
      <c r="T8" s="83"/>
      <c r="U8" s="83"/>
      <c r="V8" s="83"/>
    </row>
    <row r="9" spans="1:22" x14ac:dyDescent="0.2">
      <c r="A9" s="203" t="s">
        <v>149</v>
      </c>
      <c r="B9" s="206" t="s">
        <v>145</v>
      </c>
      <c r="C9" s="206">
        <f>1998-19</f>
        <v>1979</v>
      </c>
      <c r="D9" s="206">
        <v>25</v>
      </c>
      <c r="E9" s="206">
        <f>+C9+D9-1</f>
        <v>2003</v>
      </c>
      <c r="F9" s="207">
        <f t="shared" ref="F9:F42" si="0">IF(D9&gt;0,1/D9,0)</f>
        <v>0.04</v>
      </c>
      <c r="G9" s="222">
        <v>816289.85</v>
      </c>
      <c r="H9" s="209">
        <f>IF(+G9&gt;0,IF(+$B$6-C9+1&gt;D9,D9,+$B$6-C9+1),0)</f>
        <v>25</v>
      </c>
      <c r="I9" s="209">
        <f>IF(E9&gt;=$B$6,+D9-H9,0)</f>
        <v>0</v>
      </c>
      <c r="J9" s="222">
        <f>24669</f>
        <v>24669</v>
      </c>
      <c r="K9" s="222">
        <f>24669</f>
        <v>24669</v>
      </c>
      <c r="L9" s="222">
        <f>692944.77+24669+24669+49338+24669.08</f>
        <v>816289.85</v>
      </c>
      <c r="M9" s="222">
        <f>+G9-L9</f>
        <v>0</v>
      </c>
      <c r="N9" s="206"/>
      <c r="P9" s="252">
        <f>+G9-L9</f>
        <v>0</v>
      </c>
    </row>
    <row r="10" spans="1:22" x14ac:dyDescent="0.2">
      <c r="A10" s="203"/>
      <c r="B10" s="205"/>
      <c r="C10" s="206"/>
      <c r="D10" s="206"/>
      <c r="E10" s="206"/>
      <c r="F10" s="207"/>
      <c r="G10" s="220"/>
      <c r="H10" s="255"/>
      <c r="I10" s="255"/>
      <c r="J10" s="220">
        <v>-24669</v>
      </c>
      <c r="K10" s="220">
        <v>-24669</v>
      </c>
      <c r="L10" s="220"/>
      <c r="M10" s="220"/>
      <c r="N10" s="206"/>
      <c r="P10" s="252">
        <f t="shared" ref="P10:P47" si="1">+G10-L10</f>
        <v>0</v>
      </c>
    </row>
    <row r="11" spans="1:22" x14ac:dyDescent="0.2">
      <c r="A11" s="203" t="s">
        <v>149</v>
      </c>
      <c r="B11" s="205">
        <v>29586</v>
      </c>
      <c r="C11" s="206">
        <v>1980</v>
      </c>
      <c r="D11" s="206">
        <v>25</v>
      </c>
      <c r="E11" s="206">
        <f t="shared" ref="E11:E42" si="2">+C11+D11-1</f>
        <v>2004</v>
      </c>
      <c r="F11" s="207">
        <f t="shared" si="0"/>
        <v>0.04</v>
      </c>
      <c r="G11" s="220">
        <v>36992.75</v>
      </c>
      <c r="H11" s="209">
        <f t="shared" ref="H11:H37" si="3">IF(+G11&gt;0,IF(+$B$6-C11+1&gt;D11,D11,+$B$6-C11+1),0)</f>
        <v>25</v>
      </c>
      <c r="I11" s="209">
        <f t="shared" ref="I11:I37" si="4">IF(E11&gt;=$B$6,+D11-H11,0)</f>
        <v>0</v>
      </c>
      <c r="J11" s="220">
        <f t="shared" ref="J11:J37" si="5">+G11*F11</f>
        <v>1479.71</v>
      </c>
      <c r="K11" s="220">
        <f t="shared" ref="K11:K37" si="6">IF(E11&gt;=$B$6,+J11,0)</f>
        <v>0</v>
      </c>
      <c r="L11" s="220">
        <f t="shared" ref="L11:L37" si="7">+J11*H11</f>
        <v>36992.75</v>
      </c>
      <c r="M11" s="220">
        <f t="shared" ref="M11:M38" si="8">+G11-L11</f>
        <v>0</v>
      </c>
      <c r="N11" s="206"/>
      <c r="P11" s="252">
        <f t="shared" si="1"/>
        <v>0</v>
      </c>
    </row>
    <row r="12" spans="1:22" x14ac:dyDescent="0.2">
      <c r="A12" s="203" t="s">
        <v>149</v>
      </c>
      <c r="B12" s="205">
        <v>29951</v>
      </c>
      <c r="C12" s="206">
        <v>1981</v>
      </c>
      <c r="D12" s="206">
        <v>25</v>
      </c>
      <c r="E12" s="206">
        <f t="shared" si="2"/>
        <v>2005</v>
      </c>
      <c r="F12" s="207">
        <f t="shared" si="0"/>
        <v>0.04</v>
      </c>
      <c r="G12" s="220">
        <v>40140.04</v>
      </c>
      <c r="H12" s="209">
        <f t="shared" si="3"/>
        <v>25</v>
      </c>
      <c r="I12" s="209">
        <f t="shared" si="4"/>
        <v>0</v>
      </c>
      <c r="J12" s="220">
        <f t="shared" si="5"/>
        <v>1605.6016</v>
      </c>
      <c r="K12" s="220">
        <f t="shared" si="6"/>
        <v>0</v>
      </c>
      <c r="L12" s="220">
        <f t="shared" si="7"/>
        <v>40140.04</v>
      </c>
      <c r="M12" s="220">
        <f t="shared" si="8"/>
        <v>0</v>
      </c>
      <c r="N12" s="206"/>
      <c r="P12" s="252">
        <f t="shared" si="1"/>
        <v>0</v>
      </c>
    </row>
    <row r="13" spans="1:22" x14ac:dyDescent="0.2">
      <c r="A13" s="203" t="s">
        <v>149</v>
      </c>
      <c r="B13" s="205">
        <v>30316</v>
      </c>
      <c r="C13" s="206">
        <v>1982</v>
      </c>
      <c r="D13" s="206">
        <v>25</v>
      </c>
      <c r="E13" s="206">
        <f t="shared" si="2"/>
        <v>2006</v>
      </c>
      <c r="F13" s="207">
        <f t="shared" si="0"/>
        <v>0.04</v>
      </c>
      <c r="G13" s="220">
        <v>25058.2</v>
      </c>
      <c r="H13" s="209">
        <f t="shared" si="3"/>
        <v>25</v>
      </c>
      <c r="I13" s="209">
        <f t="shared" si="4"/>
        <v>0</v>
      </c>
      <c r="J13" s="220">
        <f t="shared" si="5"/>
        <v>1002.3280000000001</v>
      </c>
      <c r="K13" s="220">
        <f t="shared" si="6"/>
        <v>0</v>
      </c>
      <c r="L13" s="220">
        <f t="shared" si="7"/>
        <v>25058.2</v>
      </c>
      <c r="M13" s="220">
        <f t="shared" si="8"/>
        <v>0</v>
      </c>
      <c r="N13" s="206"/>
      <c r="P13" s="252">
        <f t="shared" si="1"/>
        <v>0</v>
      </c>
    </row>
    <row r="14" spans="1:22" x14ac:dyDescent="0.2">
      <c r="A14" s="203" t="s">
        <v>149</v>
      </c>
      <c r="B14" s="205">
        <v>30681</v>
      </c>
      <c r="C14" s="206">
        <v>1983</v>
      </c>
      <c r="D14" s="206">
        <v>25</v>
      </c>
      <c r="E14" s="206">
        <f t="shared" si="2"/>
        <v>2007</v>
      </c>
      <c r="F14" s="207">
        <f t="shared" si="0"/>
        <v>0.04</v>
      </c>
      <c r="G14" s="220">
        <v>123288.74</v>
      </c>
      <c r="H14" s="209">
        <f t="shared" si="3"/>
        <v>25</v>
      </c>
      <c r="I14" s="209">
        <f t="shared" si="4"/>
        <v>0</v>
      </c>
      <c r="J14" s="220">
        <f t="shared" si="5"/>
        <v>4931.5496000000003</v>
      </c>
      <c r="K14" s="220">
        <f t="shared" si="6"/>
        <v>0</v>
      </c>
      <c r="L14" s="220">
        <f t="shared" si="7"/>
        <v>123288.74</v>
      </c>
      <c r="M14" s="220">
        <f t="shared" si="8"/>
        <v>0</v>
      </c>
      <c r="N14" s="206"/>
      <c r="P14" s="252">
        <f t="shared" si="1"/>
        <v>0</v>
      </c>
    </row>
    <row r="15" spans="1:22" x14ac:dyDescent="0.2">
      <c r="A15" s="203" t="s">
        <v>149</v>
      </c>
      <c r="B15" s="205">
        <v>31047</v>
      </c>
      <c r="C15" s="206">
        <v>1984</v>
      </c>
      <c r="D15" s="206">
        <v>25</v>
      </c>
      <c r="E15" s="206">
        <f t="shared" si="2"/>
        <v>2008</v>
      </c>
      <c r="F15" s="207">
        <f t="shared" si="0"/>
        <v>0.04</v>
      </c>
      <c r="G15" s="220">
        <v>15008.99</v>
      </c>
      <c r="H15" s="209">
        <f t="shared" si="3"/>
        <v>25</v>
      </c>
      <c r="I15" s="209">
        <f t="shared" si="4"/>
        <v>0</v>
      </c>
      <c r="J15" s="220">
        <f t="shared" si="5"/>
        <v>600.3596</v>
      </c>
      <c r="K15" s="220">
        <f t="shared" si="6"/>
        <v>0</v>
      </c>
      <c r="L15" s="220">
        <f t="shared" si="7"/>
        <v>15008.99</v>
      </c>
      <c r="M15" s="220">
        <f t="shared" si="8"/>
        <v>0</v>
      </c>
      <c r="N15" s="206"/>
      <c r="P15" s="252">
        <f t="shared" si="1"/>
        <v>0</v>
      </c>
    </row>
    <row r="16" spans="1:22" x14ac:dyDescent="0.2">
      <c r="A16" s="203" t="s">
        <v>149</v>
      </c>
      <c r="B16" s="205">
        <v>31412</v>
      </c>
      <c r="C16" s="206">
        <v>1985</v>
      </c>
      <c r="D16" s="206">
        <v>25</v>
      </c>
      <c r="E16" s="206">
        <f t="shared" si="2"/>
        <v>2009</v>
      </c>
      <c r="F16" s="207">
        <f t="shared" si="0"/>
        <v>0.04</v>
      </c>
      <c r="G16" s="220">
        <v>63437.86</v>
      </c>
      <c r="H16" s="209">
        <f t="shared" si="3"/>
        <v>25</v>
      </c>
      <c r="I16" s="209">
        <f t="shared" si="4"/>
        <v>0</v>
      </c>
      <c r="J16" s="220">
        <f t="shared" si="5"/>
        <v>2537.5144</v>
      </c>
      <c r="K16" s="220">
        <f t="shared" si="6"/>
        <v>0</v>
      </c>
      <c r="L16" s="220">
        <f t="shared" si="7"/>
        <v>63437.86</v>
      </c>
      <c r="M16" s="220">
        <f t="shared" si="8"/>
        <v>0</v>
      </c>
      <c r="N16" s="206"/>
      <c r="P16" s="252">
        <f t="shared" si="1"/>
        <v>0</v>
      </c>
      <c r="R16" s="77" t="s">
        <v>301</v>
      </c>
    </row>
    <row r="17" spans="1:22" x14ac:dyDescent="0.2">
      <c r="A17" s="203" t="s">
        <v>149</v>
      </c>
      <c r="B17" s="205">
        <v>31777</v>
      </c>
      <c r="C17" s="206">
        <v>1986</v>
      </c>
      <c r="D17" s="206">
        <v>25</v>
      </c>
      <c r="E17" s="206">
        <f t="shared" si="2"/>
        <v>2010</v>
      </c>
      <c r="F17" s="207">
        <f t="shared" si="0"/>
        <v>0.04</v>
      </c>
      <c r="G17" s="220">
        <v>115175.9</v>
      </c>
      <c r="H17" s="209">
        <f t="shared" si="3"/>
        <v>25</v>
      </c>
      <c r="I17" s="209">
        <f t="shared" si="4"/>
        <v>0</v>
      </c>
      <c r="J17" s="220">
        <f t="shared" si="5"/>
        <v>4607.0360000000001</v>
      </c>
      <c r="K17" s="220">
        <f t="shared" si="6"/>
        <v>0</v>
      </c>
      <c r="L17" s="220">
        <f t="shared" si="7"/>
        <v>115175.9</v>
      </c>
      <c r="M17" s="220">
        <f t="shared" si="8"/>
        <v>0</v>
      </c>
      <c r="N17" s="206"/>
      <c r="P17" s="252">
        <f t="shared" si="1"/>
        <v>0</v>
      </c>
      <c r="R17" s="77">
        <v>40</v>
      </c>
    </row>
    <row r="18" spans="1:22" x14ac:dyDescent="0.2">
      <c r="A18" s="203" t="s">
        <v>149</v>
      </c>
      <c r="B18" s="205">
        <v>32142</v>
      </c>
      <c r="C18" s="206">
        <v>1987</v>
      </c>
      <c r="D18" s="206">
        <v>25</v>
      </c>
      <c r="E18" s="206">
        <f t="shared" si="2"/>
        <v>2011</v>
      </c>
      <c r="F18" s="207">
        <f t="shared" si="0"/>
        <v>0.04</v>
      </c>
      <c r="G18" s="220">
        <v>153870.91</v>
      </c>
      <c r="H18" s="209">
        <f t="shared" si="3"/>
        <v>25</v>
      </c>
      <c r="I18" s="209">
        <f t="shared" si="4"/>
        <v>0</v>
      </c>
      <c r="J18" s="220">
        <f t="shared" si="5"/>
        <v>6154.8364000000001</v>
      </c>
      <c r="K18" s="220">
        <f t="shared" si="6"/>
        <v>0</v>
      </c>
      <c r="L18" s="220">
        <f t="shared" si="7"/>
        <v>153870.91</v>
      </c>
      <c r="M18" s="220">
        <f t="shared" si="8"/>
        <v>0</v>
      </c>
      <c r="N18" s="206"/>
      <c r="P18" s="252">
        <f t="shared" si="1"/>
        <v>0</v>
      </c>
    </row>
    <row r="19" spans="1:22" x14ac:dyDescent="0.2">
      <c r="A19" s="203" t="s">
        <v>149</v>
      </c>
      <c r="B19" s="205">
        <v>32508</v>
      </c>
      <c r="C19" s="206">
        <v>1988</v>
      </c>
      <c r="D19" s="206">
        <v>25</v>
      </c>
      <c r="E19" s="206">
        <f t="shared" si="2"/>
        <v>2012</v>
      </c>
      <c r="F19" s="207">
        <f t="shared" si="0"/>
        <v>0.04</v>
      </c>
      <c r="G19" s="220">
        <v>153294.46</v>
      </c>
      <c r="H19" s="209">
        <f t="shared" si="3"/>
        <v>25</v>
      </c>
      <c r="I19" s="209">
        <f t="shared" si="4"/>
        <v>0</v>
      </c>
      <c r="J19" s="220">
        <f t="shared" si="5"/>
        <v>6131.7784000000001</v>
      </c>
      <c r="K19" s="220">
        <f t="shared" si="6"/>
        <v>6131.7784000000001</v>
      </c>
      <c r="L19" s="220">
        <f t="shared" si="7"/>
        <v>153294.46</v>
      </c>
      <c r="M19" s="220">
        <f t="shared" si="8"/>
        <v>0</v>
      </c>
      <c r="N19" s="206"/>
      <c r="P19" s="252">
        <f t="shared" si="1"/>
        <v>0</v>
      </c>
      <c r="Q19" s="398">
        <f>+P19/$P$49</f>
        <v>0</v>
      </c>
      <c r="R19" s="88">
        <f>+$R$17-H19</f>
        <v>15</v>
      </c>
      <c r="S19" s="77">
        <f>+Q19*R19</f>
        <v>0</v>
      </c>
      <c r="T19" s="392">
        <f>+Q19*$Q$51</f>
        <v>0</v>
      </c>
      <c r="U19" s="392">
        <f>+T19/R19</f>
        <v>0</v>
      </c>
      <c r="V19" s="392">
        <f>+M19/R19</f>
        <v>0</v>
      </c>
    </row>
    <row r="20" spans="1:22" x14ac:dyDescent="0.2">
      <c r="A20" s="203" t="s">
        <v>149</v>
      </c>
      <c r="B20" s="205">
        <v>32873</v>
      </c>
      <c r="C20" s="206">
        <v>1989</v>
      </c>
      <c r="D20" s="206">
        <v>25</v>
      </c>
      <c r="E20" s="206">
        <f t="shared" si="2"/>
        <v>2013</v>
      </c>
      <c r="F20" s="207">
        <f t="shared" si="0"/>
        <v>0.04</v>
      </c>
      <c r="G20" s="220">
        <v>117588.68</v>
      </c>
      <c r="H20" s="209">
        <f t="shared" si="3"/>
        <v>24</v>
      </c>
      <c r="I20" s="209">
        <f t="shared" si="4"/>
        <v>1</v>
      </c>
      <c r="J20" s="220">
        <f t="shared" si="5"/>
        <v>4703.5472</v>
      </c>
      <c r="K20" s="220">
        <f t="shared" si="6"/>
        <v>4703.5472</v>
      </c>
      <c r="L20" s="220">
        <f t="shared" si="7"/>
        <v>112885.13279999999</v>
      </c>
      <c r="M20" s="220">
        <f t="shared" si="8"/>
        <v>4703.5472000000009</v>
      </c>
      <c r="N20" s="206"/>
      <c r="P20" s="252">
        <f t="shared" si="1"/>
        <v>4703.5472000000009</v>
      </c>
      <c r="Q20" s="398">
        <f t="shared" ref="Q20:Q47" si="9">+P20/$P$49</f>
        <v>2.5968546410782057E-3</v>
      </c>
      <c r="R20" s="88">
        <f t="shared" ref="R20:R47" si="10">+$R$17-H20</f>
        <v>16</v>
      </c>
      <c r="S20" s="77">
        <f t="shared" ref="S20:S47" si="11">+Q20*R20</f>
        <v>4.1549674257251291E-2</v>
      </c>
      <c r="T20" s="392">
        <f t="shared" ref="T20:T47" si="12">+Q20*$Q$51</f>
        <v>3857.5912133566994</v>
      </c>
      <c r="U20" s="392">
        <f t="shared" ref="U20:U47" si="13">+T20/R20</f>
        <v>241.09945083479371</v>
      </c>
      <c r="V20" s="392">
        <f t="shared" ref="V20:V47" si="14">+M20/R20</f>
        <v>293.97170000000006</v>
      </c>
    </row>
    <row r="21" spans="1:22" x14ac:dyDescent="0.2">
      <c r="A21" s="203" t="s">
        <v>149</v>
      </c>
      <c r="B21" s="205">
        <v>33238</v>
      </c>
      <c r="C21" s="206">
        <v>1990</v>
      </c>
      <c r="D21" s="206">
        <v>25</v>
      </c>
      <c r="E21" s="206">
        <f t="shared" si="2"/>
        <v>2014</v>
      </c>
      <c r="F21" s="207">
        <f t="shared" si="0"/>
        <v>0.04</v>
      </c>
      <c r="G21" s="220">
        <v>252330.27</v>
      </c>
      <c r="H21" s="209">
        <f t="shared" si="3"/>
        <v>23</v>
      </c>
      <c r="I21" s="209">
        <f t="shared" si="4"/>
        <v>2</v>
      </c>
      <c r="J21" s="220">
        <f t="shared" si="5"/>
        <v>10093.210799999999</v>
      </c>
      <c r="K21" s="220">
        <f t="shared" si="6"/>
        <v>10093.210799999999</v>
      </c>
      <c r="L21" s="220">
        <f t="shared" si="7"/>
        <v>232143.84839999999</v>
      </c>
      <c r="M21" s="220">
        <f t="shared" si="8"/>
        <v>20186.421600000001</v>
      </c>
      <c r="N21" s="206"/>
      <c r="P21" s="252">
        <f t="shared" si="1"/>
        <v>20186.421600000001</v>
      </c>
      <c r="Q21" s="398">
        <f t="shared" si="9"/>
        <v>1.1145035946215513E-2</v>
      </c>
      <c r="R21" s="88">
        <f t="shared" si="10"/>
        <v>17</v>
      </c>
      <c r="S21" s="77">
        <f t="shared" si="11"/>
        <v>0.18946561108566373</v>
      </c>
      <c r="T21" s="392">
        <f t="shared" si="12"/>
        <v>16555.7948675999</v>
      </c>
      <c r="U21" s="392">
        <f t="shared" si="13"/>
        <v>973.87028632940587</v>
      </c>
      <c r="V21" s="392">
        <f t="shared" si="14"/>
        <v>1187.4365647058823</v>
      </c>
    </row>
    <row r="22" spans="1:22" x14ac:dyDescent="0.2">
      <c r="A22" s="203" t="s">
        <v>149</v>
      </c>
      <c r="B22" s="205">
        <v>33603</v>
      </c>
      <c r="C22" s="206">
        <v>1991</v>
      </c>
      <c r="D22" s="206">
        <v>25</v>
      </c>
      <c r="E22" s="206">
        <f t="shared" si="2"/>
        <v>2015</v>
      </c>
      <c r="F22" s="207">
        <f t="shared" si="0"/>
        <v>0.04</v>
      </c>
      <c r="G22" s="220">
        <v>155823.06</v>
      </c>
      <c r="H22" s="209">
        <f t="shared" si="3"/>
        <v>22</v>
      </c>
      <c r="I22" s="209">
        <f t="shared" si="4"/>
        <v>3</v>
      </c>
      <c r="J22" s="220">
        <f t="shared" si="5"/>
        <v>6232.9224000000004</v>
      </c>
      <c r="K22" s="220">
        <f t="shared" si="6"/>
        <v>6232.9224000000004</v>
      </c>
      <c r="L22" s="220">
        <f t="shared" si="7"/>
        <v>137124.2928</v>
      </c>
      <c r="M22" s="220">
        <f t="shared" si="8"/>
        <v>18698.767200000002</v>
      </c>
      <c r="N22" s="206"/>
      <c r="P22" s="252">
        <f t="shared" si="1"/>
        <v>18698.767200000002</v>
      </c>
      <c r="Q22" s="398">
        <f t="shared" si="9"/>
        <v>1.0323693655239798E-2</v>
      </c>
      <c r="R22" s="88">
        <f t="shared" si="10"/>
        <v>18</v>
      </c>
      <c r="S22" s="77">
        <f t="shared" si="11"/>
        <v>0.18582648579431638</v>
      </c>
      <c r="T22" s="392">
        <f t="shared" si="12"/>
        <v>15335.702393147547</v>
      </c>
      <c r="U22" s="392">
        <f t="shared" si="13"/>
        <v>851.98346628597483</v>
      </c>
      <c r="V22" s="392">
        <f t="shared" si="14"/>
        <v>1038.8204000000001</v>
      </c>
    </row>
    <row r="23" spans="1:22" x14ac:dyDescent="0.2">
      <c r="A23" s="203" t="s">
        <v>149</v>
      </c>
      <c r="B23" s="205">
        <v>33969</v>
      </c>
      <c r="C23" s="206">
        <v>1992</v>
      </c>
      <c r="D23" s="206">
        <v>25</v>
      </c>
      <c r="E23" s="206">
        <f t="shared" si="2"/>
        <v>2016</v>
      </c>
      <c r="F23" s="207">
        <f t="shared" si="0"/>
        <v>0.04</v>
      </c>
      <c r="G23" s="220">
        <v>146801.22</v>
      </c>
      <c r="H23" s="209">
        <f t="shared" si="3"/>
        <v>21</v>
      </c>
      <c r="I23" s="209">
        <f t="shared" si="4"/>
        <v>4</v>
      </c>
      <c r="J23" s="220">
        <f t="shared" si="5"/>
        <v>5872.0488000000005</v>
      </c>
      <c r="K23" s="220">
        <f t="shared" si="6"/>
        <v>5872.0488000000005</v>
      </c>
      <c r="L23" s="220">
        <f t="shared" si="7"/>
        <v>123313.02480000001</v>
      </c>
      <c r="M23" s="220">
        <f t="shared" si="8"/>
        <v>23488.195199999987</v>
      </c>
      <c r="N23" s="206"/>
      <c r="P23" s="252">
        <f t="shared" si="1"/>
        <v>23488.195199999987</v>
      </c>
      <c r="Q23" s="398">
        <f t="shared" si="9"/>
        <v>1.2967963564960246E-2</v>
      </c>
      <c r="R23" s="88">
        <f t="shared" si="10"/>
        <v>19</v>
      </c>
      <c r="S23" s="77">
        <f t="shared" si="11"/>
        <v>0.24639130773424467</v>
      </c>
      <c r="T23" s="392">
        <f t="shared" si="12"/>
        <v>19263.728324258536</v>
      </c>
      <c r="U23" s="392">
        <f t="shared" si="13"/>
        <v>1013.8804381188703</v>
      </c>
      <c r="V23" s="392">
        <f t="shared" si="14"/>
        <v>1236.2207999999994</v>
      </c>
    </row>
    <row r="24" spans="1:22" x14ac:dyDescent="0.2">
      <c r="A24" s="203" t="s">
        <v>149</v>
      </c>
      <c r="B24" s="205">
        <v>34334</v>
      </c>
      <c r="C24" s="206">
        <v>1993</v>
      </c>
      <c r="D24" s="206">
        <v>25</v>
      </c>
      <c r="E24" s="206">
        <f t="shared" si="2"/>
        <v>2017</v>
      </c>
      <c r="F24" s="207">
        <f t="shared" si="0"/>
        <v>0.04</v>
      </c>
      <c r="G24" s="220">
        <v>412735.55</v>
      </c>
      <c r="H24" s="209">
        <f t="shared" si="3"/>
        <v>20</v>
      </c>
      <c r="I24" s="209">
        <f t="shared" si="4"/>
        <v>5</v>
      </c>
      <c r="J24" s="220">
        <f t="shared" si="5"/>
        <v>16509.421999999999</v>
      </c>
      <c r="K24" s="220">
        <f t="shared" si="6"/>
        <v>16509.421999999999</v>
      </c>
      <c r="L24" s="220">
        <f t="shared" si="7"/>
        <v>330188.43999999994</v>
      </c>
      <c r="M24" s="220">
        <f t="shared" si="8"/>
        <v>82547.110000000044</v>
      </c>
      <c r="N24" s="206"/>
      <c r="P24" s="252">
        <f t="shared" si="1"/>
        <v>82547.110000000044</v>
      </c>
      <c r="Q24" s="398">
        <f t="shared" si="9"/>
        <v>4.5574719801066997E-2</v>
      </c>
      <c r="R24" s="88">
        <f t="shared" si="10"/>
        <v>20</v>
      </c>
      <c r="S24" s="77">
        <f t="shared" si="11"/>
        <v>0.91149439602133997</v>
      </c>
      <c r="T24" s="392">
        <f t="shared" si="12"/>
        <v>67700.608218407811</v>
      </c>
      <c r="U24" s="392">
        <f t="shared" si="13"/>
        <v>3385.0304109203908</v>
      </c>
      <c r="V24" s="392">
        <f t="shared" si="14"/>
        <v>4127.3555000000024</v>
      </c>
    </row>
    <row r="25" spans="1:22" x14ac:dyDescent="0.2">
      <c r="A25" s="203" t="s">
        <v>149</v>
      </c>
      <c r="B25" s="205">
        <v>34699</v>
      </c>
      <c r="C25" s="206">
        <v>1994</v>
      </c>
      <c r="D25" s="206">
        <v>25</v>
      </c>
      <c r="E25" s="206">
        <f t="shared" si="2"/>
        <v>2018</v>
      </c>
      <c r="F25" s="207">
        <f t="shared" si="0"/>
        <v>0.04</v>
      </c>
      <c r="G25" s="220">
        <v>308727.09000000003</v>
      </c>
      <c r="H25" s="209">
        <f t="shared" si="3"/>
        <v>19</v>
      </c>
      <c r="I25" s="209">
        <f t="shared" si="4"/>
        <v>6</v>
      </c>
      <c r="J25" s="220">
        <f t="shared" si="5"/>
        <v>12349.083600000002</v>
      </c>
      <c r="K25" s="220">
        <f t="shared" si="6"/>
        <v>12349.083600000002</v>
      </c>
      <c r="L25" s="220">
        <f t="shared" si="7"/>
        <v>234632.58840000004</v>
      </c>
      <c r="M25" s="220">
        <f t="shared" si="8"/>
        <v>74094.501599999989</v>
      </c>
      <c r="N25" s="206"/>
      <c r="P25" s="252">
        <f t="shared" si="1"/>
        <v>74094.501599999989</v>
      </c>
      <c r="Q25" s="398">
        <f t="shared" si="9"/>
        <v>4.0907987562734879E-2</v>
      </c>
      <c r="R25" s="88">
        <f t="shared" si="10"/>
        <v>21</v>
      </c>
      <c r="S25" s="77">
        <f t="shared" si="11"/>
        <v>0.85906773881743248</v>
      </c>
      <c r="T25" s="392">
        <f t="shared" si="12"/>
        <v>60768.242812616787</v>
      </c>
      <c r="U25" s="392">
        <f t="shared" si="13"/>
        <v>2893.7258482198472</v>
      </c>
      <c r="V25" s="392">
        <f t="shared" si="14"/>
        <v>3528.3095999999996</v>
      </c>
    </row>
    <row r="26" spans="1:22" x14ac:dyDescent="0.2">
      <c r="A26" s="203" t="s">
        <v>149</v>
      </c>
      <c r="B26" s="205">
        <v>35064</v>
      </c>
      <c r="C26" s="206">
        <v>1995</v>
      </c>
      <c r="D26" s="206">
        <v>25</v>
      </c>
      <c r="E26" s="206">
        <f t="shared" si="2"/>
        <v>2019</v>
      </c>
      <c r="F26" s="207">
        <f t="shared" si="0"/>
        <v>0.04</v>
      </c>
      <c r="G26" s="220">
        <v>139782.94</v>
      </c>
      <c r="H26" s="209">
        <f t="shared" si="3"/>
        <v>18</v>
      </c>
      <c r="I26" s="209">
        <f t="shared" si="4"/>
        <v>7</v>
      </c>
      <c r="J26" s="220">
        <f t="shared" si="5"/>
        <v>5591.3176000000003</v>
      </c>
      <c r="K26" s="220">
        <f t="shared" si="6"/>
        <v>5591.3176000000003</v>
      </c>
      <c r="L26" s="220">
        <f t="shared" si="7"/>
        <v>100643.71680000001</v>
      </c>
      <c r="M26" s="220">
        <f t="shared" si="8"/>
        <v>39139.223199999993</v>
      </c>
      <c r="N26" s="206"/>
      <c r="P26" s="252">
        <f t="shared" si="1"/>
        <v>39139.223199999993</v>
      </c>
      <c r="Q26" s="398">
        <f t="shared" si="9"/>
        <v>2.1608983410460032E-2</v>
      </c>
      <c r="R26" s="88">
        <f t="shared" si="10"/>
        <v>22</v>
      </c>
      <c r="S26" s="77">
        <f t="shared" si="11"/>
        <v>0.47539763503012072</v>
      </c>
      <c r="T26" s="392">
        <f t="shared" si="12"/>
        <v>32099.84233047063</v>
      </c>
      <c r="U26" s="392">
        <f t="shared" si="13"/>
        <v>1459.0837422941195</v>
      </c>
      <c r="V26" s="392">
        <f t="shared" si="14"/>
        <v>1779.0555999999997</v>
      </c>
    </row>
    <row r="27" spans="1:22" x14ac:dyDescent="0.2">
      <c r="A27" s="203" t="s">
        <v>149</v>
      </c>
      <c r="B27" s="205">
        <v>35430</v>
      </c>
      <c r="C27" s="206">
        <v>1996</v>
      </c>
      <c r="D27" s="206">
        <v>25</v>
      </c>
      <c r="E27" s="206">
        <f t="shared" si="2"/>
        <v>2020</v>
      </c>
      <c r="F27" s="207">
        <f t="shared" si="0"/>
        <v>0.04</v>
      </c>
      <c r="G27" s="220">
        <v>173855.91</v>
      </c>
      <c r="H27" s="209">
        <f t="shared" si="3"/>
        <v>17</v>
      </c>
      <c r="I27" s="209">
        <f t="shared" si="4"/>
        <v>8</v>
      </c>
      <c r="J27" s="220">
        <f t="shared" si="5"/>
        <v>6954.2364000000007</v>
      </c>
      <c r="K27" s="220">
        <f t="shared" si="6"/>
        <v>6954.2364000000007</v>
      </c>
      <c r="L27" s="220">
        <f t="shared" si="7"/>
        <v>118222.01880000001</v>
      </c>
      <c r="M27" s="220">
        <f t="shared" si="8"/>
        <v>55633.891199999998</v>
      </c>
      <c r="N27" s="206"/>
      <c r="P27" s="252">
        <f t="shared" si="1"/>
        <v>55633.891199999998</v>
      </c>
      <c r="Q27" s="398">
        <f t="shared" si="9"/>
        <v>3.0715781604989507E-2</v>
      </c>
      <c r="R27" s="88">
        <f t="shared" si="10"/>
        <v>23</v>
      </c>
      <c r="S27" s="77">
        <f t="shared" si="11"/>
        <v>0.70646297691475868</v>
      </c>
      <c r="T27" s="392">
        <f t="shared" si="12"/>
        <v>45627.863553269446</v>
      </c>
      <c r="U27" s="392">
        <f t="shared" si="13"/>
        <v>1983.8201544899759</v>
      </c>
      <c r="V27" s="392">
        <f t="shared" si="14"/>
        <v>2418.8648347826088</v>
      </c>
    </row>
    <row r="28" spans="1:22" x14ac:dyDescent="0.2">
      <c r="A28" s="203" t="s">
        <v>149</v>
      </c>
      <c r="B28" s="205">
        <v>35795</v>
      </c>
      <c r="C28" s="206">
        <v>1997</v>
      </c>
      <c r="D28" s="206">
        <v>25</v>
      </c>
      <c r="E28" s="206">
        <f t="shared" si="2"/>
        <v>2021</v>
      </c>
      <c r="F28" s="207">
        <f t="shared" si="0"/>
        <v>0.04</v>
      </c>
      <c r="G28" s="220">
        <v>319189.58</v>
      </c>
      <c r="H28" s="209">
        <f t="shared" si="3"/>
        <v>16</v>
      </c>
      <c r="I28" s="209">
        <f t="shared" si="4"/>
        <v>9</v>
      </c>
      <c r="J28" s="220">
        <f t="shared" si="5"/>
        <v>12767.583200000001</v>
      </c>
      <c r="K28" s="220">
        <f t="shared" si="6"/>
        <v>12767.583200000001</v>
      </c>
      <c r="L28" s="220">
        <f t="shared" si="7"/>
        <v>204281.33120000002</v>
      </c>
      <c r="M28" s="220">
        <f t="shared" si="8"/>
        <v>114908.2488</v>
      </c>
      <c r="N28" s="206"/>
      <c r="P28" s="252">
        <f t="shared" si="1"/>
        <v>114908.2488</v>
      </c>
      <c r="Q28" s="398">
        <f t="shared" si="9"/>
        <v>6.3441485012513343E-2</v>
      </c>
      <c r="R28" s="88">
        <f t="shared" si="10"/>
        <v>24</v>
      </c>
      <c r="S28" s="77">
        <f t="shared" si="11"/>
        <v>1.5225956403003202</v>
      </c>
      <c r="T28" s="392">
        <f t="shared" si="12"/>
        <v>94241.437805298396</v>
      </c>
      <c r="U28" s="392">
        <f t="shared" si="13"/>
        <v>3926.7265752207663</v>
      </c>
      <c r="V28" s="392">
        <f t="shared" si="14"/>
        <v>4787.8437000000004</v>
      </c>
    </row>
    <row r="29" spans="1:22" x14ac:dyDescent="0.2">
      <c r="A29" s="203" t="s">
        <v>149</v>
      </c>
      <c r="B29" s="205">
        <v>36160</v>
      </c>
      <c r="C29" s="206">
        <v>1998</v>
      </c>
      <c r="D29" s="206">
        <v>25</v>
      </c>
      <c r="E29" s="206">
        <f t="shared" si="2"/>
        <v>2022</v>
      </c>
      <c r="F29" s="207">
        <f t="shared" si="0"/>
        <v>0.04</v>
      </c>
      <c r="G29" s="220">
        <v>655089.54</v>
      </c>
      <c r="H29" s="209">
        <f t="shared" si="3"/>
        <v>15</v>
      </c>
      <c r="I29" s="209">
        <f t="shared" si="4"/>
        <v>10</v>
      </c>
      <c r="J29" s="220">
        <f t="shared" si="5"/>
        <v>26203.581600000001</v>
      </c>
      <c r="K29" s="220">
        <f t="shared" si="6"/>
        <v>26203.581600000001</v>
      </c>
      <c r="L29" s="220">
        <f t="shared" si="7"/>
        <v>393053.72400000005</v>
      </c>
      <c r="M29" s="220">
        <f t="shared" si="8"/>
        <v>262035.81599999999</v>
      </c>
      <c r="N29" s="206"/>
      <c r="P29" s="252">
        <f t="shared" si="1"/>
        <v>262035.81599999999</v>
      </c>
      <c r="Q29" s="398">
        <f t="shared" si="9"/>
        <v>0.14467143540269237</v>
      </c>
      <c r="R29" s="88">
        <f t="shared" si="10"/>
        <v>25</v>
      </c>
      <c r="S29" s="77">
        <f t="shared" si="11"/>
        <v>3.6167858850673094</v>
      </c>
      <c r="T29" s="392">
        <f t="shared" si="12"/>
        <v>214907.39189060387</v>
      </c>
      <c r="U29" s="392">
        <f t="shared" si="13"/>
        <v>8596.2956756241547</v>
      </c>
      <c r="V29" s="392">
        <f t="shared" si="14"/>
        <v>10481.432639999999</v>
      </c>
    </row>
    <row r="30" spans="1:22" x14ac:dyDescent="0.2">
      <c r="A30" s="203" t="s">
        <v>149</v>
      </c>
      <c r="B30" s="205">
        <v>36525</v>
      </c>
      <c r="C30" s="206">
        <v>1999</v>
      </c>
      <c r="D30" s="206">
        <v>25</v>
      </c>
      <c r="E30" s="206">
        <f t="shared" si="2"/>
        <v>2023</v>
      </c>
      <c r="F30" s="207">
        <f t="shared" si="0"/>
        <v>0.04</v>
      </c>
      <c r="G30" s="220">
        <f>4484058.09-4224481.54</f>
        <v>259576.54999999981</v>
      </c>
      <c r="H30" s="209">
        <f t="shared" si="3"/>
        <v>14</v>
      </c>
      <c r="I30" s="209">
        <f t="shared" si="4"/>
        <v>11</v>
      </c>
      <c r="J30" s="220">
        <f t="shared" si="5"/>
        <v>10383.061999999993</v>
      </c>
      <c r="K30" s="220">
        <f t="shared" si="6"/>
        <v>10383.061999999993</v>
      </c>
      <c r="L30" s="220">
        <f t="shared" si="7"/>
        <v>145362.8679999999</v>
      </c>
      <c r="M30" s="220">
        <f t="shared" si="8"/>
        <v>114213.68199999991</v>
      </c>
      <c r="N30" s="206"/>
      <c r="P30" s="252">
        <f t="shared" si="1"/>
        <v>114213.68199999991</v>
      </c>
      <c r="Q30" s="398">
        <f t="shared" si="9"/>
        <v>6.3058010808593565E-2</v>
      </c>
      <c r="R30" s="88">
        <f t="shared" si="10"/>
        <v>26</v>
      </c>
      <c r="S30" s="77">
        <f t="shared" si="11"/>
        <v>1.6395082810234327</v>
      </c>
      <c r="T30" s="392">
        <f t="shared" si="12"/>
        <v>93671.792244014418</v>
      </c>
      <c r="U30" s="392">
        <f t="shared" si="13"/>
        <v>3602.7612401544006</v>
      </c>
      <c r="V30" s="392">
        <f t="shared" si="14"/>
        <v>4392.8339230769197</v>
      </c>
    </row>
    <row r="31" spans="1:22" ht="14.25" customHeight="1" x14ac:dyDescent="0.2">
      <c r="A31" s="203" t="s">
        <v>149</v>
      </c>
      <c r="B31" s="205">
        <v>36525</v>
      </c>
      <c r="C31" s="206">
        <v>1999</v>
      </c>
      <c r="D31" s="206">
        <v>25</v>
      </c>
      <c r="E31" s="206">
        <f t="shared" si="2"/>
        <v>2023</v>
      </c>
      <c r="F31" s="207">
        <f t="shared" si="0"/>
        <v>0.04</v>
      </c>
      <c r="G31" s="220">
        <v>270622.28999999998</v>
      </c>
      <c r="H31" s="209">
        <f t="shared" si="3"/>
        <v>14</v>
      </c>
      <c r="I31" s="209">
        <f t="shared" si="4"/>
        <v>11</v>
      </c>
      <c r="J31" s="220">
        <f t="shared" si="5"/>
        <v>10824.891599999999</v>
      </c>
      <c r="K31" s="220">
        <f t="shared" si="6"/>
        <v>10824.891599999999</v>
      </c>
      <c r="L31" s="220">
        <f t="shared" si="7"/>
        <v>151548.48239999998</v>
      </c>
      <c r="M31" s="220">
        <f t="shared" si="8"/>
        <v>119073.8076</v>
      </c>
      <c r="N31" s="206"/>
      <c r="P31" s="252">
        <f t="shared" si="1"/>
        <v>119073.8076</v>
      </c>
      <c r="Q31" s="398">
        <f t="shared" si="9"/>
        <v>6.5741313257558734E-2</v>
      </c>
      <c r="R31" s="88">
        <f t="shared" si="10"/>
        <v>26</v>
      </c>
      <c r="S31" s="77">
        <f t="shared" si="11"/>
        <v>1.7092741446965272</v>
      </c>
      <c r="T31" s="392">
        <f t="shared" si="12"/>
        <v>97657.800465717897</v>
      </c>
      <c r="U31" s="392">
        <f t="shared" si="13"/>
        <v>3756.0692486814578</v>
      </c>
      <c r="V31" s="392">
        <f t="shared" si="14"/>
        <v>4579.761830769231</v>
      </c>
    </row>
    <row r="32" spans="1:22" x14ac:dyDescent="0.2">
      <c r="A32" s="203" t="s">
        <v>149</v>
      </c>
      <c r="B32" s="205">
        <v>36891</v>
      </c>
      <c r="C32" s="206">
        <v>2000</v>
      </c>
      <c r="D32" s="206">
        <v>25</v>
      </c>
      <c r="E32" s="206">
        <f t="shared" si="2"/>
        <v>2024</v>
      </c>
      <c r="F32" s="207">
        <f t="shared" si="0"/>
        <v>0.04</v>
      </c>
      <c r="G32" s="220">
        <v>16481.5</v>
      </c>
      <c r="H32" s="209">
        <f t="shared" si="3"/>
        <v>13</v>
      </c>
      <c r="I32" s="209">
        <f t="shared" si="4"/>
        <v>12</v>
      </c>
      <c r="J32" s="220">
        <f t="shared" si="5"/>
        <v>659.26</v>
      </c>
      <c r="K32" s="220">
        <f t="shared" si="6"/>
        <v>659.26</v>
      </c>
      <c r="L32" s="220">
        <f t="shared" si="7"/>
        <v>8570.3799999999992</v>
      </c>
      <c r="M32" s="220">
        <f t="shared" si="8"/>
        <v>7911.1200000000008</v>
      </c>
      <c r="N32" s="206"/>
      <c r="P32" s="252">
        <f t="shared" si="1"/>
        <v>7911.1200000000008</v>
      </c>
      <c r="Q32" s="398">
        <f t="shared" si="9"/>
        <v>4.3677734727795674E-3</v>
      </c>
      <c r="R32" s="88">
        <f t="shared" si="10"/>
        <v>27</v>
      </c>
      <c r="S32" s="77">
        <f t="shared" si="11"/>
        <v>0.11792988376504832</v>
      </c>
      <c r="T32" s="392">
        <f t="shared" si="12"/>
        <v>6488.2663449854281</v>
      </c>
      <c r="U32" s="392">
        <f t="shared" si="13"/>
        <v>240.30616092538622</v>
      </c>
      <c r="V32" s="392">
        <f t="shared" si="14"/>
        <v>293.00444444444446</v>
      </c>
    </row>
    <row r="33" spans="1:22" x14ac:dyDescent="0.2">
      <c r="A33" s="203" t="s">
        <v>149</v>
      </c>
      <c r="B33" s="205">
        <v>37256</v>
      </c>
      <c r="C33" s="206">
        <v>2001</v>
      </c>
      <c r="D33" s="206">
        <v>25</v>
      </c>
      <c r="E33" s="206">
        <f t="shared" si="2"/>
        <v>2025</v>
      </c>
      <c r="F33" s="207">
        <f t="shared" si="0"/>
        <v>0.04</v>
      </c>
      <c r="G33" s="220">
        <f>2004932.62-1918353.65</f>
        <v>86578.970000000205</v>
      </c>
      <c r="H33" s="209">
        <f t="shared" si="3"/>
        <v>12</v>
      </c>
      <c r="I33" s="209">
        <f t="shared" si="4"/>
        <v>13</v>
      </c>
      <c r="J33" s="220">
        <f t="shared" si="5"/>
        <v>3463.1588000000083</v>
      </c>
      <c r="K33" s="220">
        <f t="shared" si="6"/>
        <v>3463.1588000000083</v>
      </c>
      <c r="L33" s="220">
        <f t="shared" si="7"/>
        <v>41557.9056000001</v>
      </c>
      <c r="M33" s="220">
        <f t="shared" si="8"/>
        <v>45021.064400000105</v>
      </c>
      <c r="N33" s="206"/>
      <c r="P33" s="252">
        <f t="shared" si="1"/>
        <v>45021.064400000105</v>
      </c>
      <c r="Q33" s="398">
        <f t="shared" si="9"/>
        <v>2.4856380740352946E-2</v>
      </c>
      <c r="R33" s="88">
        <f t="shared" si="10"/>
        <v>28</v>
      </c>
      <c r="S33" s="77">
        <f t="shared" si="11"/>
        <v>0.69597866072988246</v>
      </c>
      <c r="T33" s="392">
        <f t="shared" si="12"/>
        <v>36923.805600463937</v>
      </c>
      <c r="U33" s="392">
        <f t="shared" si="13"/>
        <v>1318.7073428737119</v>
      </c>
      <c r="V33" s="392">
        <f t="shared" si="14"/>
        <v>1607.8951571428609</v>
      </c>
    </row>
    <row r="34" spans="1:22" x14ac:dyDescent="0.2">
      <c r="A34" s="203" t="s">
        <v>149</v>
      </c>
      <c r="B34" s="205">
        <v>37621</v>
      </c>
      <c r="C34" s="206">
        <v>2002</v>
      </c>
      <c r="D34" s="206">
        <v>25</v>
      </c>
      <c r="E34" s="206">
        <f t="shared" si="2"/>
        <v>2026</v>
      </c>
      <c r="F34" s="207">
        <f t="shared" si="0"/>
        <v>0.04</v>
      </c>
      <c r="G34" s="220">
        <v>60381.47</v>
      </c>
      <c r="H34" s="209">
        <f t="shared" si="3"/>
        <v>11</v>
      </c>
      <c r="I34" s="209">
        <f t="shared" si="4"/>
        <v>14</v>
      </c>
      <c r="J34" s="220">
        <f t="shared" si="5"/>
        <v>2415.2588000000001</v>
      </c>
      <c r="K34" s="220">
        <f t="shared" si="6"/>
        <v>2415.2588000000001</v>
      </c>
      <c r="L34" s="220">
        <f t="shared" si="7"/>
        <v>26567.846799999999</v>
      </c>
      <c r="M34" s="220">
        <f t="shared" si="8"/>
        <v>33813.623200000002</v>
      </c>
      <c r="N34" s="206"/>
      <c r="P34" s="252">
        <f t="shared" si="1"/>
        <v>33813.623200000002</v>
      </c>
      <c r="Q34" s="398">
        <f t="shared" si="9"/>
        <v>1.8668689949276937E-2</v>
      </c>
      <c r="R34" s="88">
        <f t="shared" si="10"/>
        <v>29</v>
      </c>
      <c r="S34" s="77">
        <f t="shared" si="11"/>
        <v>0.54139200852903113</v>
      </c>
      <c r="T34" s="392">
        <f t="shared" si="12"/>
        <v>27732.077557991601</v>
      </c>
      <c r="U34" s="392">
        <f t="shared" si="13"/>
        <v>956.27853648246901</v>
      </c>
      <c r="V34" s="392">
        <f t="shared" si="14"/>
        <v>1165.9870068965517</v>
      </c>
    </row>
    <row r="35" spans="1:22" x14ac:dyDescent="0.2">
      <c r="A35" s="203" t="s">
        <v>149</v>
      </c>
      <c r="B35" s="233">
        <v>37986</v>
      </c>
      <c r="C35" s="206">
        <v>2003</v>
      </c>
      <c r="D35" s="206">
        <v>25</v>
      </c>
      <c r="E35" s="206">
        <f t="shared" si="2"/>
        <v>2027</v>
      </c>
      <c r="F35" s="207">
        <f t="shared" si="0"/>
        <v>0.04</v>
      </c>
      <c r="G35" s="221">
        <v>205886.63</v>
      </c>
      <c r="H35" s="209">
        <f t="shared" si="3"/>
        <v>10</v>
      </c>
      <c r="I35" s="209">
        <f t="shared" si="4"/>
        <v>15</v>
      </c>
      <c r="J35" s="220">
        <f t="shared" si="5"/>
        <v>8235.4652000000006</v>
      </c>
      <c r="K35" s="220">
        <f t="shared" si="6"/>
        <v>8235.4652000000006</v>
      </c>
      <c r="L35" s="220">
        <f t="shared" si="7"/>
        <v>82354.652000000002</v>
      </c>
      <c r="M35" s="220">
        <f t="shared" si="8"/>
        <v>123531.978</v>
      </c>
      <c r="N35" s="206"/>
      <c r="P35" s="252">
        <f t="shared" si="1"/>
        <v>123531.978</v>
      </c>
      <c r="Q35" s="398">
        <f t="shared" si="9"/>
        <v>6.8202693998876157E-2</v>
      </c>
      <c r="R35" s="88">
        <f t="shared" si="10"/>
        <v>30</v>
      </c>
      <c r="S35" s="77">
        <f t="shared" si="11"/>
        <v>2.0460808199662845</v>
      </c>
      <c r="T35" s="392">
        <f t="shared" si="12"/>
        <v>101314.14709761455</v>
      </c>
      <c r="U35" s="392">
        <f t="shared" si="13"/>
        <v>3377.1382365871518</v>
      </c>
      <c r="V35" s="392">
        <f t="shared" si="14"/>
        <v>4117.7326000000003</v>
      </c>
    </row>
    <row r="36" spans="1:22" x14ac:dyDescent="0.2">
      <c r="A36" s="203" t="s">
        <v>149</v>
      </c>
      <c r="B36" s="205">
        <v>38352</v>
      </c>
      <c r="C36" s="206">
        <v>2004</v>
      </c>
      <c r="D36" s="206">
        <v>25</v>
      </c>
      <c r="E36" s="206">
        <f t="shared" si="2"/>
        <v>2028</v>
      </c>
      <c r="F36" s="207">
        <f t="shared" si="0"/>
        <v>0.04</v>
      </c>
      <c r="G36" s="220">
        <f>255285.42-92263.5</f>
        <v>163021.92000000001</v>
      </c>
      <c r="H36" s="209">
        <f t="shared" si="3"/>
        <v>9</v>
      </c>
      <c r="I36" s="209">
        <f t="shared" si="4"/>
        <v>16</v>
      </c>
      <c r="J36" s="220">
        <f t="shared" si="5"/>
        <v>6520.8768000000009</v>
      </c>
      <c r="K36" s="220">
        <f t="shared" si="6"/>
        <v>6520.8768000000009</v>
      </c>
      <c r="L36" s="220">
        <f t="shared" si="7"/>
        <v>58687.891200000005</v>
      </c>
      <c r="M36" s="220">
        <f t="shared" si="8"/>
        <v>104334.0288</v>
      </c>
      <c r="N36" s="206"/>
      <c r="P36" s="252">
        <f t="shared" si="1"/>
        <v>104334.0288</v>
      </c>
      <c r="Q36" s="398">
        <f t="shared" si="9"/>
        <v>5.7603399177469101E-2</v>
      </c>
      <c r="R36" s="88">
        <f t="shared" si="10"/>
        <v>31</v>
      </c>
      <c r="S36" s="77">
        <f t="shared" si="11"/>
        <v>1.7857053745015421</v>
      </c>
      <c r="T36" s="392">
        <f t="shared" si="12"/>
        <v>85569.04303054187</v>
      </c>
      <c r="U36" s="392">
        <f t="shared" si="13"/>
        <v>2760.291710662641</v>
      </c>
      <c r="V36" s="392">
        <f t="shared" si="14"/>
        <v>3365.6138322580646</v>
      </c>
    </row>
    <row r="37" spans="1:22" x14ac:dyDescent="0.2">
      <c r="A37" s="203" t="s">
        <v>149</v>
      </c>
      <c r="B37" s="205">
        <v>38717</v>
      </c>
      <c r="C37" s="206">
        <v>2005</v>
      </c>
      <c r="D37" s="206">
        <v>25</v>
      </c>
      <c r="E37" s="206">
        <f t="shared" si="2"/>
        <v>2029</v>
      </c>
      <c r="F37" s="207">
        <f t="shared" si="0"/>
        <v>0.04</v>
      </c>
      <c r="G37" s="220">
        <v>394837.6</v>
      </c>
      <c r="H37" s="209">
        <f t="shared" si="3"/>
        <v>8</v>
      </c>
      <c r="I37" s="209">
        <f t="shared" si="4"/>
        <v>17</v>
      </c>
      <c r="J37" s="220">
        <f t="shared" si="5"/>
        <v>15793.503999999999</v>
      </c>
      <c r="K37" s="220">
        <f t="shared" si="6"/>
        <v>15793.503999999999</v>
      </c>
      <c r="L37" s="220">
        <f t="shared" si="7"/>
        <v>126348.03199999999</v>
      </c>
      <c r="M37" s="220">
        <f t="shared" si="8"/>
        <v>268489.56799999997</v>
      </c>
      <c r="N37" s="206"/>
      <c r="P37" s="252">
        <f t="shared" si="1"/>
        <v>268489.56799999997</v>
      </c>
      <c r="Q37" s="398">
        <f t="shared" si="9"/>
        <v>0.14823458787484523</v>
      </c>
      <c r="R37" s="88">
        <f t="shared" si="10"/>
        <v>32</v>
      </c>
      <c r="S37" s="77">
        <f t="shared" si="11"/>
        <v>4.7435068119950472</v>
      </c>
      <c r="T37" s="392">
        <f t="shared" si="12"/>
        <v>220200.40500385233</v>
      </c>
      <c r="U37" s="392">
        <f t="shared" si="13"/>
        <v>6881.2626563703852</v>
      </c>
      <c r="V37" s="392">
        <f t="shared" si="14"/>
        <v>8390.2989999999991</v>
      </c>
    </row>
    <row r="38" spans="1:22" x14ac:dyDescent="0.2">
      <c r="A38" s="131" t="s">
        <v>100</v>
      </c>
      <c r="B38" s="205"/>
      <c r="C38" s="206"/>
      <c r="D38" s="206"/>
      <c r="E38" s="206"/>
      <c r="F38" s="207"/>
      <c r="G38" s="220"/>
      <c r="H38" s="209"/>
      <c r="I38" s="209"/>
      <c r="J38" s="221"/>
      <c r="K38" s="237">
        <f>SUM(K9:K37)</f>
        <v>171704.20919999998</v>
      </c>
      <c r="L38" s="239">
        <f>-K38-190535.5-185603.96-185003.6-182466.08</f>
        <v>-915313.34919999994</v>
      </c>
      <c r="M38" s="220">
        <f t="shared" si="8"/>
        <v>915313.34919999994</v>
      </c>
      <c r="N38" s="206"/>
      <c r="P38" s="252">
        <f t="shared" si="1"/>
        <v>915313.34919999994</v>
      </c>
      <c r="Q38" s="398">
        <f t="shared" si="9"/>
        <v>0.50534960484947522</v>
      </c>
      <c r="R38" s="88">
        <v>34</v>
      </c>
      <c r="S38" s="77">
        <f t="shared" si="11"/>
        <v>17.181886564882156</v>
      </c>
      <c r="T38" s="392">
        <f t="shared" si="12"/>
        <v>750689.76310942753</v>
      </c>
      <c r="U38" s="392">
        <f t="shared" si="13"/>
        <v>22079.110679689045</v>
      </c>
      <c r="V38" s="392">
        <f t="shared" si="14"/>
        <v>26920.980858823528</v>
      </c>
    </row>
    <row r="39" spans="1:22" s="112" customFormat="1" x14ac:dyDescent="0.2">
      <c r="A39" s="131"/>
      <c r="B39" s="191"/>
      <c r="C39" s="173"/>
      <c r="D39" s="173"/>
      <c r="E39" s="173"/>
      <c r="F39" s="175"/>
      <c r="G39" s="221"/>
      <c r="H39" s="176"/>
      <c r="I39" s="176"/>
      <c r="J39" s="221"/>
      <c r="K39" s="221"/>
      <c r="L39" s="221"/>
      <c r="M39" s="221"/>
      <c r="N39" s="173"/>
      <c r="P39" s="252">
        <f t="shared" si="1"/>
        <v>0</v>
      </c>
      <c r="Q39" s="398">
        <f t="shared" si="9"/>
        <v>0</v>
      </c>
      <c r="R39" s="88">
        <f t="shared" si="10"/>
        <v>40</v>
      </c>
      <c r="S39" s="77">
        <f t="shared" si="11"/>
        <v>0</v>
      </c>
      <c r="T39" s="392">
        <f t="shared" si="12"/>
        <v>0</v>
      </c>
      <c r="U39" s="392">
        <f t="shared" si="13"/>
        <v>0</v>
      </c>
      <c r="V39" s="392">
        <f t="shared" si="14"/>
        <v>0</v>
      </c>
    </row>
    <row r="40" spans="1:22" x14ac:dyDescent="0.2">
      <c r="A40" s="203" t="s">
        <v>150</v>
      </c>
      <c r="B40" s="256"/>
      <c r="C40" s="173">
        <v>2006</v>
      </c>
      <c r="D40" s="173">
        <v>25</v>
      </c>
      <c r="E40" s="173">
        <f t="shared" si="2"/>
        <v>2030</v>
      </c>
      <c r="F40" s="175">
        <f t="shared" si="0"/>
        <v>0.04</v>
      </c>
      <c r="G40" s="221">
        <v>-2852808.23</v>
      </c>
      <c r="H40" s="176"/>
      <c r="I40" s="209"/>
      <c r="J40" s="221">
        <f>+G40*F40</f>
        <v>-114112.32920000001</v>
      </c>
      <c r="K40" s="221"/>
      <c r="L40" s="221">
        <v>-1811337.52</v>
      </c>
      <c r="M40" s="221">
        <f t="shared" ref="M40:M47" si="15">+G40-L40</f>
        <v>-1041470.71</v>
      </c>
      <c r="N40" s="173"/>
      <c r="O40" s="253"/>
      <c r="P40" s="252">
        <f t="shared" si="1"/>
        <v>-1041470.71</v>
      </c>
      <c r="Q40" s="398">
        <f t="shared" si="9"/>
        <v>-0.57500178733414498</v>
      </c>
      <c r="R40" s="88">
        <v>34</v>
      </c>
      <c r="S40" s="77">
        <f t="shared" si="11"/>
        <v>-19.550060769360929</v>
      </c>
      <c r="T40" s="392">
        <f t="shared" si="12"/>
        <v>-854157.10505984968</v>
      </c>
      <c r="U40" s="392">
        <f t="shared" si="13"/>
        <v>-25122.267795877931</v>
      </c>
      <c r="V40" s="392">
        <f t="shared" si="14"/>
        <v>-30631.491470588233</v>
      </c>
    </row>
    <row r="41" spans="1:22" x14ac:dyDescent="0.2">
      <c r="A41" s="203" t="s">
        <v>150</v>
      </c>
      <c r="B41" s="256"/>
      <c r="C41" s="173">
        <v>2006</v>
      </c>
      <c r="D41" s="173"/>
      <c r="E41" s="173"/>
      <c r="F41" s="175"/>
      <c r="G41" s="221"/>
      <c r="H41" s="176"/>
      <c r="I41" s="209"/>
      <c r="J41" s="221"/>
      <c r="K41" s="237">
        <f>+K38*0.5</f>
        <v>85852.104599999991</v>
      </c>
      <c r="L41" s="239">
        <f>+K41+95267.75+92801.98+92501.8+91233.04</f>
        <v>457656.67459999997</v>
      </c>
      <c r="M41" s="221">
        <f t="shared" si="15"/>
        <v>-457656.67459999997</v>
      </c>
      <c r="N41" s="173"/>
      <c r="P41" s="252">
        <f t="shared" si="1"/>
        <v>-457656.67459999997</v>
      </c>
      <c r="Q41" s="398">
        <f t="shared" si="9"/>
        <v>-0.25267480242473761</v>
      </c>
      <c r="R41" s="88">
        <v>34</v>
      </c>
      <c r="S41" s="77">
        <f t="shared" si="11"/>
        <v>-8.5909432824410779</v>
      </c>
      <c r="T41" s="392">
        <f t="shared" si="12"/>
        <v>-375344.88155471376</v>
      </c>
      <c r="U41" s="392">
        <f t="shared" si="13"/>
        <v>-11039.555339844523</v>
      </c>
      <c r="V41" s="392">
        <f t="shared" si="14"/>
        <v>-13460.490429411764</v>
      </c>
    </row>
    <row r="42" spans="1:22" x14ac:dyDescent="0.2">
      <c r="A42" s="203" t="s">
        <v>149</v>
      </c>
      <c r="B42" s="205">
        <v>39082</v>
      </c>
      <c r="C42" s="206">
        <v>2006</v>
      </c>
      <c r="D42" s="206">
        <v>25</v>
      </c>
      <c r="E42" s="206">
        <f t="shared" si="2"/>
        <v>2030</v>
      </c>
      <c r="F42" s="207">
        <f t="shared" si="0"/>
        <v>0.04</v>
      </c>
      <c r="G42" s="220">
        <v>244593.18</v>
      </c>
      <c r="H42" s="209">
        <f t="shared" ref="H42:H47" si="16">IF(+G42&gt;0,IF(+$B$6-C42+1&gt;D42,D42,+$B$6-C42+1),0)</f>
        <v>7</v>
      </c>
      <c r="I42" s="209">
        <f t="shared" ref="I42:I47" si="17">IF(E42&gt;=$B$6,+D42-H42,0)</f>
        <v>18</v>
      </c>
      <c r="J42" s="220">
        <f t="shared" ref="J42:J47" si="18">+G42*F42</f>
        <v>9783.7271999999994</v>
      </c>
      <c r="K42" s="220">
        <f t="shared" ref="K42:K47" si="19">IF(E42&gt;=$B$6,+J42,0)</f>
        <v>9783.7271999999994</v>
      </c>
      <c r="L42" s="220">
        <f t="shared" ref="L42:L47" si="20">+J42*H42</f>
        <v>68486.090400000001</v>
      </c>
      <c r="M42" s="220">
        <f t="shared" si="15"/>
        <v>176107.08960000001</v>
      </c>
      <c r="N42" s="206"/>
      <c r="P42" s="252">
        <f t="shared" si="1"/>
        <v>176107.08960000001</v>
      </c>
      <c r="Q42" s="398">
        <f t="shared" si="9"/>
        <v>9.7229706327712689E-2</v>
      </c>
      <c r="R42" s="88">
        <f t="shared" si="10"/>
        <v>33</v>
      </c>
      <c r="S42" s="77">
        <f t="shared" si="11"/>
        <v>3.2085803088145188</v>
      </c>
      <c r="T42" s="392">
        <f t="shared" si="12"/>
        <v>144433.3675339286</v>
      </c>
      <c r="U42" s="392">
        <f t="shared" si="13"/>
        <v>4376.7687131493512</v>
      </c>
      <c r="V42" s="392">
        <f t="shared" si="14"/>
        <v>5336.578472727273</v>
      </c>
    </row>
    <row r="43" spans="1:22" x14ac:dyDescent="0.2">
      <c r="A43" s="203" t="s">
        <v>149</v>
      </c>
      <c r="B43" s="205">
        <v>39447</v>
      </c>
      <c r="C43" s="206">
        <v>2007</v>
      </c>
      <c r="D43" s="206">
        <v>25</v>
      </c>
      <c r="E43" s="206">
        <f t="shared" ref="E43:E48" si="21">+C43+D43-1</f>
        <v>2031</v>
      </c>
      <c r="F43" s="207">
        <f t="shared" ref="F43:F48" si="22">IF(D43&gt;0,1/D43,0)</f>
        <v>0.04</v>
      </c>
      <c r="G43" s="220">
        <f>100766.37+37106.28+2117.98+31423.95+763.42+21565.15+57709.85</f>
        <v>251453.00000000003</v>
      </c>
      <c r="H43" s="209">
        <f t="shared" si="16"/>
        <v>6</v>
      </c>
      <c r="I43" s="209">
        <f t="shared" si="17"/>
        <v>19</v>
      </c>
      <c r="J43" s="220">
        <f t="shared" si="18"/>
        <v>10058.120000000001</v>
      </c>
      <c r="K43" s="220">
        <f t="shared" si="19"/>
        <v>10058.120000000001</v>
      </c>
      <c r="L43" s="220">
        <f t="shared" si="20"/>
        <v>60348.72</v>
      </c>
      <c r="M43" s="220">
        <f t="shared" si="15"/>
        <v>191104.28000000003</v>
      </c>
      <c r="N43" s="206"/>
      <c r="P43" s="252">
        <f t="shared" si="1"/>
        <v>191104.28000000003</v>
      </c>
      <c r="Q43" s="398">
        <f t="shared" si="9"/>
        <v>0.1055097387877619</v>
      </c>
      <c r="R43" s="88">
        <f t="shared" si="10"/>
        <v>34</v>
      </c>
      <c r="S43" s="77">
        <f t="shared" si="11"/>
        <v>3.5873311187839048</v>
      </c>
      <c r="T43" s="392">
        <f t="shared" si="12"/>
        <v>156733.23983287727</v>
      </c>
      <c r="U43" s="392">
        <f t="shared" si="13"/>
        <v>4609.8011715552138</v>
      </c>
      <c r="V43" s="392">
        <f t="shared" si="14"/>
        <v>5620.7141176470595</v>
      </c>
    </row>
    <row r="44" spans="1:22" x14ac:dyDescent="0.2">
      <c r="A44" s="203" t="s">
        <v>149</v>
      </c>
      <c r="B44" s="205">
        <v>39813</v>
      </c>
      <c r="C44" s="206">
        <v>2008</v>
      </c>
      <c r="D44" s="206">
        <v>25</v>
      </c>
      <c r="E44" s="206">
        <f t="shared" si="21"/>
        <v>2032</v>
      </c>
      <c r="F44" s="207">
        <f t="shared" si="22"/>
        <v>0.04</v>
      </c>
      <c r="G44" s="221">
        <f>31506.28+42267.06+60553.8+109407.82+2276.9+72258.87+11657.99</f>
        <v>329928.71999999997</v>
      </c>
      <c r="H44" s="209">
        <f t="shared" si="16"/>
        <v>5</v>
      </c>
      <c r="I44" s="209">
        <f t="shared" si="17"/>
        <v>20</v>
      </c>
      <c r="J44" s="220">
        <f t="shared" si="18"/>
        <v>13197.148799999999</v>
      </c>
      <c r="K44" s="220">
        <f t="shared" si="19"/>
        <v>13197.148799999999</v>
      </c>
      <c r="L44" s="220">
        <f t="shared" si="20"/>
        <v>65985.743999999992</v>
      </c>
      <c r="M44" s="220">
        <f t="shared" si="15"/>
        <v>263942.97599999997</v>
      </c>
      <c r="N44" s="206"/>
      <c r="P44" s="252">
        <f t="shared" si="1"/>
        <v>263942.97599999997</v>
      </c>
      <c r="Q44" s="398">
        <f t="shared" si="9"/>
        <v>0.14572438907503538</v>
      </c>
      <c r="R44" s="88">
        <f t="shared" si="10"/>
        <v>35</v>
      </c>
      <c r="S44" s="77">
        <f t="shared" si="11"/>
        <v>5.1003536176262383</v>
      </c>
      <c r="T44" s="392">
        <f t="shared" si="12"/>
        <v>216471.53982951801</v>
      </c>
      <c r="U44" s="392">
        <f t="shared" si="13"/>
        <v>6184.9011379862286</v>
      </c>
      <c r="V44" s="392">
        <f t="shared" si="14"/>
        <v>7541.2278857142846</v>
      </c>
    </row>
    <row r="45" spans="1:22" x14ac:dyDescent="0.2">
      <c r="A45" s="203" t="s">
        <v>149</v>
      </c>
      <c r="B45" s="205">
        <v>40178</v>
      </c>
      <c r="C45" s="206">
        <v>2009</v>
      </c>
      <c r="D45" s="206">
        <v>25</v>
      </c>
      <c r="E45" s="206">
        <f t="shared" si="21"/>
        <v>2033</v>
      </c>
      <c r="F45" s="207">
        <f t="shared" si="22"/>
        <v>0.04</v>
      </c>
      <c r="G45" s="221">
        <f>6043.14+712.14</f>
        <v>6755.2800000000007</v>
      </c>
      <c r="H45" s="209">
        <f t="shared" si="16"/>
        <v>4</v>
      </c>
      <c r="I45" s="209">
        <f t="shared" si="17"/>
        <v>21</v>
      </c>
      <c r="J45" s="220">
        <f t="shared" si="18"/>
        <v>270.21120000000002</v>
      </c>
      <c r="K45" s="220">
        <f t="shared" si="19"/>
        <v>270.21120000000002</v>
      </c>
      <c r="L45" s="220">
        <f t="shared" si="20"/>
        <v>1080.8448000000001</v>
      </c>
      <c r="M45" s="220">
        <f t="shared" si="15"/>
        <v>5674.4352000000008</v>
      </c>
      <c r="N45" s="206"/>
      <c r="P45" s="252">
        <f t="shared" si="1"/>
        <v>5674.4352000000008</v>
      </c>
      <c r="Q45" s="398">
        <f t="shared" si="9"/>
        <v>3.1328873205774431E-3</v>
      </c>
      <c r="R45" s="88">
        <f t="shared" si="10"/>
        <v>36</v>
      </c>
      <c r="S45" s="77">
        <f t="shared" si="11"/>
        <v>0.11278394354078795</v>
      </c>
      <c r="T45" s="392">
        <f t="shared" si="12"/>
        <v>4653.860254295304</v>
      </c>
      <c r="U45" s="392">
        <f t="shared" si="13"/>
        <v>129.27389595264734</v>
      </c>
      <c r="V45" s="392">
        <f t="shared" si="14"/>
        <v>157.62320000000003</v>
      </c>
    </row>
    <row r="46" spans="1:22" x14ac:dyDescent="0.2">
      <c r="A46" s="203" t="s">
        <v>149</v>
      </c>
      <c r="B46" s="205">
        <v>40543</v>
      </c>
      <c r="C46" s="206">
        <v>2010</v>
      </c>
      <c r="D46" s="206">
        <v>25</v>
      </c>
      <c r="E46" s="206">
        <f t="shared" si="21"/>
        <v>2034</v>
      </c>
      <c r="F46" s="207">
        <f t="shared" si="22"/>
        <v>0.04</v>
      </c>
      <c r="G46" s="221">
        <f>1398.35+34530.94+52094.55+137.09+72517.76</f>
        <v>160678.69</v>
      </c>
      <c r="H46" s="209">
        <f t="shared" si="16"/>
        <v>3</v>
      </c>
      <c r="I46" s="209">
        <f t="shared" si="17"/>
        <v>22</v>
      </c>
      <c r="J46" s="220">
        <f t="shared" si="18"/>
        <v>6427.1476000000002</v>
      </c>
      <c r="K46" s="220">
        <f t="shared" si="19"/>
        <v>6427.1476000000002</v>
      </c>
      <c r="L46" s="220">
        <f t="shared" si="20"/>
        <v>19281.442800000001</v>
      </c>
      <c r="M46" s="220">
        <f t="shared" si="15"/>
        <v>141397.24720000001</v>
      </c>
      <c r="N46" s="206"/>
      <c r="P46" s="252">
        <f t="shared" si="1"/>
        <v>141397.24720000001</v>
      </c>
      <c r="Q46" s="398">
        <f t="shared" si="9"/>
        <v>7.8066208759848793E-2</v>
      </c>
      <c r="R46" s="88">
        <f t="shared" si="10"/>
        <v>37</v>
      </c>
      <c r="S46" s="77">
        <f t="shared" si="11"/>
        <v>2.8884497241144054</v>
      </c>
      <c r="T46" s="392">
        <f t="shared" si="12"/>
        <v>115966.26018583274</v>
      </c>
      <c r="U46" s="392">
        <f t="shared" si="13"/>
        <v>3134.2232482657496</v>
      </c>
      <c r="V46" s="392">
        <f t="shared" si="14"/>
        <v>3821.5472216216222</v>
      </c>
    </row>
    <row r="47" spans="1:22" x14ac:dyDescent="0.2">
      <c r="A47" s="203" t="s">
        <v>149</v>
      </c>
      <c r="B47" s="205">
        <v>40908</v>
      </c>
      <c r="C47" s="206">
        <v>2011</v>
      </c>
      <c r="D47" s="206">
        <v>25</v>
      </c>
      <c r="E47" s="206">
        <f t="shared" si="21"/>
        <v>2035</v>
      </c>
      <c r="F47" s="207">
        <f t="shared" si="22"/>
        <v>0.04</v>
      </c>
      <c r="G47" s="221">
        <f>616.34+113526.26</f>
        <v>114142.59999999999</v>
      </c>
      <c r="H47" s="209">
        <f t="shared" si="16"/>
        <v>2</v>
      </c>
      <c r="I47" s="209">
        <f t="shared" si="17"/>
        <v>23</v>
      </c>
      <c r="J47" s="220">
        <f t="shared" si="18"/>
        <v>4565.7039999999997</v>
      </c>
      <c r="K47" s="220">
        <f t="shared" si="19"/>
        <v>4565.7039999999997</v>
      </c>
      <c r="L47" s="220">
        <f t="shared" si="20"/>
        <v>9131.4079999999994</v>
      </c>
      <c r="M47" s="220">
        <f t="shared" si="15"/>
        <v>105011.192</v>
      </c>
      <c r="N47" s="206"/>
      <c r="P47" s="252">
        <f t="shared" si="1"/>
        <v>105011.192</v>
      </c>
      <c r="Q47" s="398">
        <f t="shared" si="9"/>
        <v>5.7977264756767927E-2</v>
      </c>
      <c r="R47" s="88">
        <f t="shared" si="10"/>
        <v>38</v>
      </c>
      <c r="S47" s="77">
        <f t="shared" si="11"/>
        <v>2.2031360607571813</v>
      </c>
      <c r="T47" s="392">
        <f t="shared" si="12"/>
        <v>86124.415114472155</v>
      </c>
      <c r="U47" s="392">
        <f t="shared" si="13"/>
        <v>2266.4319766966355</v>
      </c>
      <c r="V47" s="392">
        <f t="shared" si="14"/>
        <v>2763.4524210526315</v>
      </c>
    </row>
    <row r="48" spans="1:22" x14ac:dyDescent="0.2">
      <c r="A48" s="203"/>
      <c r="B48" s="205">
        <v>41274</v>
      </c>
      <c r="C48" s="206">
        <v>2012</v>
      </c>
      <c r="D48" s="206">
        <v>25</v>
      </c>
      <c r="E48" s="206">
        <f t="shared" si="21"/>
        <v>2036</v>
      </c>
      <c r="F48" s="207">
        <f t="shared" si="22"/>
        <v>0.04</v>
      </c>
      <c r="G48" s="221">
        <v>459743.43</v>
      </c>
      <c r="H48" s="209">
        <f t="shared" ref="H48" si="23">IF(+G48&gt;0,IF(+$B$6-C48+1&gt;D48,D48,+$B$6-C48+1),0)</f>
        <v>1</v>
      </c>
      <c r="I48" s="209">
        <f t="shared" ref="I48" si="24">IF(E48&gt;=$B$6,+D48-H48,0)</f>
        <v>24</v>
      </c>
      <c r="J48" s="220">
        <f t="shared" ref="J48" si="25">+G48*F48</f>
        <v>18389.7372</v>
      </c>
      <c r="K48" s="220">
        <f t="shared" ref="K48" si="26">IF(E48&gt;=$B$6,+J48,0)</f>
        <v>18389.7372</v>
      </c>
      <c r="L48" s="220">
        <f t="shared" ref="L48" si="27">+J48*H48</f>
        <v>18389.7372</v>
      </c>
      <c r="M48" s="220">
        <f t="shared" ref="M48" si="28">+G48-L48</f>
        <v>441353.69280000002</v>
      </c>
      <c r="N48" s="206"/>
      <c r="P48" s="252"/>
    </row>
    <row r="49" spans="1:22" s="81" customFormat="1" ht="13.7" customHeight="1" x14ac:dyDescent="0.2">
      <c r="A49" s="131" t="s">
        <v>100</v>
      </c>
      <c r="B49" s="257"/>
      <c r="C49" s="212"/>
      <c r="D49" s="212"/>
      <c r="E49" s="212"/>
      <c r="F49" s="212"/>
      <c r="G49" s="223">
        <f>SUM(G9:G48)</f>
        <v>4396355.1399999987</v>
      </c>
      <c r="H49" s="240"/>
      <c r="I49" s="240"/>
      <c r="J49" s="222"/>
      <c r="K49" s="230">
        <f>SUM(K41:K48)</f>
        <v>148543.90059999996</v>
      </c>
      <c r="L49" s="223">
        <f>SUM(L9:L48)</f>
        <v>2143753.6686</v>
      </c>
      <c r="M49" s="242">
        <f>+G49-L49</f>
        <v>2252601.4713999988</v>
      </c>
      <c r="N49" s="212"/>
      <c r="O49" s="96"/>
      <c r="P49" s="252">
        <f>SUM(P9:P48)</f>
        <v>1811247.7786000003</v>
      </c>
      <c r="S49" s="81">
        <f>SUM(S19:S48)</f>
        <v>28.175930622946737</v>
      </c>
      <c r="T49" s="403">
        <f>SUM(T19:T48)</f>
        <v>1485486.0000000005</v>
      </c>
      <c r="U49" s="403">
        <f>SUM(U19:U48)</f>
        <v>54837.018868648323</v>
      </c>
      <c r="V49" s="403">
        <f>SUM(V19:V48)</f>
        <v>66862.581411662977</v>
      </c>
    </row>
    <row r="50" spans="1:22" s="81" customFormat="1" ht="13.7" customHeight="1" x14ac:dyDescent="0.2">
      <c r="A50" s="97"/>
      <c r="B50" s="254"/>
      <c r="C50" s="92"/>
      <c r="D50" s="92"/>
      <c r="E50" s="92"/>
      <c r="F50" s="92"/>
      <c r="G50" s="225"/>
      <c r="H50" s="251"/>
      <c r="I50" s="251"/>
      <c r="J50" s="252"/>
      <c r="K50" s="225"/>
      <c r="L50" s="225"/>
      <c r="M50" s="250"/>
      <c r="N50" s="92"/>
      <c r="O50" s="96"/>
    </row>
    <row r="51" spans="1:22" x14ac:dyDescent="0.2">
      <c r="B51" s="197"/>
      <c r="F51" s="100"/>
      <c r="G51" s="250"/>
      <c r="H51" s="258"/>
      <c r="I51" s="250"/>
      <c r="J51" s="250"/>
      <c r="K51" s="250"/>
      <c r="L51" s="250">
        <v>1906280.26</v>
      </c>
      <c r="M51" s="250"/>
      <c r="N51" s="92"/>
      <c r="P51" s="77" t="s">
        <v>303</v>
      </c>
      <c r="Q51" s="401">
        <v>1485486</v>
      </c>
    </row>
    <row r="52" spans="1:22" x14ac:dyDescent="0.2">
      <c r="B52" s="197"/>
      <c r="F52" s="247"/>
      <c r="G52" s="250"/>
      <c r="H52" s="258"/>
      <c r="I52" s="250"/>
      <c r="J52" s="250"/>
      <c r="K52" s="250"/>
      <c r="L52" s="250"/>
      <c r="M52" s="250"/>
      <c r="N52" s="92"/>
      <c r="P52" s="77" t="s">
        <v>304</v>
      </c>
      <c r="Q52" s="77">
        <v>29</v>
      </c>
    </row>
    <row r="53" spans="1:22" x14ac:dyDescent="0.2">
      <c r="B53" s="197"/>
      <c r="F53" s="247"/>
      <c r="G53" s="250"/>
      <c r="H53" s="258"/>
      <c r="I53" s="250"/>
      <c r="J53" s="250"/>
      <c r="K53" s="250"/>
      <c r="L53" s="250">
        <f>+L49-L51</f>
        <v>237473.40859999997</v>
      </c>
      <c r="M53" s="250"/>
      <c r="N53" s="92"/>
      <c r="Q53" s="401">
        <f>+Q51/Q52</f>
        <v>51223.65517241379</v>
      </c>
      <c r="S53" s="77" t="s">
        <v>305</v>
      </c>
      <c r="U53" s="392">
        <f>+U49</f>
        <v>54837.018868648323</v>
      </c>
    </row>
    <row r="54" spans="1:22" x14ac:dyDescent="0.2">
      <c r="B54" s="197"/>
      <c r="G54" s="252"/>
      <c r="H54" s="251"/>
      <c r="I54" s="252"/>
      <c r="J54" s="252"/>
      <c r="K54" s="252"/>
      <c r="L54" s="252"/>
      <c r="M54" s="252"/>
    </row>
    <row r="55" spans="1:22" x14ac:dyDescent="0.2">
      <c r="B55" s="197"/>
    </row>
    <row r="56" spans="1:22" x14ac:dyDescent="0.2">
      <c r="B56" s="197"/>
    </row>
    <row r="57" spans="1:22" x14ac:dyDescent="0.2">
      <c r="B57" s="197"/>
      <c r="F57" s="378"/>
      <c r="G57" s="112"/>
      <c r="H57" s="111"/>
      <c r="I57" s="112"/>
    </row>
    <row r="58" spans="1:22" x14ac:dyDescent="0.2">
      <c r="B58" s="197"/>
    </row>
    <row r="59" spans="1:22" x14ac:dyDescent="0.2">
      <c r="B59" s="197"/>
    </row>
    <row r="60" spans="1:22" x14ac:dyDescent="0.2">
      <c r="B60" s="197"/>
    </row>
    <row r="61" spans="1:22" x14ac:dyDescent="0.2">
      <c r="B61" s="197"/>
    </row>
    <row r="62" spans="1:22" x14ac:dyDescent="0.2">
      <c r="B62" s="197"/>
    </row>
  </sheetData>
  <printOptions horizontalCentered="1"/>
  <pageMargins left="0.39370078740157483" right="0.39370078740157483" top="0.39370078740157483" bottom="0.78740157480314965" header="0" footer="0.59055118110236227"/>
  <pageSetup scale="51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topLeftCell="A9" workbookViewId="0">
      <selection activeCell="E27" sqref="E27:G35"/>
    </sheetView>
  </sheetViews>
  <sheetFormatPr defaultColWidth="9.140625" defaultRowHeight="12.75" x14ac:dyDescent="0.2"/>
  <cols>
    <col min="1" max="1" width="29.140625" style="77" customWidth="1"/>
    <col min="2" max="2" width="10.85546875" style="79" customWidth="1"/>
    <col min="3" max="3" width="9.140625" style="79" customWidth="1"/>
    <col min="4" max="4" width="6.42578125" style="79" customWidth="1"/>
    <col min="5" max="5" width="10.140625" style="79" bestFit="1" customWidth="1"/>
    <col min="6" max="6" width="7.5703125" style="79" customWidth="1"/>
    <col min="7" max="7" width="13.5703125" style="77" bestFit="1" customWidth="1"/>
    <col min="8" max="8" width="10.28515625" style="79" customWidth="1"/>
    <col min="9" max="9" width="10.42578125" style="77" customWidth="1"/>
    <col min="10" max="10" width="10.140625" style="77" bestFit="1" customWidth="1"/>
    <col min="11" max="11" width="12.140625" style="77" customWidth="1"/>
    <col min="12" max="12" width="13.5703125" style="77" bestFit="1" customWidth="1"/>
    <col min="13" max="13" width="13.42578125" style="77" customWidth="1"/>
    <col min="14" max="14" width="10.5703125" style="79" customWidth="1"/>
    <col min="15" max="15" width="12.42578125" style="77" bestFit="1" customWidth="1"/>
    <col min="16" max="17" width="9.140625" style="77"/>
    <col min="18" max="18" width="13.5703125" style="77" bestFit="1" customWidth="1"/>
    <col min="19" max="249" width="9.140625" style="77"/>
    <col min="250" max="251" width="10" style="77" customWidth="1"/>
    <col min="252" max="252" width="9.140625" style="77"/>
    <col min="253" max="253" width="29.140625" style="77" customWidth="1"/>
    <col min="254" max="254" width="12.85546875" style="77" customWidth="1"/>
    <col min="255" max="256" width="13.140625" style="77" customWidth="1"/>
    <col min="257" max="257" width="9.140625" style="77"/>
    <col min="258" max="258" width="12.85546875" style="77" customWidth="1"/>
    <col min="259" max="259" width="9.140625" style="77"/>
    <col min="260" max="260" width="10.42578125" style="77" customWidth="1"/>
    <col min="261" max="262" width="13.140625" style="77" customWidth="1"/>
    <col min="263" max="263" width="11.7109375" style="77" customWidth="1"/>
    <col min="264" max="264" width="14.85546875" style="77" customWidth="1"/>
    <col min="265" max="265" width="13.42578125" style="77" bestFit="1" customWidth="1"/>
    <col min="266" max="266" width="14.85546875" style="77" customWidth="1"/>
    <col min="267" max="267" width="13.42578125" style="77" bestFit="1" customWidth="1"/>
    <col min="268" max="268" width="14.85546875" style="77" customWidth="1"/>
    <col min="269" max="269" width="16.5703125" style="77" customWidth="1"/>
    <col min="270" max="270" width="10.5703125" style="77" customWidth="1"/>
    <col min="271" max="271" width="12.42578125" style="77" bestFit="1" customWidth="1"/>
    <col min="272" max="505" width="9.140625" style="77"/>
    <col min="506" max="507" width="10" style="77" customWidth="1"/>
    <col min="508" max="508" width="9.140625" style="77"/>
    <col min="509" max="509" width="29.140625" style="77" customWidth="1"/>
    <col min="510" max="510" width="12.85546875" style="77" customWidth="1"/>
    <col min="511" max="512" width="13.140625" style="77" customWidth="1"/>
    <col min="513" max="513" width="9.140625" style="77"/>
    <col min="514" max="514" width="12.85546875" style="77" customWidth="1"/>
    <col min="515" max="515" width="9.140625" style="77"/>
    <col min="516" max="516" width="10.42578125" style="77" customWidth="1"/>
    <col min="517" max="518" width="13.140625" style="77" customWidth="1"/>
    <col min="519" max="519" width="11.7109375" style="77" customWidth="1"/>
    <col min="520" max="520" width="14.85546875" style="77" customWidth="1"/>
    <col min="521" max="521" width="13.42578125" style="77" bestFit="1" customWidth="1"/>
    <col min="522" max="522" width="14.85546875" style="77" customWidth="1"/>
    <col min="523" max="523" width="13.42578125" style="77" bestFit="1" customWidth="1"/>
    <col min="524" max="524" width="14.85546875" style="77" customWidth="1"/>
    <col min="525" max="525" width="16.5703125" style="77" customWidth="1"/>
    <col min="526" max="526" width="10.5703125" style="77" customWidth="1"/>
    <col min="527" max="527" width="12.42578125" style="77" bestFit="1" customWidth="1"/>
    <col min="528" max="761" width="9.140625" style="77"/>
    <col min="762" max="763" width="10" style="77" customWidth="1"/>
    <col min="764" max="764" width="9.140625" style="77"/>
    <col min="765" max="765" width="29.140625" style="77" customWidth="1"/>
    <col min="766" max="766" width="12.85546875" style="77" customWidth="1"/>
    <col min="767" max="768" width="13.140625" style="77" customWidth="1"/>
    <col min="769" max="769" width="9.140625" style="77"/>
    <col min="770" max="770" width="12.85546875" style="77" customWidth="1"/>
    <col min="771" max="771" width="9.140625" style="77"/>
    <col min="772" max="772" width="10.42578125" style="77" customWidth="1"/>
    <col min="773" max="774" width="13.140625" style="77" customWidth="1"/>
    <col min="775" max="775" width="11.7109375" style="77" customWidth="1"/>
    <col min="776" max="776" width="14.85546875" style="77" customWidth="1"/>
    <col min="777" max="777" width="13.42578125" style="77" bestFit="1" customWidth="1"/>
    <col min="778" max="778" width="14.85546875" style="77" customWidth="1"/>
    <col min="779" max="779" width="13.42578125" style="77" bestFit="1" customWidth="1"/>
    <col min="780" max="780" width="14.85546875" style="77" customWidth="1"/>
    <col min="781" max="781" width="16.5703125" style="77" customWidth="1"/>
    <col min="782" max="782" width="10.5703125" style="77" customWidth="1"/>
    <col min="783" max="783" width="12.42578125" style="77" bestFit="1" customWidth="1"/>
    <col min="784" max="1017" width="9.140625" style="77"/>
    <col min="1018" max="1019" width="10" style="77" customWidth="1"/>
    <col min="1020" max="1020" width="9.140625" style="77"/>
    <col min="1021" max="1021" width="29.140625" style="77" customWidth="1"/>
    <col min="1022" max="1022" width="12.85546875" style="77" customWidth="1"/>
    <col min="1023" max="1024" width="13.140625" style="77" customWidth="1"/>
    <col min="1025" max="1025" width="9.140625" style="77"/>
    <col min="1026" max="1026" width="12.85546875" style="77" customWidth="1"/>
    <col min="1027" max="1027" width="9.140625" style="77"/>
    <col min="1028" max="1028" width="10.42578125" style="77" customWidth="1"/>
    <col min="1029" max="1030" width="13.140625" style="77" customWidth="1"/>
    <col min="1031" max="1031" width="11.7109375" style="77" customWidth="1"/>
    <col min="1032" max="1032" width="14.85546875" style="77" customWidth="1"/>
    <col min="1033" max="1033" width="13.42578125" style="77" bestFit="1" customWidth="1"/>
    <col min="1034" max="1034" width="14.85546875" style="77" customWidth="1"/>
    <col min="1035" max="1035" width="13.42578125" style="77" bestFit="1" customWidth="1"/>
    <col min="1036" max="1036" width="14.85546875" style="77" customWidth="1"/>
    <col min="1037" max="1037" width="16.5703125" style="77" customWidth="1"/>
    <col min="1038" max="1038" width="10.5703125" style="77" customWidth="1"/>
    <col min="1039" max="1039" width="12.42578125" style="77" bestFit="1" customWidth="1"/>
    <col min="1040" max="1273" width="9.140625" style="77"/>
    <col min="1274" max="1275" width="10" style="77" customWidth="1"/>
    <col min="1276" max="1276" width="9.140625" style="77"/>
    <col min="1277" max="1277" width="29.140625" style="77" customWidth="1"/>
    <col min="1278" max="1278" width="12.85546875" style="77" customWidth="1"/>
    <col min="1279" max="1280" width="13.140625" style="77" customWidth="1"/>
    <col min="1281" max="1281" width="9.140625" style="77"/>
    <col min="1282" max="1282" width="12.85546875" style="77" customWidth="1"/>
    <col min="1283" max="1283" width="9.140625" style="77"/>
    <col min="1284" max="1284" width="10.42578125" style="77" customWidth="1"/>
    <col min="1285" max="1286" width="13.140625" style="77" customWidth="1"/>
    <col min="1287" max="1287" width="11.7109375" style="77" customWidth="1"/>
    <col min="1288" max="1288" width="14.85546875" style="77" customWidth="1"/>
    <col min="1289" max="1289" width="13.42578125" style="77" bestFit="1" customWidth="1"/>
    <col min="1290" max="1290" width="14.85546875" style="77" customWidth="1"/>
    <col min="1291" max="1291" width="13.42578125" style="77" bestFit="1" customWidth="1"/>
    <col min="1292" max="1292" width="14.85546875" style="77" customWidth="1"/>
    <col min="1293" max="1293" width="16.5703125" style="77" customWidth="1"/>
    <col min="1294" max="1294" width="10.5703125" style="77" customWidth="1"/>
    <col min="1295" max="1295" width="12.42578125" style="77" bestFit="1" customWidth="1"/>
    <col min="1296" max="1529" width="9.140625" style="77"/>
    <col min="1530" max="1531" width="10" style="77" customWidth="1"/>
    <col min="1532" max="1532" width="9.140625" style="77"/>
    <col min="1533" max="1533" width="29.140625" style="77" customWidth="1"/>
    <col min="1534" max="1534" width="12.85546875" style="77" customWidth="1"/>
    <col min="1535" max="1536" width="13.140625" style="77" customWidth="1"/>
    <col min="1537" max="1537" width="9.140625" style="77"/>
    <col min="1538" max="1538" width="12.85546875" style="77" customWidth="1"/>
    <col min="1539" max="1539" width="9.140625" style="77"/>
    <col min="1540" max="1540" width="10.42578125" style="77" customWidth="1"/>
    <col min="1541" max="1542" width="13.140625" style="77" customWidth="1"/>
    <col min="1543" max="1543" width="11.7109375" style="77" customWidth="1"/>
    <col min="1544" max="1544" width="14.85546875" style="77" customWidth="1"/>
    <col min="1545" max="1545" width="13.42578125" style="77" bestFit="1" customWidth="1"/>
    <col min="1546" max="1546" width="14.85546875" style="77" customWidth="1"/>
    <col min="1547" max="1547" width="13.42578125" style="77" bestFit="1" customWidth="1"/>
    <col min="1548" max="1548" width="14.85546875" style="77" customWidth="1"/>
    <col min="1549" max="1549" width="16.5703125" style="77" customWidth="1"/>
    <col min="1550" max="1550" width="10.5703125" style="77" customWidth="1"/>
    <col min="1551" max="1551" width="12.42578125" style="77" bestFit="1" customWidth="1"/>
    <col min="1552" max="1785" width="9.140625" style="77"/>
    <col min="1786" max="1787" width="10" style="77" customWidth="1"/>
    <col min="1788" max="1788" width="9.140625" style="77"/>
    <col min="1789" max="1789" width="29.140625" style="77" customWidth="1"/>
    <col min="1790" max="1790" width="12.85546875" style="77" customWidth="1"/>
    <col min="1791" max="1792" width="13.140625" style="77" customWidth="1"/>
    <col min="1793" max="1793" width="9.140625" style="77"/>
    <col min="1794" max="1794" width="12.85546875" style="77" customWidth="1"/>
    <col min="1795" max="1795" width="9.140625" style="77"/>
    <col min="1796" max="1796" width="10.42578125" style="77" customWidth="1"/>
    <col min="1797" max="1798" width="13.140625" style="77" customWidth="1"/>
    <col min="1799" max="1799" width="11.7109375" style="77" customWidth="1"/>
    <col min="1800" max="1800" width="14.85546875" style="77" customWidth="1"/>
    <col min="1801" max="1801" width="13.42578125" style="77" bestFit="1" customWidth="1"/>
    <col min="1802" max="1802" width="14.85546875" style="77" customWidth="1"/>
    <col min="1803" max="1803" width="13.42578125" style="77" bestFit="1" customWidth="1"/>
    <col min="1804" max="1804" width="14.85546875" style="77" customWidth="1"/>
    <col min="1805" max="1805" width="16.5703125" style="77" customWidth="1"/>
    <col min="1806" max="1806" width="10.5703125" style="77" customWidth="1"/>
    <col min="1807" max="1807" width="12.42578125" style="77" bestFit="1" customWidth="1"/>
    <col min="1808" max="2041" width="9.140625" style="77"/>
    <col min="2042" max="2043" width="10" style="77" customWidth="1"/>
    <col min="2044" max="2044" width="9.140625" style="77"/>
    <col min="2045" max="2045" width="29.140625" style="77" customWidth="1"/>
    <col min="2046" max="2046" width="12.85546875" style="77" customWidth="1"/>
    <col min="2047" max="2048" width="13.140625" style="77" customWidth="1"/>
    <col min="2049" max="2049" width="9.140625" style="77"/>
    <col min="2050" max="2050" width="12.85546875" style="77" customWidth="1"/>
    <col min="2051" max="2051" width="9.140625" style="77"/>
    <col min="2052" max="2052" width="10.42578125" style="77" customWidth="1"/>
    <col min="2053" max="2054" width="13.140625" style="77" customWidth="1"/>
    <col min="2055" max="2055" width="11.7109375" style="77" customWidth="1"/>
    <col min="2056" max="2056" width="14.85546875" style="77" customWidth="1"/>
    <col min="2057" max="2057" width="13.42578125" style="77" bestFit="1" customWidth="1"/>
    <col min="2058" max="2058" width="14.85546875" style="77" customWidth="1"/>
    <col min="2059" max="2059" width="13.42578125" style="77" bestFit="1" customWidth="1"/>
    <col min="2060" max="2060" width="14.85546875" style="77" customWidth="1"/>
    <col min="2061" max="2061" width="16.5703125" style="77" customWidth="1"/>
    <col min="2062" max="2062" width="10.5703125" style="77" customWidth="1"/>
    <col min="2063" max="2063" width="12.42578125" style="77" bestFit="1" customWidth="1"/>
    <col min="2064" max="2297" width="9.140625" style="77"/>
    <col min="2298" max="2299" width="10" style="77" customWidth="1"/>
    <col min="2300" max="2300" width="9.140625" style="77"/>
    <col min="2301" max="2301" width="29.140625" style="77" customWidth="1"/>
    <col min="2302" max="2302" width="12.85546875" style="77" customWidth="1"/>
    <col min="2303" max="2304" width="13.140625" style="77" customWidth="1"/>
    <col min="2305" max="2305" width="9.140625" style="77"/>
    <col min="2306" max="2306" width="12.85546875" style="77" customWidth="1"/>
    <col min="2307" max="2307" width="9.140625" style="77"/>
    <col min="2308" max="2308" width="10.42578125" style="77" customWidth="1"/>
    <col min="2309" max="2310" width="13.140625" style="77" customWidth="1"/>
    <col min="2311" max="2311" width="11.7109375" style="77" customWidth="1"/>
    <col min="2312" max="2312" width="14.85546875" style="77" customWidth="1"/>
    <col min="2313" max="2313" width="13.42578125" style="77" bestFit="1" customWidth="1"/>
    <col min="2314" max="2314" width="14.85546875" style="77" customWidth="1"/>
    <col min="2315" max="2315" width="13.42578125" style="77" bestFit="1" customWidth="1"/>
    <col min="2316" max="2316" width="14.85546875" style="77" customWidth="1"/>
    <col min="2317" max="2317" width="16.5703125" style="77" customWidth="1"/>
    <col min="2318" max="2318" width="10.5703125" style="77" customWidth="1"/>
    <col min="2319" max="2319" width="12.42578125" style="77" bestFit="1" customWidth="1"/>
    <col min="2320" max="2553" width="9.140625" style="77"/>
    <col min="2554" max="2555" width="10" style="77" customWidth="1"/>
    <col min="2556" max="2556" width="9.140625" style="77"/>
    <col min="2557" max="2557" width="29.140625" style="77" customWidth="1"/>
    <col min="2558" max="2558" width="12.85546875" style="77" customWidth="1"/>
    <col min="2559" max="2560" width="13.140625" style="77" customWidth="1"/>
    <col min="2561" max="2561" width="9.140625" style="77"/>
    <col min="2562" max="2562" width="12.85546875" style="77" customWidth="1"/>
    <col min="2563" max="2563" width="9.140625" style="77"/>
    <col min="2564" max="2564" width="10.42578125" style="77" customWidth="1"/>
    <col min="2565" max="2566" width="13.140625" style="77" customWidth="1"/>
    <col min="2567" max="2567" width="11.7109375" style="77" customWidth="1"/>
    <col min="2568" max="2568" width="14.85546875" style="77" customWidth="1"/>
    <col min="2569" max="2569" width="13.42578125" style="77" bestFit="1" customWidth="1"/>
    <col min="2570" max="2570" width="14.85546875" style="77" customWidth="1"/>
    <col min="2571" max="2571" width="13.42578125" style="77" bestFit="1" customWidth="1"/>
    <col min="2572" max="2572" width="14.85546875" style="77" customWidth="1"/>
    <col min="2573" max="2573" width="16.5703125" style="77" customWidth="1"/>
    <col min="2574" max="2574" width="10.5703125" style="77" customWidth="1"/>
    <col min="2575" max="2575" width="12.42578125" style="77" bestFit="1" customWidth="1"/>
    <col min="2576" max="2809" width="9.140625" style="77"/>
    <col min="2810" max="2811" width="10" style="77" customWidth="1"/>
    <col min="2812" max="2812" width="9.140625" style="77"/>
    <col min="2813" max="2813" width="29.140625" style="77" customWidth="1"/>
    <col min="2814" max="2814" width="12.85546875" style="77" customWidth="1"/>
    <col min="2815" max="2816" width="13.140625" style="77" customWidth="1"/>
    <col min="2817" max="2817" width="9.140625" style="77"/>
    <col min="2818" max="2818" width="12.85546875" style="77" customWidth="1"/>
    <col min="2819" max="2819" width="9.140625" style="77"/>
    <col min="2820" max="2820" width="10.42578125" style="77" customWidth="1"/>
    <col min="2821" max="2822" width="13.140625" style="77" customWidth="1"/>
    <col min="2823" max="2823" width="11.7109375" style="77" customWidth="1"/>
    <col min="2824" max="2824" width="14.85546875" style="77" customWidth="1"/>
    <col min="2825" max="2825" width="13.42578125" style="77" bestFit="1" customWidth="1"/>
    <col min="2826" max="2826" width="14.85546875" style="77" customWidth="1"/>
    <col min="2827" max="2827" width="13.42578125" style="77" bestFit="1" customWidth="1"/>
    <col min="2828" max="2828" width="14.85546875" style="77" customWidth="1"/>
    <col min="2829" max="2829" width="16.5703125" style="77" customWidth="1"/>
    <col min="2830" max="2830" width="10.5703125" style="77" customWidth="1"/>
    <col min="2831" max="2831" width="12.42578125" style="77" bestFit="1" customWidth="1"/>
    <col min="2832" max="3065" width="9.140625" style="77"/>
    <col min="3066" max="3067" width="10" style="77" customWidth="1"/>
    <col min="3068" max="3068" width="9.140625" style="77"/>
    <col min="3069" max="3069" width="29.140625" style="77" customWidth="1"/>
    <col min="3070" max="3070" width="12.85546875" style="77" customWidth="1"/>
    <col min="3071" max="3072" width="13.140625" style="77" customWidth="1"/>
    <col min="3073" max="3073" width="9.140625" style="77"/>
    <col min="3074" max="3074" width="12.85546875" style="77" customWidth="1"/>
    <col min="3075" max="3075" width="9.140625" style="77"/>
    <col min="3076" max="3076" width="10.42578125" style="77" customWidth="1"/>
    <col min="3077" max="3078" width="13.140625" style="77" customWidth="1"/>
    <col min="3079" max="3079" width="11.7109375" style="77" customWidth="1"/>
    <col min="3080" max="3080" width="14.85546875" style="77" customWidth="1"/>
    <col min="3081" max="3081" width="13.42578125" style="77" bestFit="1" customWidth="1"/>
    <col min="3082" max="3082" width="14.85546875" style="77" customWidth="1"/>
    <col min="3083" max="3083" width="13.42578125" style="77" bestFit="1" customWidth="1"/>
    <col min="3084" max="3084" width="14.85546875" style="77" customWidth="1"/>
    <col min="3085" max="3085" width="16.5703125" style="77" customWidth="1"/>
    <col min="3086" max="3086" width="10.5703125" style="77" customWidth="1"/>
    <col min="3087" max="3087" width="12.42578125" style="77" bestFit="1" customWidth="1"/>
    <col min="3088" max="3321" width="9.140625" style="77"/>
    <col min="3322" max="3323" width="10" style="77" customWidth="1"/>
    <col min="3324" max="3324" width="9.140625" style="77"/>
    <col min="3325" max="3325" width="29.140625" style="77" customWidth="1"/>
    <col min="3326" max="3326" width="12.85546875" style="77" customWidth="1"/>
    <col min="3327" max="3328" width="13.140625" style="77" customWidth="1"/>
    <col min="3329" max="3329" width="9.140625" style="77"/>
    <col min="3330" max="3330" width="12.85546875" style="77" customWidth="1"/>
    <col min="3331" max="3331" width="9.140625" style="77"/>
    <col min="3332" max="3332" width="10.42578125" style="77" customWidth="1"/>
    <col min="3333" max="3334" width="13.140625" style="77" customWidth="1"/>
    <col min="3335" max="3335" width="11.7109375" style="77" customWidth="1"/>
    <col min="3336" max="3336" width="14.85546875" style="77" customWidth="1"/>
    <col min="3337" max="3337" width="13.42578125" style="77" bestFit="1" customWidth="1"/>
    <col min="3338" max="3338" width="14.85546875" style="77" customWidth="1"/>
    <col min="3339" max="3339" width="13.42578125" style="77" bestFit="1" customWidth="1"/>
    <col min="3340" max="3340" width="14.85546875" style="77" customWidth="1"/>
    <col min="3341" max="3341" width="16.5703125" style="77" customWidth="1"/>
    <col min="3342" max="3342" width="10.5703125" style="77" customWidth="1"/>
    <col min="3343" max="3343" width="12.42578125" style="77" bestFit="1" customWidth="1"/>
    <col min="3344" max="3577" width="9.140625" style="77"/>
    <col min="3578" max="3579" width="10" style="77" customWidth="1"/>
    <col min="3580" max="3580" width="9.140625" style="77"/>
    <col min="3581" max="3581" width="29.140625" style="77" customWidth="1"/>
    <col min="3582" max="3582" width="12.85546875" style="77" customWidth="1"/>
    <col min="3583" max="3584" width="13.140625" style="77" customWidth="1"/>
    <col min="3585" max="3585" width="9.140625" style="77"/>
    <col min="3586" max="3586" width="12.85546875" style="77" customWidth="1"/>
    <col min="3587" max="3587" width="9.140625" style="77"/>
    <col min="3588" max="3588" width="10.42578125" style="77" customWidth="1"/>
    <col min="3589" max="3590" width="13.140625" style="77" customWidth="1"/>
    <col min="3591" max="3591" width="11.7109375" style="77" customWidth="1"/>
    <col min="3592" max="3592" width="14.85546875" style="77" customWidth="1"/>
    <col min="3593" max="3593" width="13.42578125" style="77" bestFit="1" customWidth="1"/>
    <col min="3594" max="3594" width="14.85546875" style="77" customWidth="1"/>
    <col min="3595" max="3595" width="13.42578125" style="77" bestFit="1" customWidth="1"/>
    <col min="3596" max="3596" width="14.85546875" style="77" customWidth="1"/>
    <col min="3597" max="3597" width="16.5703125" style="77" customWidth="1"/>
    <col min="3598" max="3598" width="10.5703125" style="77" customWidth="1"/>
    <col min="3599" max="3599" width="12.42578125" style="77" bestFit="1" customWidth="1"/>
    <col min="3600" max="3833" width="9.140625" style="77"/>
    <col min="3834" max="3835" width="10" style="77" customWidth="1"/>
    <col min="3836" max="3836" width="9.140625" style="77"/>
    <col min="3837" max="3837" width="29.140625" style="77" customWidth="1"/>
    <col min="3838" max="3838" width="12.85546875" style="77" customWidth="1"/>
    <col min="3839" max="3840" width="13.140625" style="77" customWidth="1"/>
    <col min="3841" max="3841" width="9.140625" style="77"/>
    <col min="3842" max="3842" width="12.85546875" style="77" customWidth="1"/>
    <col min="3843" max="3843" width="9.140625" style="77"/>
    <col min="3844" max="3844" width="10.42578125" style="77" customWidth="1"/>
    <col min="3845" max="3846" width="13.140625" style="77" customWidth="1"/>
    <col min="3847" max="3847" width="11.7109375" style="77" customWidth="1"/>
    <col min="3848" max="3848" width="14.85546875" style="77" customWidth="1"/>
    <col min="3849" max="3849" width="13.42578125" style="77" bestFit="1" customWidth="1"/>
    <col min="3850" max="3850" width="14.85546875" style="77" customWidth="1"/>
    <col min="3851" max="3851" width="13.42578125" style="77" bestFit="1" customWidth="1"/>
    <col min="3852" max="3852" width="14.85546875" style="77" customWidth="1"/>
    <col min="3853" max="3853" width="16.5703125" style="77" customWidth="1"/>
    <col min="3854" max="3854" width="10.5703125" style="77" customWidth="1"/>
    <col min="3855" max="3855" width="12.42578125" style="77" bestFit="1" customWidth="1"/>
    <col min="3856" max="4089" width="9.140625" style="77"/>
    <col min="4090" max="4091" width="10" style="77" customWidth="1"/>
    <col min="4092" max="4092" width="9.140625" style="77"/>
    <col min="4093" max="4093" width="29.140625" style="77" customWidth="1"/>
    <col min="4094" max="4094" width="12.85546875" style="77" customWidth="1"/>
    <col min="4095" max="4096" width="13.140625" style="77" customWidth="1"/>
    <col min="4097" max="4097" width="9.140625" style="77"/>
    <col min="4098" max="4098" width="12.85546875" style="77" customWidth="1"/>
    <col min="4099" max="4099" width="9.140625" style="77"/>
    <col min="4100" max="4100" width="10.42578125" style="77" customWidth="1"/>
    <col min="4101" max="4102" width="13.140625" style="77" customWidth="1"/>
    <col min="4103" max="4103" width="11.7109375" style="77" customWidth="1"/>
    <col min="4104" max="4104" width="14.85546875" style="77" customWidth="1"/>
    <col min="4105" max="4105" width="13.42578125" style="77" bestFit="1" customWidth="1"/>
    <col min="4106" max="4106" width="14.85546875" style="77" customWidth="1"/>
    <col min="4107" max="4107" width="13.42578125" style="77" bestFit="1" customWidth="1"/>
    <col min="4108" max="4108" width="14.85546875" style="77" customWidth="1"/>
    <col min="4109" max="4109" width="16.5703125" style="77" customWidth="1"/>
    <col min="4110" max="4110" width="10.5703125" style="77" customWidth="1"/>
    <col min="4111" max="4111" width="12.42578125" style="77" bestFit="1" customWidth="1"/>
    <col min="4112" max="4345" width="9.140625" style="77"/>
    <col min="4346" max="4347" width="10" style="77" customWidth="1"/>
    <col min="4348" max="4348" width="9.140625" style="77"/>
    <col min="4349" max="4349" width="29.140625" style="77" customWidth="1"/>
    <col min="4350" max="4350" width="12.85546875" style="77" customWidth="1"/>
    <col min="4351" max="4352" width="13.140625" style="77" customWidth="1"/>
    <col min="4353" max="4353" width="9.140625" style="77"/>
    <col min="4354" max="4354" width="12.85546875" style="77" customWidth="1"/>
    <col min="4355" max="4355" width="9.140625" style="77"/>
    <col min="4356" max="4356" width="10.42578125" style="77" customWidth="1"/>
    <col min="4357" max="4358" width="13.140625" style="77" customWidth="1"/>
    <col min="4359" max="4359" width="11.7109375" style="77" customWidth="1"/>
    <col min="4360" max="4360" width="14.85546875" style="77" customWidth="1"/>
    <col min="4361" max="4361" width="13.42578125" style="77" bestFit="1" customWidth="1"/>
    <col min="4362" max="4362" width="14.85546875" style="77" customWidth="1"/>
    <col min="4363" max="4363" width="13.42578125" style="77" bestFit="1" customWidth="1"/>
    <col min="4364" max="4364" width="14.85546875" style="77" customWidth="1"/>
    <col min="4365" max="4365" width="16.5703125" style="77" customWidth="1"/>
    <col min="4366" max="4366" width="10.5703125" style="77" customWidth="1"/>
    <col min="4367" max="4367" width="12.42578125" style="77" bestFit="1" customWidth="1"/>
    <col min="4368" max="4601" width="9.140625" style="77"/>
    <col min="4602" max="4603" width="10" style="77" customWidth="1"/>
    <col min="4604" max="4604" width="9.140625" style="77"/>
    <col min="4605" max="4605" width="29.140625" style="77" customWidth="1"/>
    <col min="4606" max="4606" width="12.85546875" style="77" customWidth="1"/>
    <col min="4607" max="4608" width="13.140625" style="77" customWidth="1"/>
    <col min="4609" max="4609" width="9.140625" style="77"/>
    <col min="4610" max="4610" width="12.85546875" style="77" customWidth="1"/>
    <col min="4611" max="4611" width="9.140625" style="77"/>
    <col min="4612" max="4612" width="10.42578125" style="77" customWidth="1"/>
    <col min="4613" max="4614" width="13.140625" style="77" customWidth="1"/>
    <col min="4615" max="4615" width="11.7109375" style="77" customWidth="1"/>
    <col min="4616" max="4616" width="14.85546875" style="77" customWidth="1"/>
    <col min="4617" max="4617" width="13.42578125" style="77" bestFit="1" customWidth="1"/>
    <col min="4618" max="4618" width="14.85546875" style="77" customWidth="1"/>
    <col min="4619" max="4619" width="13.42578125" style="77" bestFit="1" customWidth="1"/>
    <col min="4620" max="4620" width="14.85546875" style="77" customWidth="1"/>
    <col min="4621" max="4621" width="16.5703125" style="77" customWidth="1"/>
    <col min="4622" max="4622" width="10.5703125" style="77" customWidth="1"/>
    <col min="4623" max="4623" width="12.42578125" style="77" bestFit="1" customWidth="1"/>
    <col min="4624" max="4857" width="9.140625" style="77"/>
    <col min="4858" max="4859" width="10" style="77" customWidth="1"/>
    <col min="4860" max="4860" width="9.140625" style="77"/>
    <col min="4861" max="4861" width="29.140625" style="77" customWidth="1"/>
    <col min="4862" max="4862" width="12.85546875" style="77" customWidth="1"/>
    <col min="4863" max="4864" width="13.140625" style="77" customWidth="1"/>
    <col min="4865" max="4865" width="9.140625" style="77"/>
    <col min="4866" max="4866" width="12.85546875" style="77" customWidth="1"/>
    <col min="4867" max="4867" width="9.140625" style="77"/>
    <col min="4868" max="4868" width="10.42578125" style="77" customWidth="1"/>
    <col min="4869" max="4870" width="13.140625" style="77" customWidth="1"/>
    <col min="4871" max="4871" width="11.7109375" style="77" customWidth="1"/>
    <col min="4872" max="4872" width="14.85546875" style="77" customWidth="1"/>
    <col min="4873" max="4873" width="13.42578125" style="77" bestFit="1" customWidth="1"/>
    <col min="4874" max="4874" width="14.85546875" style="77" customWidth="1"/>
    <col min="4875" max="4875" width="13.42578125" style="77" bestFit="1" customWidth="1"/>
    <col min="4876" max="4876" width="14.85546875" style="77" customWidth="1"/>
    <col min="4877" max="4877" width="16.5703125" style="77" customWidth="1"/>
    <col min="4878" max="4878" width="10.5703125" style="77" customWidth="1"/>
    <col min="4879" max="4879" width="12.42578125" style="77" bestFit="1" customWidth="1"/>
    <col min="4880" max="5113" width="9.140625" style="77"/>
    <col min="5114" max="5115" width="10" style="77" customWidth="1"/>
    <col min="5116" max="5116" width="9.140625" style="77"/>
    <col min="5117" max="5117" width="29.140625" style="77" customWidth="1"/>
    <col min="5118" max="5118" width="12.85546875" style="77" customWidth="1"/>
    <col min="5119" max="5120" width="13.140625" style="77" customWidth="1"/>
    <col min="5121" max="5121" width="9.140625" style="77"/>
    <col min="5122" max="5122" width="12.85546875" style="77" customWidth="1"/>
    <col min="5123" max="5123" width="9.140625" style="77"/>
    <col min="5124" max="5124" width="10.42578125" style="77" customWidth="1"/>
    <col min="5125" max="5126" width="13.140625" style="77" customWidth="1"/>
    <col min="5127" max="5127" width="11.7109375" style="77" customWidth="1"/>
    <col min="5128" max="5128" width="14.85546875" style="77" customWidth="1"/>
    <col min="5129" max="5129" width="13.42578125" style="77" bestFit="1" customWidth="1"/>
    <col min="5130" max="5130" width="14.85546875" style="77" customWidth="1"/>
    <col min="5131" max="5131" width="13.42578125" style="77" bestFit="1" customWidth="1"/>
    <col min="5132" max="5132" width="14.85546875" style="77" customWidth="1"/>
    <col min="5133" max="5133" width="16.5703125" style="77" customWidth="1"/>
    <col min="5134" max="5134" width="10.5703125" style="77" customWidth="1"/>
    <col min="5135" max="5135" width="12.42578125" style="77" bestFit="1" customWidth="1"/>
    <col min="5136" max="5369" width="9.140625" style="77"/>
    <col min="5370" max="5371" width="10" style="77" customWidth="1"/>
    <col min="5372" max="5372" width="9.140625" style="77"/>
    <col min="5373" max="5373" width="29.140625" style="77" customWidth="1"/>
    <col min="5374" max="5374" width="12.85546875" style="77" customWidth="1"/>
    <col min="5375" max="5376" width="13.140625" style="77" customWidth="1"/>
    <col min="5377" max="5377" width="9.140625" style="77"/>
    <col min="5378" max="5378" width="12.85546875" style="77" customWidth="1"/>
    <col min="5379" max="5379" width="9.140625" style="77"/>
    <col min="5380" max="5380" width="10.42578125" style="77" customWidth="1"/>
    <col min="5381" max="5382" width="13.140625" style="77" customWidth="1"/>
    <col min="5383" max="5383" width="11.7109375" style="77" customWidth="1"/>
    <col min="5384" max="5384" width="14.85546875" style="77" customWidth="1"/>
    <col min="5385" max="5385" width="13.42578125" style="77" bestFit="1" customWidth="1"/>
    <col min="5386" max="5386" width="14.85546875" style="77" customWidth="1"/>
    <col min="5387" max="5387" width="13.42578125" style="77" bestFit="1" customWidth="1"/>
    <col min="5388" max="5388" width="14.85546875" style="77" customWidth="1"/>
    <col min="5389" max="5389" width="16.5703125" style="77" customWidth="1"/>
    <col min="5390" max="5390" width="10.5703125" style="77" customWidth="1"/>
    <col min="5391" max="5391" width="12.42578125" style="77" bestFit="1" customWidth="1"/>
    <col min="5392" max="5625" width="9.140625" style="77"/>
    <col min="5626" max="5627" width="10" style="77" customWidth="1"/>
    <col min="5628" max="5628" width="9.140625" style="77"/>
    <col min="5629" max="5629" width="29.140625" style="77" customWidth="1"/>
    <col min="5630" max="5630" width="12.85546875" style="77" customWidth="1"/>
    <col min="5631" max="5632" width="13.140625" style="77" customWidth="1"/>
    <col min="5633" max="5633" width="9.140625" style="77"/>
    <col min="5634" max="5634" width="12.85546875" style="77" customWidth="1"/>
    <col min="5635" max="5635" width="9.140625" style="77"/>
    <col min="5636" max="5636" width="10.42578125" style="77" customWidth="1"/>
    <col min="5637" max="5638" width="13.140625" style="77" customWidth="1"/>
    <col min="5639" max="5639" width="11.7109375" style="77" customWidth="1"/>
    <col min="5640" max="5640" width="14.85546875" style="77" customWidth="1"/>
    <col min="5641" max="5641" width="13.42578125" style="77" bestFit="1" customWidth="1"/>
    <col min="5642" max="5642" width="14.85546875" style="77" customWidth="1"/>
    <col min="5643" max="5643" width="13.42578125" style="77" bestFit="1" customWidth="1"/>
    <col min="5644" max="5644" width="14.85546875" style="77" customWidth="1"/>
    <col min="5645" max="5645" width="16.5703125" style="77" customWidth="1"/>
    <col min="5646" max="5646" width="10.5703125" style="77" customWidth="1"/>
    <col min="5647" max="5647" width="12.42578125" style="77" bestFit="1" customWidth="1"/>
    <col min="5648" max="5881" width="9.140625" style="77"/>
    <col min="5882" max="5883" width="10" style="77" customWidth="1"/>
    <col min="5884" max="5884" width="9.140625" style="77"/>
    <col min="5885" max="5885" width="29.140625" style="77" customWidth="1"/>
    <col min="5886" max="5886" width="12.85546875" style="77" customWidth="1"/>
    <col min="5887" max="5888" width="13.140625" style="77" customWidth="1"/>
    <col min="5889" max="5889" width="9.140625" style="77"/>
    <col min="5890" max="5890" width="12.85546875" style="77" customWidth="1"/>
    <col min="5891" max="5891" width="9.140625" style="77"/>
    <col min="5892" max="5892" width="10.42578125" style="77" customWidth="1"/>
    <col min="5893" max="5894" width="13.140625" style="77" customWidth="1"/>
    <col min="5895" max="5895" width="11.7109375" style="77" customWidth="1"/>
    <col min="5896" max="5896" width="14.85546875" style="77" customWidth="1"/>
    <col min="5897" max="5897" width="13.42578125" style="77" bestFit="1" customWidth="1"/>
    <col min="5898" max="5898" width="14.85546875" style="77" customWidth="1"/>
    <col min="5899" max="5899" width="13.42578125" style="77" bestFit="1" customWidth="1"/>
    <col min="5900" max="5900" width="14.85546875" style="77" customWidth="1"/>
    <col min="5901" max="5901" width="16.5703125" style="77" customWidth="1"/>
    <col min="5902" max="5902" width="10.5703125" style="77" customWidth="1"/>
    <col min="5903" max="5903" width="12.42578125" style="77" bestFit="1" customWidth="1"/>
    <col min="5904" max="6137" width="9.140625" style="77"/>
    <col min="6138" max="6139" width="10" style="77" customWidth="1"/>
    <col min="6140" max="6140" width="9.140625" style="77"/>
    <col min="6141" max="6141" width="29.140625" style="77" customWidth="1"/>
    <col min="6142" max="6142" width="12.85546875" style="77" customWidth="1"/>
    <col min="6143" max="6144" width="13.140625" style="77" customWidth="1"/>
    <col min="6145" max="6145" width="9.140625" style="77"/>
    <col min="6146" max="6146" width="12.85546875" style="77" customWidth="1"/>
    <col min="6147" max="6147" width="9.140625" style="77"/>
    <col min="6148" max="6148" width="10.42578125" style="77" customWidth="1"/>
    <col min="6149" max="6150" width="13.140625" style="77" customWidth="1"/>
    <col min="6151" max="6151" width="11.7109375" style="77" customWidth="1"/>
    <col min="6152" max="6152" width="14.85546875" style="77" customWidth="1"/>
    <col min="6153" max="6153" width="13.42578125" style="77" bestFit="1" customWidth="1"/>
    <col min="6154" max="6154" width="14.85546875" style="77" customWidth="1"/>
    <col min="6155" max="6155" width="13.42578125" style="77" bestFit="1" customWidth="1"/>
    <col min="6156" max="6156" width="14.85546875" style="77" customWidth="1"/>
    <col min="6157" max="6157" width="16.5703125" style="77" customWidth="1"/>
    <col min="6158" max="6158" width="10.5703125" style="77" customWidth="1"/>
    <col min="6159" max="6159" width="12.42578125" style="77" bestFit="1" customWidth="1"/>
    <col min="6160" max="6393" width="9.140625" style="77"/>
    <col min="6394" max="6395" width="10" style="77" customWidth="1"/>
    <col min="6396" max="6396" width="9.140625" style="77"/>
    <col min="6397" max="6397" width="29.140625" style="77" customWidth="1"/>
    <col min="6398" max="6398" width="12.85546875" style="77" customWidth="1"/>
    <col min="6399" max="6400" width="13.140625" style="77" customWidth="1"/>
    <col min="6401" max="6401" width="9.140625" style="77"/>
    <col min="6402" max="6402" width="12.85546875" style="77" customWidth="1"/>
    <col min="6403" max="6403" width="9.140625" style="77"/>
    <col min="6404" max="6404" width="10.42578125" style="77" customWidth="1"/>
    <col min="6405" max="6406" width="13.140625" style="77" customWidth="1"/>
    <col min="6407" max="6407" width="11.7109375" style="77" customWidth="1"/>
    <col min="6408" max="6408" width="14.85546875" style="77" customWidth="1"/>
    <col min="6409" max="6409" width="13.42578125" style="77" bestFit="1" customWidth="1"/>
    <col min="6410" max="6410" width="14.85546875" style="77" customWidth="1"/>
    <col min="6411" max="6411" width="13.42578125" style="77" bestFit="1" customWidth="1"/>
    <col min="6412" max="6412" width="14.85546875" style="77" customWidth="1"/>
    <col min="6413" max="6413" width="16.5703125" style="77" customWidth="1"/>
    <col min="6414" max="6414" width="10.5703125" style="77" customWidth="1"/>
    <col min="6415" max="6415" width="12.42578125" style="77" bestFit="1" customWidth="1"/>
    <col min="6416" max="6649" width="9.140625" style="77"/>
    <col min="6650" max="6651" width="10" style="77" customWidth="1"/>
    <col min="6652" max="6652" width="9.140625" style="77"/>
    <col min="6653" max="6653" width="29.140625" style="77" customWidth="1"/>
    <col min="6654" max="6654" width="12.85546875" style="77" customWidth="1"/>
    <col min="6655" max="6656" width="13.140625" style="77" customWidth="1"/>
    <col min="6657" max="6657" width="9.140625" style="77"/>
    <col min="6658" max="6658" width="12.85546875" style="77" customWidth="1"/>
    <col min="6659" max="6659" width="9.140625" style="77"/>
    <col min="6660" max="6660" width="10.42578125" style="77" customWidth="1"/>
    <col min="6661" max="6662" width="13.140625" style="77" customWidth="1"/>
    <col min="6663" max="6663" width="11.7109375" style="77" customWidth="1"/>
    <col min="6664" max="6664" width="14.85546875" style="77" customWidth="1"/>
    <col min="6665" max="6665" width="13.42578125" style="77" bestFit="1" customWidth="1"/>
    <col min="6666" max="6666" width="14.85546875" style="77" customWidth="1"/>
    <col min="6667" max="6667" width="13.42578125" style="77" bestFit="1" customWidth="1"/>
    <col min="6668" max="6668" width="14.85546875" style="77" customWidth="1"/>
    <col min="6669" max="6669" width="16.5703125" style="77" customWidth="1"/>
    <col min="6670" max="6670" width="10.5703125" style="77" customWidth="1"/>
    <col min="6671" max="6671" width="12.42578125" style="77" bestFit="1" customWidth="1"/>
    <col min="6672" max="6905" width="9.140625" style="77"/>
    <col min="6906" max="6907" width="10" style="77" customWidth="1"/>
    <col min="6908" max="6908" width="9.140625" style="77"/>
    <col min="6909" max="6909" width="29.140625" style="77" customWidth="1"/>
    <col min="6910" max="6910" width="12.85546875" style="77" customWidth="1"/>
    <col min="6911" max="6912" width="13.140625" style="77" customWidth="1"/>
    <col min="6913" max="6913" width="9.140625" style="77"/>
    <col min="6914" max="6914" width="12.85546875" style="77" customWidth="1"/>
    <col min="6915" max="6915" width="9.140625" style="77"/>
    <col min="6916" max="6916" width="10.42578125" style="77" customWidth="1"/>
    <col min="6917" max="6918" width="13.140625" style="77" customWidth="1"/>
    <col min="6919" max="6919" width="11.7109375" style="77" customWidth="1"/>
    <col min="6920" max="6920" width="14.85546875" style="77" customWidth="1"/>
    <col min="6921" max="6921" width="13.42578125" style="77" bestFit="1" customWidth="1"/>
    <col min="6922" max="6922" width="14.85546875" style="77" customWidth="1"/>
    <col min="6923" max="6923" width="13.42578125" style="77" bestFit="1" customWidth="1"/>
    <col min="6924" max="6924" width="14.85546875" style="77" customWidth="1"/>
    <col min="6925" max="6925" width="16.5703125" style="77" customWidth="1"/>
    <col min="6926" max="6926" width="10.5703125" style="77" customWidth="1"/>
    <col min="6927" max="6927" width="12.42578125" style="77" bestFit="1" customWidth="1"/>
    <col min="6928" max="7161" width="9.140625" style="77"/>
    <col min="7162" max="7163" width="10" style="77" customWidth="1"/>
    <col min="7164" max="7164" width="9.140625" style="77"/>
    <col min="7165" max="7165" width="29.140625" style="77" customWidth="1"/>
    <col min="7166" max="7166" width="12.85546875" style="77" customWidth="1"/>
    <col min="7167" max="7168" width="13.140625" style="77" customWidth="1"/>
    <col min="7169" max="7169" width="9.140625" style="77"/>
    <col min="7170" max="7170" width="12.85546875" style="77" customWidth="1"/>
    <col min="7171" max="7171" width="9.140625" style="77"/>
    <col min="7172" max="7172" width="10.42578125" style="77" customWidth="1"/>
    <col min="7173" max="7174" width="13.140625" style="77" customWidth="1"/>
    <col min="7175" max="7175" width="11.7109375" style="77" customWidth="1"/>
    <col min="7176" max="7176" width="14.85546875" style="77" customWidth="1"/>
    <col min="7177" max="7177" width="13.42578125" style="77" bestFit="1" customWidth="1"/>
    <col min="7178" max="7178" width="14.85546875" style="77" customWidth="1"/>
    <col min="7179" max="7179" width="13.42578125" style="77" bestFit="1" customWidth="1"/>
    <col min="7180" max="7180" width="14.85546875" style="77" customWidth="1"/>
    <col min="7181" max="7181" width="16.5703125" style="77" customWidth="1"/>
    <col min="7182" max="7182" width="10.5703125" style="77" customWidth="1"/>
    <col min="7183" max="7183" width="12.42578125" style="77" bestFit="1" customWidth="1"/>
    <col min="7184" max="7417" width="9.140625" style="77"/>
    <col min="7418" max="7419" width="10" style="77" customWidth="1"/>
    <col min="7420" max="7420" width="9.140625" style="77"/>
    <col min="7421" max="7421" width="29.140625" style="77" customWidth="1"/>
    <col min="7422" max="7422" width="12.85546875" style="77" customWidth="1"/>
    <col min="7423" max="7424" width="13.140625" style="77" customWidth="1"/>
    <col min="7425" max="7425" width="9.140625" style="77"/>
    <col min="7426" max="7426" width="12.85546875" style="77" customWidth="1"/>
    <col min="7427" max="7427" width="9.140625" style="77"/>
    <col min="7428" max="7428" width="10.42578125" style="77" customWidth="1"/>
    <col min="7429" max="7430" width="13.140625" style="77" customWidth="1"/>
    <col min="7431" max="7431" width="11.7109375" style="77" customWidth="1"/>
    <col min="7432" max="7432" width="14.85546875" style="77" customWidth="1"/>
    <col min="7433" max="7433" width="13.42578125" style="77" bestFit="1" customWidth="1"/>
    <col min="7434" max="7434" width="14.85546875" style="77" customWidth="1"/>
    <col min="7435" max="7435" width="13.42578125" style="77" bestFit="1" customWidth="1"/>
    <col min="7436" max="7436" width="14.85546875" style="77" customWidth="1"/>
    <col min="7437" max="7437" width="16.5703125" style="77" customWidth="1"/>
    <col min="7438" max="7438" width="10.5703125" style="77" customWidth="1"/>
    <col min="7439" max="7439" width="12.42578125" style="77" bestFit="1" customWidth="1"/>
    <col min="7440" max="7673" width="9.140625" style="77"/>
    <col min="7674" max="7675" width="10" style="77" customWidth="1"/>
    <col min="7676" max="7676" width="9.140625" style="77"/>
    <col min="7677" max="7677" width="29.140625" style="77" customWidth="1"/>
    <col min="7678" max="7678" width="12.85546875" style="77" customWidth="1"/>
    <col min="7679" max="7680" width="13.140625" style="77" customWidth="1"/>
    <col min="7681" max="7681" width="9.140625" style="77"/>
    <col min="7682" max="7682" width="12.85546875" style="77" customWidth="1"/>
    <col min="7683" max="7683" width="9.140625" style="77"/>
    <col min="7684" max="7684" width="10.42578125" style="77" customWidth="1"/>
    <col min="7685" max="7686" width="13.140625" style="77" customWidth="1"/>
    <col min="7687" max="7687" width="11.7109375" style="77" customWidth="1"/>
    <col min="7688" max="7688" width="14.85546875" style="77" customWidth="1"/>
    <col min="7689" max="7689" width="13.42578125" style="77" bestFit="1" customWidth="1"/>
    <col min="7690" max="7690" width="14.85546875" style="77" customWidth="1"/>
    <col min="7691" max="7691" width="13.42578125" style="77" bestFit="1" customWidth="1"/>
    <col min="7692" max="7692" width="14.85546875" style="77" customWidth="1"/>
    <col min="7693" max="7693" width="16.5703125" style="77" customWidth="1"/>
    <col min="7694" max="7694" width="10.5703125" style="77" customWidth="1"/>
    <col min="7695" max="7695" width="12.42578125" style="77" bestFit="1" customWidth="1"/>
    <col min="7696" max="7929" width="9.140625" style="77"/>
    <col min="7930" max="7931" width="10" style="77" customWidth="1"/>
    <col min="7932" max="7932" width="9.140625" style="77"/>
    <col min="7933" max="7933" width="29.140625" style="77" customWidth="1"/>
    <col min="7934" max="7934" width="12.85546875" style="77" customWidth="1"/>
    <col min="7935" max="7936" width="13.140625" style="77" customWidth="1"/>
    <col min="7937" max="7937" width="9.140625" style="77"/>
    <col min="7938" max="7938" width="12.85546875" style="77" customWidth="1"/>
    <col min="7939" max="7939" width="9.140625" style="77"/>
    <col min="7940" max="7940" width="10.42578125" style="77" customWidth="1"/>
    <col min="7941" max="7942" width="13.140625" style="77" customWidth="1"/>
    <col min="7943" max="7943" width="11.7109375" style="77" customWidth="1"/>
    <col min="7944" max="7944" width="14.85546875" style="77" customWidth="1"/>
    <col min="7945" max="7945" width="13.42578125" style="77" bestFit="1" customWidth="1"/>
    <col min="7946" max="7946" width="14.85546875" style="77" customWidth="1"/>
    <col min="7947" max="7947" width="13.42578125" style="77" bestFit="1" customWidth="1"/>
    <col min="7948" max="7948" width="14.85546875" style="77" customWidth="1"/>
    <col min="7949" max="7949" width="16.5703125" style="77" customWidth="1"/>
    <col min="7950" max="7950" width="10.5703125" style="77" customWidth="1"/>
    <col min="7951" max="7951" width="12.42578125" style="77" bestFit="1" customWidth="1"/>
    <col min="7952" max="8185" width="9.140625" style="77"/>
    <col min="8186" max="8187" width="10" style="77" customWidth="1"/>
    <col min="8188" max="8188" width="9.140625" style="77"/>
    <col min="8189" max="8189" width="29.140625" style="77" customWidth="1"/>
    <col min="8190" max="8190" width="12.85546875" style="77" customWidth="1"/>
    <col min="8191" max="8192" width="13.140625" style="77" customWidth="1"/>
    <col min="8193" max="8193" width="9.140625" style="77"/>
    <col min="8194" max="8194" width="12.85546875" style="77" customWidth="1"/>
    <col min="8195" max="8195" width="9.140625" style="77"/>
    <col min="8196" max="8196" width="10.42578125" style="77" customWidth="1"/>
    <col min="8197" max="8198" width="13.140625" style="77" customWidth="1"/>
    <col min="8199" max="8199" width="11.7109375" style="77" customWidth="1"/>
    <col min="8200" max="8200" width="14.85546875" style="77" customWidth="1"/>
    <col min="8201" max="8201" width="13.42578125" style="77" bestFit="1" customWidth="1"/>
    <col min="8202" max="8202" width="14.85546875" style="77" customWidth="1"/>
    <col min="8203" max="8203" width="13.42578125" style="77" bestFit="1" customWidth="1"/>
    <col min="8204" max="8204" width="14.85546875" style="77" customWidth="1"/>
    <col min="8205" max="8205" width="16.5703125" style="77" customWidth="1"/>
    <col min="8206" max="8206" width="10.5703125" style="77" customWidth="1"/>
    <col min="8207" max="8207" width="12.42578125" style="77" bestFit="1" customWidth="1"/>
    <col min="8208" max="8441" width="9.140625" style="77"/>
    <col min="8442" max="8443" width="10" style="77" customWidth="1"/>
    <col min="8444" max="8444" width="9.140625" style="77"/>
    <col min="8445" max="8445" width="29.140625" style="77" customWidth="1"/>
    <col min="8446" max="8446" width="12.85546875" style="77" customWidth="1"/>
    <col min="8447" max="8448" width="13.140625" style="77" customWidth="1"/>
    <col min="8449" max="8449" width="9.140625" style="77"/>
    <col min="8450" max="8450" width="12.85546875" style="77" customWidth="1"/>
    <col min="8451" max="8451" width="9.140625" style="77"/>
    <col min="8452" max="8452" width="10.42578125" style="77" customWidth="1"/>
    <col min="8453" max="8454" width="13.140625" style="77" customWidth="1"/>
    <col min="8455" max="8455" width="11.7109375" style="77" customWidth="1"/>
    <col min="8456" max="8456" width="14.85546875" style="77" customWidth="1"/>
    <col min="8457" max="8457" width="13.42578125" style="77" bestFit="1" customWidth="1"/>
    <col min="8458" max="8458" width="14.85546875" style="77" customWidth="1"/>
    <col min="8459" max="8459" width="13.42578125" style="77" bestFit="1" customWidth="1"/>
    <col min="8460" max="8460" width="14.85546875" style="77" customWidth="1"/>
    <col min="8461" max="8461" width="16.5703125" style="77" customWidth="1"/>
    <col min="8462" max="8462" width="10.5703125" style="77" customWidth="1"/>
    <col min="8463" max="8463" width="12.42578125" style="77" bestFit="1" customWidth="1"/>
    <col min="8464" max="8697" width="9.140625" style="77"/>
    <col min="8698" max="8699" width="10" style="77" customWidth="1"/>
    <col min="8700" max="8700" width="9.140625" style="77"/>
    <col min="8701" max="8701" width="29.140625" style="77" customWidth="1"/>
    <col min="8702" max="8702" width="12.85546875" style="77" customWidth="1"/>
    <col min="8703" max="8704" width="13.140625" style="77" customWidth="1"/>
    <col min="8705" max="8705" width="9.140625" style="77"/>
    <col min="8706" max="8706" width="12.85546875" style="77" customWidth="1"/>
    <col min="8707" max="8707" width="9.140625" style="77"/>
    <col min="8708" max="8708" width="10.42578125" style="77" customWidth="1"/>
    <col min="8709" max="8710" width="13.140625" style="77" customWidth="1"/>
    <col min="8711" max="8711" width="11.7109375" style="77" customWidth="1"/>
    <col min="8712" max="8712" width="14.85546875" style="77" customWidth="1"/>
    <col min="8713" max="8713" width="13.42578125" style="77" bestFit="1" customWidth="1"/>
    <col min="8714" max="8714" width="14.85546875" style="77" customWidth="1"/>
    <col min="8715" max="8715" width="13.42578125" style="77" bestFit="1" customWidth="1"/>
    <col min="8716" max="8716" width="14.85546875" style="77" customWidth="1"/>
    <col min="8717" max="8717" width="16.5703125" style="77" customWidth="1"/>
    <col min="8718" max="8718" width="10.5703125" style="77" customWidth="1"/>
    <col min="8719" max="8719" width="12.42578125" style="77" bestFit="1" customWidth="1"/>
    <col min="8720" max="8953" width="9.140625" style="77"/>
    <col min="8954" max="8955" width="10" style="77" customWidth="1"/>
    <col min="8956" max="8956" width="9.140625" style="77"/>
    <col min="8957" max="8957" width="29.140625" style="77" customWidth="1"/>
    <col min="8958" max="8958" width="12.85546875" style="77" customWidth="1"/>
    <col min="8959" max="8960" width="13.140625" style="77" customWidth="1"/>
    <col min="8961" max="8961" width="9.140625" style="77"/>
    <col min="8962" max="8962" width="12.85546875" style="77" customWidth="1"/>
    <col min="8963" max="8963" width="9.140625" style="77"/>
    <col min="8964" max="8964" width="10.42578125" style="77" customWidth="1"/>
    <col min="8965" max="8966" width="13.140625" style="77" customWidth="1"/>
    <col min="8967" max="8967" width="11.7109375" style="77" customWidth="1"/>
    <col min="8968" max="8968" width="14.85546875" style="77" customWidth="1"/>
    <col min="8969" max="8969" width="13.42578125" style="77" bestFit="1" customWidth="1"/>
    <col min="8970" max="8970" width="14.85546875" style="77" customWidth="1"/>
    <col min="8971" max="8971" width="13.42578125" style="77" bestFit="1" customWidth="1"/>
    <col min="8972" max="8972" width="14.85546875" style="77" customWidth="1"/>
    <col min="8973" max="8973" width="16.5703125" style="77" customWidth="1"/>
    <col min="8974" max="8974" width="10.5703125" style="77" customWidth="1"/>
    <col min="8975" max="8975" width="12.42578125" style="77" bestFit="1" customWidth="1"/>
    <col min="8976" max="9209" width="9.140625" style="77"/>
    <col min="9210" max="9211" width="10" style="77" customWidth="1"/>
    <col min="9212" max="9212" width="9.140625" style="77"/>
    <col min="9213" max="9213" width="29.140625" style="77" customWidth="1"/>
    <col min="9214" max="9214" width="12.85546875" style="77" customWidth="1"/>
    <col min="9215" max="9216" width="13.140625" style="77" customWidth="1"/>
    <col min="9217" max="9217" width="9.140625" style="77"/>
    <col min="9218" max="9218" width="12.85546875" style="77" customWidth="1"/>
    <col min="9219" max="9219" width="9.140625" style="77"/>
    <col min="9220" max="9220" width="10.42578125" style="77" customWidth="1"/>
    <col min="9221" max="9222" width="13.140625" style="77" customWidth="1"/>
    <col min="9223" max="9223" width="11.7109375" style="77" customWidth="1"/>
    <col min="9224" max="9224" width="14.85546875" style="77" customWidth="1"/>
    <col min="9225" max="9225" width="13.42578125" style="77" bestFit="1" customWidth="1"/>
    <col min="9226" max="9226" width="14.85546875" style="77" customWidth="1"/>
    <col min="9227" max="9227" width="13.42578125" style="77" bestFit="1" customWidth="1"/>
    <col min="9228" max="9228" width="14.85546875" style="77" customWidth="1"/>
    <col min="9229" max="9229" width="16.5703125" style="77" customWidth="1"/>
    <col min="9230" max="9230" width="10.5703125" style="77" customWidth="1"/>
    <col min="9231" max="9231" width="12.42578125" style="77" bestFit="1" customWidth="1"/>
    <col min="9232" max="9465" width="9.140625" style="77"/>
    <col min="9466" max="9467" width="10" style="77" customWidth="1"/>
    <col min="9468" max="9468" width="9.140625" style="77"/>
    <col min="9469" max="9469" width="29.140625" style="77" customWidth="1"/>
    <col min="9470" max="9470" width="12.85546875" style="77" customWidth="1"/>
    <col min="9471" max="9472" width="13.140625" style="77" customWidth="1"/>
    <col min="9473" max="9473" width="9.140625" style="77"/>
    <col min="9474" max="9474" width="12.85546875" style="77" customWidth="1"/>
    <col min="9475" max="9475" width="9.140625" style="77"/>
    <col min="9476" max="9476" width="10.42578125" style="77" customWidth="1"/>
    <col min="9477" max="9478" width="13.140625" style="77" customWidth="1"/>
    <col min="9479" max="9479" width="11.7109375" style="77" customWidth="1"/>
    <col min="9480" max="9480" width="14.85546875" style="77" customWidth="1"/>
    <col min="9481" max="9481" width="13.42578125" style="77" bestFit="1" customWidth="1"/>
    <col min="9482" max="9482" width="14.85546875" style="77" customWidth="1"/>
    <col min="9483" max="9483" width="13.42578125" style="77" bestFit="1" customWidth="1"/>
    <col min="9484" max="9484" width="14.85546875" style="77" customWidth="1"/>
    <col min="9485" max="9485" width="16.5703125" style="77" customWidth="1"/>
    <col min="9486" max="9486" width="10.5703125" style="77" customWidth="1"/>
    <col min="9487" max="9487" width="12.42578125" style="77" bestFit="1" customWidth="1"/>
    <col min="9488" max="9721" width="9.140625" style="77"/>
    <col min="9722" max="9723" width="10" style="77" customWidth="1"/>
    <col min="9724" max="9724" width="9.140625" style="77"/>
    <col min="9725" max="9725" width="29.140625" style="77" customWidth="1"/>
    <col min="9726" max="9726" width="12.85546875" style="77" customWidth="1"/>
    <col min="9727" max="9728" width="13.140625" style="77" customWidth="1"/>
    <col min="9729" max="9729" width="9.140625" style="77"/>
    <col min="9730" max="9730" width="12.85546875" style="77" customWidth="1"/>
    <col min="9731" max="9731" width="9.140625" style="77"/>
    <col min="9732" max="9732" width="10.42578125" style="77" customWidth="1"/>
    <col min="9733" max="9734" width="13.140625" style="77" customWidth="1"/>
    <col min="9735" max="9735" width="11.7109375" style="77" customWidth="1"/>
    <col min="9736" max="9736" width="14.85546875" style="77" customWidth="1"/>
    <col min="9737" max="9737" width="13.42578125" style="77" bestFit="1" customWidth="1"/>
    <col min="9738" max="9738" width="14.85546875" style="77" customWidth="1"/>
    <col min="9739" max="9739" width="13.42578125" style="77" bestFit="1" customWidth="1"/>
    <col min="9740" max="9740" width="14.85546875" style="77" customWidth="1"/>
    <col min="9741" max="9741" width="16.5703125" style="77" customWidth="1"/>
    <col min="9742" max="9742" width="10.5703125" style="77" customWidth="1"/>
    <col min="9743" max="9743" width="12.42578125" style="77" bestFit="1" customWidth="1"/>
    <col min="9744" max="9977" width="9.140625" style="77"/>
    <col min="9978" max="9979" width="10" style="77" customWidth="1"/>
    <col min="9980" max="9980" width="9.140625" style="77"/>
    <col min="9981" max="9981" width="29.140625" style="77" customWidth="1"/>
    <col min="9982" max="9982" width="12.85546875" style="77" customWidth="1"/>
    <col min="9983" max="9984" width="13.140625" style="77" customWidth="1"/>
    <col min="9985" max="9985" width="9.140625" style="77"/>
    <col min="9986" max="9986" width="12.85546875" style="77" customWidth="1"/>
    <col min="9987" max="9987" width="9.140625" style="77"/>
    <col min="9988" max="9988" width="10.42578125" style="77" customWidth="1"/>
    <col min="9989" max="9990" width="13.140625" style="77" customWidth="1"/>
    <col min="9991" max="9991" width="11.7109375" style="77" customWidth="1"/>
    <col min="9992" max="9992" width="14.85546875" style="77" customWidth="1"/>
    <col min="9993" max="9993" width="13.42578125" style="77" bestFit="1" customWidth="1"/>
    <col min="9994" max="9994" width="14.85546875" style="77" customWidth="1"/>
    <col min="9995" max="9995" width="13.42578125" style="77" bestFit="1" customWidth="1"/>
    <col min="9996" max="9996" width="14.85546875" style="77" customWidth="1"/>
    <col min="9997" max="9997" width="16.5703125" style="77" customWidth="1"/>
    <col min="9998" max="9998" width="10.5703125" style="77" customWidth="1"/>
    <col min="9999" max="9999" width="12.42578125" style="77" bestFit="1" customWidth="1"/>
    <col min="10000" max="10233" width="9.140625" style="77"/>
    <col min="10234" max="10235" width="10" style="77" customWidth="1"/>
    <col min="10236" max="10236" width="9.140625" style="77"/>
    <col min="10237" max="10237" width="29.140625" style="77" customWidth="1"/>
    <col min="10238" max="10238" width="12.85546875" style="77" customWidth="1"/>
    <col min="10239" max="10240" width="13.140625" style="77" customWidth="1"/>
    <col min="10241" max="10241" width="9.140625" style="77"/>
    <col min="10242" max="10242" width="12.85546875" style="77" customWidth="1"/>
    <col min="10243" max="10243" width="9.140625" style="77"/>
    <col min="10244" max="10244" width="10.42578125" style="77" customWidth="1"/>
    <col min="10245" max="10246" width="13.140625" style="77" customWidth="1"/>
    <col min="10247" max="10247" width="11.7109375" style="77" customWidth="1"/>
    <col min="10248" max="10248" width="14.85546875" style="77" customWidth="1"/>
    <col min="10249" max="10249" width="13.42578125" style="77" bestFit="1" customWidth="1"/>
    <col min="10250" max="10250" width="14.85546875" style="77" customWidth="1"/>
    <col min="10251" max="10251" width="13.42578125" style="77" bestFit="1" customWidth="1"/>
    <col min="10252" max="10252" width="14.85546875" style="77" customWidth="1"/>
    <col min="10253" max="10253" width="16.5703125" style="77" customWidth="1"/>
    <col min="10254" max="10254" width="10.5703125" style="77" customWidth="1"/>
    <col min="10255" max="10255" width="12.42578125" style="77" bestFit="1" customWidth="1"/>
    <col min="10256" max="10489" width="9.140625" style="77"/>
    <col min="10490" max="10491" width="10" style="77" customWidth="1"/>
    <col min="10492" max="10492" width="9.140625" style="77"/>
    <col min="10493" max="10493" width="29.140625" style="77" customWidth="1"/>
    <col min="10494" max="10494" width="12.85546875" style="77" customWidth="1"/>
    <col min="10495" max="10496" width="13.140625" style="77" customWidth="1"/>
    <col min="10497" max="10497" width="9.140625" style="77"/>
    <col min="10498" max="10498" width="12.85546875" style="77" customWidth="1"/>
    <col min="10499" max="10499" width="9.140625" style="77"/>
    <col min="10500" max="10500" width="10.42578125" style="77" customWidth="1"/>
    <col min="10501" max="10502" width="13.140625" style="77" customWidth="1"/>
    <col min="10503" max="10503" width="11.7109375" style="77" customWidth="1"/>
    <col min="10504" max="10504" width="14.85546875" style="77" customWidth="1"/>
    <col min="10505" max="10505" width="13.42578125" style="77" bestFit="1" customWidth="1"/>
    <col min="10506" max="10506" width="14.85546875" style="77" customWidth="1"/>
    <col min="10507" max="10507" width="13.42578125" style="77" bestFit="1" customWidth="1"/>
    <col min="10508" max="10508" width="14.85546875" style="77" customWidth="1"/>
    <col min="10509" max="10509" width="16.5703125" style="77" customWidth="1"/>
    <col min="10510" max="10510" width="10.5703125" style="77" customWidth="1"/>
    <col min="10511" max="10511" width="12.42578125" style="77" bestFit="1" customWidth="1"/>
    <col min="10512" max="10745" width="9.140625" style="77"/>
    <col min="10746" max="10747" width="10" style="77" customWidth="1"/>
    <col min="10748" max="10748" width="9.140625" style="77"/>
    <col min="10749" max="10749" width="29.140625" style="77" customWidth="1"/>
    <col min="10750" max="10750" width="12.85546875" style="77" customWidth="1"/>
    <col min="10751" max="10752" width="13.140625" style="77" customWidth="1"/>
    <col min="10753" max="10753" width="9.140625" style="77"/>
    <col min="10754" max="10754" width="12.85546875" style="77" customWidth="1"/>
    <col min="10755" max="10755" width="9.140625" style="77"/>
    <col min="10756" max="10756" width="10.42578125" style="77" customWidth="1"/>
    <col min="10757" max="10758" width="13.140625" style="77" customWidth="1"/>
    <col min="10759" max="10759" width="11.7109375" style="77" customWidth="1"/>
    <col min="10760" max="10760" width="14.85546875" style="77" customWidth="1"/>
    <col min="10761" max="10761" width="13.42578125" style="77" bestFit="1" customWidth="1"/>
    <col min="10762" max="10762" width="14.85546875" style="77" customWidth="1"/>
    <col min="10763" max="10763" width="13.42578125" style="77" bestFit="1" customWidth="1"/>
    <col min="10764" max="10764" width="14.85546875" style="77" customWidth="1"/>
    <col min="10765" max="10765" width="16.5703125" style="77" customWidth="1"/>
    <col min="10766" max="10766" width="10.5703125" style="77" customWidth="1"/>
    <col min="10767" max="10767" width="12.42578125" style="77" bestFit="1" customWidth="1"/>
    <col min="10768" max="11001" width="9.140625" style="77"/>
    <col min="11002" max="11003" width="10" style="77" customWidth="1"/>
    <col min="11004" max="11004" width="9.140625" style="77"/>
    <col min="11005" max="11005" width="29.140625" style="77" customWidth="1"/>
    <col min="11006" max="11006" width="12.85546875" style="77" customWidth="1"/>
    <col min="11007" max="11008" width="13.140625" style="77" customWidth="1"/>
    <col min="11009" max="11009" width="9.140625" style="77"/>
    <col min="11010" max="11010" width="12.85546875" style="77" customWidth="1"/>
    <col min="11011" max="11011" width="9.140625" style="77"/>
    <col min="11012" max="11012" width="10.42578125" style="77" customWidth="1"/>
    <col min="11013" max="11014" width="13.140625" style="77" customWidth="1"/>
    <col min="11015" max="11015" width="11.7109375" style="77" customWidth="1"/>
    <col min="11016" max="11016" width="14.85546875" style="77" customWidth="1"/>
    <col min="11017" max="11017" width="13.42578125" style="77" bestFit="1" customWidth="1"/>
    <col min="11018" max="11018" width="14.85546875" style="77" customWidth="1"/>
    <col min="11019" max="11019" width="13.42578125" style="77" bestFit="1" customWidth="1"/>
    <col min="11020" max="11020" width="14.85546875" style="77" customWidth="1"/>
    <col min="11021" max="11021" width="16.5703125" style="77" customWidth="1"/>
    <col min="11022" max="11022" width="10.5703125" style="77" customWidth="1"/>
    <col min="11023" max="11023" width="12.42578125" style="77" bestFit="1" customWidth="1"/>
    <col min="11024" max="11257" width="9.140625" style="77"/>
    <col min="11258" max="11259" width="10" style="77" customWidth="1"/>
    <col min="11260" max="11260" width="9.140625" style="77"/>
    <col min="11261" max="11261" width="29.140625" style="77" customWidth="1"/>
    <col min="11262" max="11262" width="12.85546875" style="77" customWidth="1"/>
    <col min="11263" max="11264" width="13.140625" style="77" customWidth="1"/>
    <col min="11265" max="11265" width="9.140625" style="77"/>
    <col min="11266" max="11266" width="12.85546875" style="77" customWidth="1"/>
    <col min="11267" max="11267" width="9.140625" style="77"/>
    <col min="11268" max="11268" width="10.42578125" style="77" customWidth="1"/>
    <col min="11269" max="11270" width="13.140625" style="77" customWidth="1"/>
    <col min="11271" max="11271" width="11.7109375" style="77" customWidth="1"/>
    <col min="11272" max="11272" width="14.85546875" style="77" customWidth="1"/>
    <col min="11273" max="11273" width="13.42578125" style="77" bestFit="1" customWidth="1"/>
    <col min="11274" max="11274" width="14.85546875" style="77" customWidth="1"/>
    <col min="11275" max="11275" width="13.42578125" style="77" bestFit="1" customWidth="1"/>
    <col min="11276" max="11276" width="14.85546875" style="77" customWidth="1"/>
    <col min="11277" max="11277" width="16.5703125" style="77" customWidth="1"/>
    <col min="11278" max="11278" width="10.5703125" style="77" customWidth="1"/>
    <col min="11279" max="11279" width="12.42578125" style="77" bestFit="1" customWidth="1"/>
    <col min="11280" max="11513" width="9.140625" style="77"/>
    <col min="11514" max="11515" width="10" style="77" customWidth="1"/>
    <col min="11516" max="11516" width="9.140625" style="77"/>
    <col min="11517" max="11517" width="29.140625" style="77" customWidth="1"/>
    <col min="11518" max="11518" width="12.85546875" style="77" customWidth="1"/>
    <col min="11519" max="11520" width="13.140625" style="77" customWidth="1"/>
    <col min="11521" max="11521" width="9.140625" style="77"/>
    <col min="11522" max="11522" width="12.85546875" style="77" customWidth="1"/>
    <col min="11523" max="11523" width="9.140625" style="77"/>
    <col min="11524" max="11524" width="10.42578125" style="77" customWidth="1"/>
    <col min="11525" max="11526" width="13.140625" style="77" customWidth="1"/>
    <col min="11527" max="11527" width="11.7109375" style="77" customWidth="1"/>
    <col min="11528" max="11528" width="14.85546875" style="77" customWidth="1"/>
    <col min="11529" max="11529" width="13.42578125" style="77" bestFit="1" customWidth="1"/>
    <col min="11530" max="11530" width="14.85546875" style="77" customWidth="1"/>
    <col min="11531" max="11531" width="13.42578125" style="77" bestFit="1" customWidth="1"/>
    <col min="11532" max="11532" width="14.85546875" style="77" customWidth="1"/>
    <col min="11533" max="11533" width="16.5703125" style="77" customWidth="1"/>
    <col min="11534" max="11534" width="10.5703125" style="77" customWidth="1"/>
    <col min="11535" max="11535" width="12.42578125" style="77" bestFit="1" customWidth="1"/>
    <col min="11536" max="11769" width="9.140625" style="77"/>
    <col min="11770" max="11771" width="10" style="77" customWidth="1"/>
    <col min="11772" max="11772" width="9.140625" style="77"/>
    <col min="11773" max="11773" width="29.140625" style="77" customWidth="1"/>
    <col min="11774" max="11774" width="12.85546875" style="77" customWidth="1"/>
    <col min="11775" max="11776" width="13.140625" style="77" customWidth="1"/>
    <col min="11777" max="11777" width="9.140625" style="77"/>
    <col min="11778" max="11778" width="12.85546875" style="77" customWidth="1"/>
    <col min="11779" max="11779" width="9.140625" style="77"/>
    <col min="11780" max="11780" width="10.42578125" style="77" customWidth="1"/>
    <col min="11781" max="11782" width="13.140625" style="77" customWidth="1"/>
    <col min="11783" max="11783" width="11.7109375" style="77" customWidth="1"/>
    <col min="11784" max="11784" width="14.85546875" style="77" customWidth="1"/>
    <col min="11785" max="11785" width="13.42578125" style="77" bestFit="1" customWidth="1"/>
    <col min="11786" max="11786" width="14.85546875" style="77" customWidth="1"/>
    <col min="11787" max="11787" width="13.42578125" style="77" bestFit="1" customWidth="1"/>
    <col min="11788" max="11788" width="14.85546875" style="77" customWidth="1"/>
    <col min="11789" max="11789" width="16.5703125" style="77" customWidth="1"/>
    <col min="11790" max="11790" width="10.5703125" style="77" customWidth="1"/>
    <col min="11791" max="11791" width="12.42578125" style="77" bestFit="1" customWidth="1"/>
    <col min="11792" max="12025" width="9.140625" style="77"/>
    <col min="12026" max="12027" width="10" style="77" customWidth="1"/>
    <col min="12028" max="12028" width="9.140625" style="77"/>
    <col min="12029" max="12029" width="29.140625" style="77" customWidth="1"/>
    <col min="12030" max="12030" width="12.85546875" style="77" customWidth="1"/>
    <col min="12031" max="12032" width="13.140625" style="77" customWidth="1"/>
    <col min="12033" max="12033" width="9.140625" style="77"/>
    <col min="12034" max="12034" width="12.85546875" style="77" customWidth="1"/>
    <col min="12035" max="12035" width="9.140625" style="77"/>
    <col min="12036" max="12036" width="10.42578125" style="77" customWidth="1"/>
    <col min="12037" max="12038" width="13.140625" style="77" customWidth="1"/>
    <col min="12039" max="12039" width="11.7109375" style="77" customWidth="1"/>
    <col min="12040" max="12040" width="14.85546875" style="77" customWidth="1"/>
    <col min="12041" max="12041" width="13.42578125" style="77" bestFit="1" customWidth="1"/>
    <col min="12042" max="12042" width="14.85546875" style="77" customWidth="1"/>
    <col min="12043" max="12043" width="13.42578125" style="77" bestFit="1" customWidth="1"/>
    <col min="12044" max="12044" width="14.85546875" style="77" customWidth="1"/>
    <col min="12045" max="12045" width="16.5703125" style="77" customWidth="1"/>
    <col min="12046" max="12046" width="10.5703125" style="77" customWidth="1"/>
    <col min="12047" max="12047" width="12.42578125" style="77" bestFit="1" customWidth="1"/>
    <col min="12048" max="12281" width="9.140625" style="77"/>
    <col min="12282" max="12283" width="10" style="77" customWidth="1"/>
    <col min="12284" max="12284" width="9.140625" style="77"/>
    <col min="12285" max="12285" width="29.140625" style="77" customWidth="1"/>
    <col min="12286" max="12286" width="12.85546875" style="77" customWidth="1"/>
    <col min="12287" max="12288" width="13.140625" style="77" customWidth="1"/>
    <col min="12289" max="12289" width="9.140625" style="77"/>
    <col min="12290" max="12290" width="12.85546875" style="77" customWidth="1"/>
    <col min="12291" max="12291" width="9.140625" style="77"/>
    <col min="12292" max="12292" width="10.42578125" style="77" customWidth="1"/>
    <col min="12293" max="12294" width="13.140625" style="77" customWidth="1"/>
    <col min="12295" max="12295" width="11.7109375" style="77" customWidth="1"/>
    <col min="12296" max="12296" width="14.85546875" style="77" customWidth="1"/>
    <col min="12297" max="12297" width="13.42578125" style="77" bestFit="1" customWidth="1"/>
    <col min="12298" max="12298" width="14.85546875" style="77" customWidth="1"/>
    <col min="12299" max="12299" width="13.42578125" style="77" bestFit="1" customWidth="1"/>
    <col min="12300" max="12300" width="14.85546875" style="77" customWidth="1"/>
    <col min="12301" max="12301" width="16.5703125" style="77" customWidth="1"/>
    <col min="12302" max="12302" width="10.5703125" style="77" customWidth="1"/>
    <col min="12303" max="12303" width="12.42578125" style="77" bestFit="1" customWidth="1"/>
    <col min="12304" max="12537" width="9.140625" style="77"/>
    <col min="12538" max="12539" width="10" style="77" customWidth="1"/>
    <col min="12540" max="12540" width="9.140625" style="77"/>
    <col min="12541" max="12541" width="29.140625" style="77" customWidth="1"/>
    <col min="12542" max="12542" width="12.85546875" style="77" customWidth="1"/>
    <col min="12543" max="12544" width="13.140625" style="77" customWidth="1"/>
    <col min="12545" max="12545" width="9.140625" style="77"/>
    <col min="12546" max="12546" width="12.85546875" style="77" customWidth="1"/>
    <col min="12547" max="12547" width="9.140625" style="77"/>
    <col min="12548" max="12548" width="10.42578125" style="77" customWidth="1"/>
    <col min="12549" max="12550" width="13.140625" style="77" customWidth="1"/>
    <col min="12551" max="12551" width="11.7109375" style="77" customWidth="1"/>
    <col min="12552" max="12552" width="14.85546875" style="77" customWidth="1"/>
    <col min="12553" max="12553" width="13.42578125" style="77" bestFit="1" customWidth="1"/>
    <col min="12554" max="12554" width="14.85546875" style="77" customWidth="1"/>
    <col min="12555" max="12555" width="13.42578125" style="77" bestFit="1" customWidth="1"/>
    <col min="12556" max="12556" width="14.85546875" style="77" customWidth="1"/>
    <col min="12557" max="12557" width="16.5703125" style="77" customWidth="1"/>
    <col min="12558" max="12558" width="10.5703125" style="77" customWidth="1"/>
    <col min="12559" max="12559" width="12.42578125" style="77" bestFit="1" customWidth="1"/>
    <col min="12560" max="12793" width="9.140625" style="77"/>
    <col min="12794" max="12795" width="10" style="77" customWidth="1"/>
    <col min="12796" max="12796" width="9.140625" style="77"/>
    <col min="12797" max="12797" width="29.140625" style="77" customWidth="1"/>
    <col min="12798" max="12798" width="12.85546875" style="77" customWidth="1"/>
    <col min="12799" max="12800" width="13.140625" style="77" customWidth="1"/>
    <col min="12801" max="12801" width="9.140625" style="77"/>
    <col min="12802" max="12802" width="12.85546875" style="77" customWidth="1"/>
    <col min="12803" max="12803" width="9.140625" style="77"/>
    <col min="12804" max="12804" width="10.42578125" style="77" customWidth="1"/>
    <col min="12805" max="12806" width="13.140625" style="77" customWidth="1"/>
    <col min="12807" max="12807" width="11.7109375" style="77" customWidth="1"/>
    <col min="12808" max="12808" width="14.85546875" style="77" customWidth="1"/>
    <col min="12809" max="12809" width="13.42578125" style="77" bestFit="1" customWidth="1"/>
    <col min="12810" max="12810" width="14.85546875" style="77" customWidth="1"/>
    <col min="12811" max="12811" width="13.42578125" style="77" bestFit="1" customWidth="1"/>
    <col min="12812" max="12812" width="14.85546875" style="77" customWidth="1"/>
    <col min="12813" max="12813" width="16.5703125" style="77" customWidth="1"/>
    <col min="12814" max="12814" width="10.5703125" style="77" customWidth="1"/>
    <col min="12815" max="12815" width="12.42578125" style="77" bestFit="1" customWidth="1"/>
    <col min="12816" max="13049" width="9.140625" style="77"/>
    <col min="13050" max="13051" width="10" style="77" customWidth="1"/>
    <col min="13052" max="13052" width="9.140625" style="77"/>
    <col min="13053" max="13053" width="29.140625" style="77" customWidth="1"/>
    <col min="13054" max="13054" width="12.85546875" style="77" customWidth="1"/>
    <col min="13055" max="13056" width="13.140625" style="77" customWidth="1"/>
    <col min="13057" max="13057" width="9.140625" style="77"/>
    <col min="13058" max="13058" width="12.85546875" style="77" customWidth="1"/>
    <col min="13059" max="13059" width="9.140625" style="77"/>
    <col min="13060" max="13060" width="10.42578125" style="77" customWidth="1"/>
    <col min="13061" max="13062" width="13.140625" style="77" customWidth="1"/>
    <col min="13063" max="13063" width="11.7109375" style="77" customWidth="1"/>
    <col min="13064" max="13064" width="14.85546875" style="77" customWidth="1"/>
    <col min="13065" max="13065" width="13.42578125" style="77" bestFit="1" customWidth="1"/>
    <col min="13066" max="13066" width="14.85546875" style="77" customWidth="1"/>
    <col min="13067" max="13067" width="13.42578125" style="77" bestFit="1" customWidth="1"/>
    <col min="13068" max="13068" width="14.85546875" style="77" customWidth="1"/>
    <col min="13069" max="13069" width="16.5703125" style="77" customWidth="1"/>
    <col min="13070" max="13070" width="10.5703125" style="77" customWidth="1"/>
    <col min="13071" max="13071" width="12.42578125" style="77" bestFit="1" customWidth="1"/>
    <col min="13072" max="13305" width="9.140625" style="77"/>
    <col min="13306" max="13307" width="10" style="77" customWidth="1"/>
    <col min="13308" max="13308" width="9.140625" style="77"/>
    <col min="13309" max="13309" width="29.140625" style="77" customWidth="1"/>
    <col min="13310" max="13310" width="12.85546875" style="77" customWidth="1"/>
    <col min="13311" max="13312" width="13.140625" style="77" customWidth="1"/>
    <col min="13313" max="13313" width="9.140625" style="77"/>
    <col min="13314" max="13314" width="12.85546875" style="77" customWidth="1"/>
    <col min="13315" max="13315" width="9.140625" style="77"/>
    <col min="13316" max="13316" width="10.42578125" style="77" customWidth="1"/>
    <col min="13317" max="13318" width="13.140625" style="77" customWidth="1"/>
    <col min="13319" max="13319" width="11.7109375" style="77" customWidth="1"/>
    <col min="13320" max="13320" width="14.85546875" style="77" customWidth="1"/>
    <col min="13321" max="13321" width="13.42578125" style="77" bestFit="1" customWidth="1"/>
    <col min="13322" max="13322" width="14.85546875" style="77" customWidth="1"/>
    <col min="13323" max="13323" width="13.42578125" style="77" bestFit="1" customWidth="1"/>
    <col min="13324" max="13324" width="14.85546875" style="77" customWidth="1"/>
    <col min="13325" max="13325" width="16.5703125" style="77" customWidth="1"/>
    <col min="13326" max="13326" width="10.5703125" style="77" customWidth="1"/>
    <col min="13327" max="13327" width="12.42578125" style="77" bestFit="1" customWidth="1"/>
    <col min="13328" max="13561" width="9.140625" style="77"/>
    <col min="13562" max="13563" width="10" style="77" customWidth="1"/>
    <col min="13564" max="13564" width="9.140625" style="77"/>
    <col min="13565" max="13565" width="29.140625" style="77" customWidth="1"/>
    <col min="13566" max="13566" width="12.85546875" style="77" customWidth="1"/>
    <col min="13567" max="13568" width="13.140625" style="77" customWidth="1"/>
    <col min="13569" max="13569" width="9.140625" style="77"/>
    <col min="13570" max="13570" width="12.85546875" style="77" customWidth="1"/>
    <col min="13571" max="13571" width="9.140625" style="77"/>
    <col min="13572" max="13572" width="10.42578125" style="77" customWidth="1"/>
    <col min="13573" max="13574" width="13.140625" style="77" customWidth="1"/>
    <col min="13575" max="13575" width="11.7109375" style="77" customWidth="1"/>
    <col min="13576" max="13576" width="14.85546875" style="77" customWidth="1"/>
    <col min="13577" max="13577" width="13.42578125" style="77" bestFit="1" customWidth="1"/>
    <col min="13578" max="13578" width="14.85546875" style="77" customWidth="1"/>
    <col min="13579" max="13579" width="13.42578125" style="77" bestFit="1" customWidth="1"/>
    <col min="13580" max="13580" width="14.85546875" style="77" customWidth="1"/>
    <col min="13581" max="13581" width="16.5703125" style="77" customWidth="1"/>
    <col min="13582" max="13582" width="10.5703125" style="77" customWidth="1"/>
    <col min="13583" max="13583" width="12.42578125" style="77" bestFit="1" customWidth="1"/>
    <col min="13584" max="13817" width="9.140625" style="77"/>
    <col min="13818" max="13819" width="10" style="77" customWidth="1"/>
    <col min="13820" max="13820" width="9.140625" style="77"/>
    <col min="13821" max="13821" width="29.140625" style="77" customWidth="1"/>
    <col min="13822" max="13822" width="12.85546875" style="77" customWidth="1"/>
    <col min="13823" max="13824" width="13.140625" style="77" customWidth="1"/>
    <col min="13825" max="13825" width="9.140625" style="77"/>
    <col min="13826" max="13826" width="12.85546875" style="77" customWidth="1"/>
    <col min="13827" max="13827" width="9.140625" style="77"/>
    <col min="13828" max="13828" width="10.42578125" style="77" customWidth="1"/>
    <col min="13829" max="13830" width="13.140625" style="77" customWidth="1"/>
    <col min="13831" max="13831" width="11.7109375" style="77" customWidth="1"/>
    <col min="13832" max="13832" width="14.85546875" style="77" customWidth="1"/>
    <col min="13833" max="13833" width="13.42578125" style="77" bestFit="1" customWidth="1"/>
    <col min="13834" max="13834" width="14.85546875" style="77" customWidth="1"/>
    <col min="13835" max="13835" width="13.42578125" style="77" bestFit="1" customWidth="1"/>
    <col min="13836" max="13836" width="14.85546875" style="77" customWidth="1"/>
    <col min="13837" max="13837" width="16.5703125" style="77" customWidth="1"/>
    <col min="13838" max="13838" width="10.5703125" style="77" customWidth="1"/>
    <col min="13839" max="13839" width="12.42578125" style="77" bestFit="1" customWidth="1"/>
    <col min="13840" max="14073" width="9.140625" style="77"/>
    <col min="14074" max="14075" width="10" style="77" customWidth="1"/>
    <col min="14076" max="14076" width="9.140625" style="77"/>
    <col min="14077" max="14077" width="29.140625" style="77" customWidth="1"/>
    <col min="14078" max="14078" width="12.85546875" style="77" customWidth="1"/>
    <col min="14079" max="14080" width="13.140625" style="77" customWidth="1"/>
    <col min="14081" max="14081" width="9.140625" style="77"/>
    <col min="14082" max="14082" width="12.85546875" style="77" customWidth="1"/>
    <col min="14083" max="14083" width="9.140625" style="77"/>
    <col min="14084" max="14084" width="10.42578125" style="77" customWidth="1"/>
    <col min="14085" max="14086" width="13.140625" style="77" customWidth="1"/>
    <col min="14087" max="14087" width="11.7109375" style="77" customWidth="1"/>
    <col min="14088" max="14088" width="14.85546875" style="77" customWidth="1"/>
    <col min="14089" max="14089" width="13.42578125" style="77" bestFit="1" customWidth="1"/>
    <col min="14090" max="14090" width="14.85546875" style="77" customWidth="1"/>
    <col min="14091" max="14091" width="13.42578125" style="77" bestFit="1" customWidth="1"/>
    <col min="14092" max="14092" width="14.85546875" style="77" customWidth="1"/>
    <col min="14093" max="14093" width="16.5703125" style="77" customWidth="1"/>
    <col min="14094" max="14094" width="10.5703125" style="77" customWidth="1"/>
    <col min="14095" max="14095" width="12.42578125" style="77" bestFit="1" customWidth="1"/>
    <col min="14096" max="14329" width="9.140625" style="77"/>
    <col min="14330" max="14331" width="10" style="77" customWidth="1"/>
    <col min="14332" max="14332" width="9.140625" style="77"/>
    <col min="14333" max="14333" width="29.140625" style="77" customWidth="1"/>
    <col min="14334" max="14334" width="12.85546875" style="77" customWidth="1"/>
    <col min="14335" max="14336" width="13.140625" style="77" customWidth="1"/>
    <col min="14337" max="14337" width="9.140625" style="77"/>
    <col min="14338" max="14338" width="12.85546875" style="77" customWidth="1"/>
    <col min="14339" max="14339" width="9.140625" style="77"/>
    <col min="14340" max="14340" width="10.42578125" style="77" customWidth="1"/>
    <col min="14341" max="14342" width="13.140625" style="77" customWidth="1"/>
    <col min="14343" max="14343" width="11.7109375" style="77" customWidth="1"/>
    <col min="14344" max="14344" width="14.85546875" style="77" customWidth="1"/>
    <col min="14345" max="14345" width="13.42578125" style="77" bestFit="1" customWidth="1"/>
    <col min="14346" max="14346" width="14.85546875" style="77" customWidth="1"/>
    <col min="14347" max="14347" width="13.42578125" style="77" bestFit="1" customWidth="1"/>
    <col min="14348" max="14348" width="14.85546875" style="77" customWidth="1"/>
    <col min="14349" max="14349" width="16.5703125" style="77" customWidth="1"/>
    <col min="14350" max="14350" width="10.5703125" style="77" customWidth="1"/>
    <col min="14351" max="14351" width="12.42578125" style="77" bestFit="1" customWidth="1"/>
    <col min="14352" max="14585" width="9.140625" style="77"/>
    <col min="14586" max="14587" width="10" style="77" customWidth="1"/>
    <col min="14588" max="14588" width="9.140625" style="77"/>
    <col min="14589" max="14589" width="29.140625" style="77" customWidth="1"/>
    <col min="14590" max="14590" width="12.85546875" style="77" customWidth="1"/>
    <col min="14591" max="14592" width="13.140625" style="77" customWidth="1"/>
    <col min="14593" max="14593" width="9.140625" style="77"/>
    <col min="14594" max="14594" width="12.85546875" style="77" customWidth="1"/>
    <col min="14595" max="14595" width="9.140625" style="77"/>
    <col min="14596" max="14596" width="10.42578125" style="77" customWidth="1"/>
    <col min="14597" max="14598" width="13.140625" style="77" customWidth="1"/>
    <col min="14599" max="14599" width="11.7109375" style="77" customWidth="1"/>
    <col min="14600" max="14600" width="14.85546875" style="77" customWidth="1"/>
    <col min="14601" max="14601" width="13.42578125" style="77" bestFit="1" customWidth="1"/>
    <col min="14602" max="14602" width="14.85546875" style="77" customWidth="1"/>
    <col min="14603" max="14603" width="13.42578125" style="77" bestFit="1" customWidth="1"/>
    <col min="14604" max="14604" width="14.85546875" style="77" customWidth="1"/>
    <col min="14605" max="14605" width="16.5703125" style="77" customWidth="1"/>
    <col min="14606" max="14606" width="10.5703125" style="77" customWidth="1"/>
    <col min="14607" max="14607" width="12.42578125" style="77" bestFit="1" customWidth="1"/>
    <col min="14608" max="14841" width="9.140625" style="77"/>
    <col min="14842" max="14843" width="10" style="77" customWidth="1"/>
    <col min="14844" max="14844" width="9.140625" style="77"/>
    <col min="14845" max="14845" width="29.140625" style="77" customWidth="1"/>
    <col min="14846" max="14846" width="12.85546875" style="77" customWidth="1"/>
    <col min="14847" max="14848" width="13.140625" style="77" customWidth="1"/>
    <col min="14849" max="14849" width="9.140625" style="77"/>
    <col min="14850" max="14850" width="12.85546875" style="77" customWidth="1"/>
    <col min="14851" max="14851" width="9.140625" style="77"/>
    <col min="14852" max="14852" width="10.42578125" style="77" customWidth="1"/>
    <col min="14853" max="14854" width="13.140625" style="77" customWidth="1"/>
    <col min="14855" max="14855" width="11.7109375" style="77" customWidth="1"/>
    <col min="14856" max="14856" width="14.85546875" style="77" customWidth="1"/>
    <col min="14857" max="14857" width="13.42578125" style="77" bestFit="1" customWidth="1"/>
    <col min="14858" max="14858" width="14.85546875" style="77" customWidth="1"/>
    <col min="14859" max="14859" width="13.42578125" style="77" bestFit="1" customWidth="1"/>
    <col min="14860" max="14860" width="14.85546875" style="77" customWidth="1"/>
    <col min="14861" max="14861" width="16.5703125" style="77" customWidth="1"/>
    <col min="14862" max="14862" width="10.5703125" style="77" customWidth="1"/>
    <col min="14863" max="14863" width="12.42578125" style="77" bestFit="1" customWidth="1"/>
    <col min="14864" max="15097" width="9.140625" style="77"/>
    <col min="15098" max="15099" width="10" style="77" customWidth="1"/>
    <col min="15100" max="15100" width="9.140625" style="77"/>
    <col min="15101" max="15101" width="29.140625" style="77" customWidth="1"/>
    <col min="15102" max="15102" width="12.85546875" style="77" customWidth="1"/>
    <col min="15103" max="15104" width="13.140625" style="77" customWidth="1"/>
    <col min="15105" max="15105" width="9.140625" style="77"/>
    <col min="15106" max="15106" width="12.85546875" style="77" customWidth="1"/>
    <col min="15107" max="15107" width="9.140625" style="77"/>
    <col min="15108" max="15108" width="10.42578125" style="77" customWidth="1"/>
    <col min="15109" max="15110" width="13.140625" style="77" customWidth="1"/>
    <col min="15111" max="15111" width="11.7109375" style="77" customWidth="1"/>
    <col min="15112" max="15112" width="14.85546875" style="77" customWidth="1"/>
    <col min="15113" max="15113" width="13.42578125" style="77" bestFit="1" customWidth="1"/>
    <col min="15114" max="15114" width="14.85546875" style="77" customWidth="1"/>
    <col min="15115" max="15115" width="13.42578125" style="77" bestFit="1" customWidth="1"/>
    <col min="15116" max="15116" width="14.85546875" style="77" customWidth="1"/>
    <col min="15117" max="15117" width="16.5703125" style="77" customWidth="1"/>
    <col min="15118" max="15118" width="10.5703125" style="77" customWidth="1"/>
    <col min="15119" max="15119" width="12.42578125" style="77" bestFit="1" customWidth="1"/>
    <col min="15120" max="15353" width="9.140625" style="77"/>
    <col min="15354" max="15355" width="10" style="77" customWidth="1"/>
    <col min="15356" max="15356" width="9.140625" style="77"/>
    <col min="15357" max="15357" width="29.140625" style="77" customWidth="1"/>
    <col min="15358" max="15358" width="12.85546875" style="77" customWidth="1"/>
    <col min="15359" max="15360" width="13.140625" style="77" customWidth="1"/>
    <col min="15361" max="15361" width="9.140625" style="77"/>
    <col min="15362" max="15362" width="12.85546875" style="77" customWidth="1"/>
    <col min="15363" max="15363" width="9.140625" style="77"/>
    <col min="15364" max="15364" width="10.42578125" style="77" customWidth="1"/>
    <col min="15365" max="15366" width="13.140625" style="77" customWidth="1"/>
    <col min="15367" max="15367" width="11.7109375" style="77" customWidth="1"/>
    <col min="15368" max="15368" width="14.85546875" style="77" customWidth="1"/>
    <col min="15369" max="15369" width="13.42578125" style="77" bestFit="1" customWidth="1"/>
    <col min="15370" max="15370" width="14.85546875" style="77" customWidth="1"/>
    <col min="15371" max="15371" width="13.42578125" style="77" bestFit="1" customWidth="1"/>
    <col min="15372" max="15372" width="14.85546875" style="77" customWidth="1"/>
    <col min="15373" max="15373" width="16.5703125" style="77" customWidth="1"/>
    <col min="15374" max="15374" width="10.5703125" style="77" customWidth="1"/>
    <col min="15375" max="15375" width="12.42578125" style="77" bestFit="1" customWidth="1"/>
    <col min="15376" max="15609" width="9.140625" style="77"/>
    <col min="15610" max="15611" width="10" style="77" customWidth="1"/>
    <col min="15612" max="15612" width="9.140625" style="77"/>
    <col min="15613" max="15613" width="29.140625" style="77" customWidth="1"/>
    <col min="15614" max="15614" width="12.85546875" style="77" customWidth="1"/>
    <col min="15615" max="15616" width="13.140625" style="77" customWidth="1"/>
    <col min="15617" max="15617" width="9.140625" style="77"/>
    <col min="15618" max="15618" width="12.85546875" style="77" customWidth="1"/>
    <col min="15619" max="15619" width="9.140625" style="77"/>
    <col min="15620" max="15620" width="10.42578125" style="77" customWidth="1"/>
    <col min="15621" max="15622" width="13.140625" style="77" customWidth="1"/>
    <col min="15623" max="15623" width="11.7109375" style="77" customWidth="1"/>
    <col min="15624" max="15624" width="14.85546875" style="77" customWidth="1"/>
    <col min="15625" max="15625" width="13.42578125" style="77" bestFit="1" customWidth="1"/>
    <col min="15626" max="15626" width="14.85546875" style="77" customWidth="1"/>
    <col min="15627" max="15627" width="13.42578125" style="77" bestFit="1" customWidth="1"/>
    <col min="15628" max="15628" width="14.85546875" style="77" customWidth="1"/>
    <col min="15629" max="15629" width="16.5703125" style="77" customWidth="1"/>
    <col min="15630" max="15630" width="10.5703125" style="77" customWidth="1"/>
    <col min="15631" max="15631" width="12.42578125" style="77" bestFit="1" customWidth="1"/>
    <col min="15632" max="15865" width="9.140625" style="77"/>
    <col min="15866" max="15867" width="10" style="77" customWidth="1"/>
    <col min="15868" max="15868" width="9.140625" style="77"/>
    <col min="15869" max="15869" width="29.140625" style="77" customWidth="1"/>
    <col min="15870" max="15870" width="12.85546875" style="77" customWidth="1"/>
    <col min="15871" max="15872" width="13.140625" style="77" customWidth="1"/>
    <col min="15873" max="15873" width="9.140625" style="77"/>
    <col min="15874" max="15874" width="12.85546875" style="77" customWidth="1"/>
    <col min="15875" max="15875" width="9.140625" style="77"/>
    <col min="15876" max="15876" width="10.42578125" style="77" customWidth="1"/>
    <col min="15877" max="15878" width="13.140625" style="77" customWidth="1"/>
    <col min="15879" max="15879" width="11.7109375" style="77" customWidth="1"/>
    <col min="15880" max="15880" width="14.85546875" style="77" customWidth="1"/>
    <col min="15881" max="15881" width="13.42578125" style="77" bestFit="1" customWidth="1"/>
    <col min="15882" max="15882" width="14.85546875" style="77" customWidth="1"/>
    <col min="15883" max="15883" width="13.42578125" style="77" bestFit="1" customWidth="1"/>
    <col min="15884" max="15884" width="14.85546875" style="77" customWidth="1"/>
    <col min="15885" max="15885" width="16.5703125" style="77" customWidth="1"/>
    <col min="15886" max="15886" width="10.5703125" style="77" customWidth="1"/>
    <col min="15887" max="15887" width="12.42578125" style="77" bestFit="1" customWidth="1"/>
    <col min="15888" max="16121" width="9.140625" style="77"/>
    <col min="16122" max="16123" width="10" style="77" customWidth="1"/>
    <col min="16124" max="16124" width="9.140625" style="77"/>
    <col min="16125" max="16125" width="29.140625" style="77" customWidth="1"/>
    <col min="16126" max="16126" width="12.85546875" style="77" customWidth="1"/>
    <col min="16127" max="16128" width="13.140625" style="77" customWidth="1"/>
    <col min="16129" max="16129" width="9.140625" style="77"/>
    <col min="16130" max="16130" width="12.85546875" style="77" customWidth="1"/>
    <col min="16131" max="16131" width="9.140625" style="77"/>
    <col min="16132" max="16132" width="10.42578125" style="77" customWidth="1"/>
    <col min="16133" max="16134" width="13.140625" style="77" customWidth="1"/>
    <col min="16135" max="16135" width="11.7109375" style="77" customWidth="1"/>
    <col min="16136" max="16136" width="14.85546875" style="77" customWidth="1"/>
    <col min="16137" max="16137" width="13.42578125" style="77" bestFit="1" customWidth="1"/>
    <col min="16138" max="16138" width="14.85546875" style="77" customWidth="1"/>
    <col min="16139" max="16139" width="13.42578125" style="77" bestFit="1" customWidth="1"/>
    <col min="16140" max="16140" width="14.85546875" style="77" customWidth="1"/>
    <col min="16141" max="16141" width="16.5703125" style="77" customWidth="1"/>
    <col min="16142" max="16142" width="10.5703125" style="77" customWidth="1"/>
    <col min="16143" max="16143" width="12.42578125" style="77" bestFit="1" customWidth="1"/>
    <col min="16144" max="16384" width="9.140625" style="77"/>
  </cols>
  <sheetData>
    <row r="1" spans="1:22" x14ac:dyDescent="0.2">
      <c r="A1" s="75" t="s">
        <v>102</v>
      </c>
      <c r="B1" s="76"/>
    </row>
    <row r="2" spans="1:22" x14ac:dyDescent="0.2">
      <c r="A2" s="76" t="s">
        <v>0</v>
      </c>
      <c r="B2" s="76"/>
      <c r="J2" s="97" t="s">
        <v>103</v>
      </c>
      <c r="M2" s="371" t="s">
        <v>104</v>
      </c>
    </row>
    <row r="3" spans="1:22" x14ac:dyDescent="0.2">
      <c r="A3" s="81" t="s">
        <v>152</v>
      </c>
      <c r="B3" s="76"/>
      <c r="J3" s="97"/>
    </row>
    <row r="4" spans="1:22" x14ac:dyDescent="0.2">
      <c r="A4" s="192" t="s">
        <v>113</v>
      </c>
      <c r="B4" s="371" t="s">
        <v>153</v>
      </c>
      <c r="J4" s="192" t="s">
        <v>92</v>
      </c>
      <c r="M4" s="371" t="s">
        <v>155</v>
      </c>
    </row>
    <row r="5" spans="1:22" x14ac:dyDescent="0.2">
      <c r="A5" s="81"/>
      <c r="B5" s="76"/>
    </row>
    <row r="6" spans="1:22" x14ac:dyDescent="0.2">
      <c r="A6" s="76" t="s">
        <v>1</v>
      </c>
      <c r="B6" s="188">
        <v>2012</v>
      </c>
      <c r="R6" s="77" t="s">
        <v>308</v>
      </c>
    </row>
    <row r="7" spans="1:22" x14ac:dyDescent="0.2">
      <c r="R7" s="77">
        <v>-964039</v>
      </c>
    </row>
    <row r="8" spans="1:22" s="81" customFormat="1" ht="38.25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O8" s="83"/>
      <c r="P8" s="83">
        <v>40</v>
      </c>
      <c r="Q8" s="83"/>
      <c r="R8" s="413">
        <f>+R7+M26</f>
        <v>3637508.8202</v>
      </c>
      <c r="S8" s="83"/>
      <c r="T8" s="83"/>
      <c r="U8" s="83"/>
      <c r="V8" s="83"/>
    </row>
    <row r="9" spans="1:22" s="81" customFormat="1" x14ac:dyDescent="0.2">
      <c r="A9" s="203" t="s">
        <v>154</v>
      </c>
      <c r="B9" s="205">
        <v>32873</v>
      </c>
      <c r="C9" s="206">
        <v>1989</v>
      </c>
      <c r="D9" s="206">
        <v>25</v>
      </c>
      <c r="E9" s="206">
        <f t="shared" ref="E9:E19" si="0">+C9+D9-1</f>
        <v>2013</v>
      </c>
      <c r="F9" s="207">
        <f t="shared" ref="F9:F19" si="1">IF(D9&gt;0,1/D9,0)</f>
        <v>0.04</v>
      </c>
      <c r="G9" s="222">
        <v>92712.12</v>
      </c>
      <c r="H9" s="209">
        <f t="shared" ref="H9:H16" si="2">IF(+G9&gt;0,IF(+$B$6-C9+1&gt;D9,D9,+$B$6-C9+1),0)</f>
        <v>24</v>
      </c>
      <c r="I9" s="209">
        <f t="shared" ref="I9:I16" si="3">IF(E9&gt;=$B$6,+D9-H9,0)</f>
        <v>1</v>
      </c>
      <c r="J9" s="222">
        <f t="shared" ref="J9:J17" si="4">+G9*F9</f>
        <v>3708.4847999999997</v>
      </c>
      <c r="K9" s="222">
        <f t="shared" ref="K9:K16" si="5">IF(E9&gt;=$B$6,+J9,0)</f>
        <v>3708.4847999999997</v>
      </c>
      <c r="L9" s="222">
        <f>+J9*H9</f>
        <v>89003.63519999999</v>
      </c>
      <c r="M9" s="222">
        <f t="shared" ref="M9:M24" si="6">+G9-L9</f>
        <v>3708.4848000000056</v>
      </c>
      <c r="N9" s="206"/>
      <c r="O9" s="398">
        <f>+M9/$M$26</f>
        <v>8.0592116933358776E-4</v>
      </c>
      <c r="P9" s="399">
        <f>+$P$8-H9</f>
        <v>16</v>
      </c>
      <c r="Q9" s="81">
        <f>+O9*P9</f>
        <v>1.2894738709337404E-2</v>
      </c>
      <c r="R9" s="396">
        <f t="shared" ref="R9:R24" si="7">+O9*$R$8</f>
        <v>2931.5453618368233</v>
      </c>
    </row>
    <row r="10" spans="1:22" s="81" customFormat="1" x14ac:dyDescent="0.2">
      <c r="A10" s="203" t="s">
        <v>154</v>
      </c>
      <c r="B10" s="205">
        <v>33238</v>
      </c>
      <c r="C10" s="206">
        <v>1990</v>
      </c>
      <c r="D10" s="206">
        <v>25</v>
      </c>
      <c r="E10" s="206">
        <f t="shared" si="0"/>
        <v>2014</v>
      </c>
      <c r="F10" s="207">
        <f t="shared" si="1"/>
        <v>0.04</v>
      </c>
      <c r="G10" s="220">
        <v>10279.44</v>
      </c>
      <c r="H10" s="209">
        <f t="shared" si="2"/>
        <v>23</v>
      </c>
      <c r="I10" s="209">
        <f t="shared" si="3"/>
        <v>2</v>
      </c>
      <c r="J10" s="220">
        <f t="shared" si="4"/>
        <v>411.17760000000004</v>
      </c>
      <c r="K10" s="220">
        <f t="shared" si="5"/>
        <v>411.17760000000004</v>
      </c>
      <c r="L10" s="220">
        <f>+J10*H10</f>
        <v>9457.0848000000005</v>
      </c>
      <c r="M10" s="220">
        <f t="shared" si="6"/>
        <v>822.35519999999997</v>
      </c>
      <c r="N10" s="206"/>
      <c r="O10" s="398">
        <f t="shared" ref="O10:O24" si="8">+M10/$M$26</f>
        <v>1.787127358298881E-4</v>
      </c>
      <c r="P10" s="399">
        <f t="shared" ref="P10:P24" si="9">+$P$8-H10</f>
        <v>17</v>
      </c>
      <c r="Q10" s="81">
        <f t="shared" ref="Q10:Q24" si="10">+O10*P10</f>
        <v>3.0381165091080977E-3</v>
      </c>
      <c r="R10" s="396">
        <f t="shared" si="7"/>
        <v>650.06915286329058</v>
      </c>
    </row>
    <row r="11" spans="1:22" s="81" customFormat="1" x14ac:dyDescent="0.2">
      <c r="A11" s="203" t="s">
        <v>154</v>
      </c>
      <c r="B11" s="205">
        <v>36891</v>
      </c>
      <c r="C11" s="206">
        <v>2000</v>
      </c>
      <c r="D11" s="206">
        <v>25</v>
      </c>
      <c r="E11" s="206">
        <f t="shared" si="0"/>
        <v>2024</v>
      </c>
      <c r="F11" s="207">
        <f t="shared" si="1"/>
        <v>0.04</v>
      </c>
      <c r="G11" s="220">
        <v>101050.87</v>
      </c>
      <c r="H11" s="209">
        <f t="shared" si="2"/>
        <v>13</v>
      </c>
      <c r="I11" s="209">
        <f t="shared" si="3"/>
        <v>12</v>
      </c>
      <c r="J11" s="220">
        <f t="shared" si="4"/>
        <v>4042.0347999999999</v>
      </c>
      <c r="K11" s="220">
        <f t="shared" si="5"/>
        <v>4042.0347999999999</v>
      </c>
      <c r="L11" s="220">
        <f>+J11*H11</f>
        <v>52546.452400000002</v>
      </c>
      <c r="M11" s="220">
        <f t="shared" si="6"/>
        <v>48504.417599999993</v>
      </c>
      <c r="N11" s="206"/>
      <c r="O11" s="398">
        <f t="shared" si="8"/>
        <v>1.0540891781472743E-2</v>
      </c>
      <c r="P11" s="399">
        <f t="shared" si="9"/>
        <v>27</v>
      </c>
      <c r="Q11" s="81">
        <f t="shared" si="10"/>
        <v>0.28460407809976407</v>
      </c>
      <c r="R11" s="396">
        <f t="shared" si="7"/>
        <v>38342.58682788079</v>
      </c>
    </row>
    <row r="12" spans="1:22" s="81" customFormat="1" x14ac:dyDescent="0.2">
      <c r="A12" s="203" t="s">
        <v>154</v>
      </c>
      <c r="B12" s="205">
        <v>37256</v>
      </c>
      <c r="C12" s="206">
        <v>2001</v>
      </c>
      <c r="D12" s="206">
        <v>25</v>
      </c>
      <c r="E12" s="206">
        <f t="shared" si="0"/>
        <v>2025</v>
      </c>
      <c r="F12" s="207">
        <f t="shared" si="1"/>
        <v>0.04</v>
      </c>
      <c r="G12" s="220">
        <f>3334197.2-3056850.66+16272.59</f>
        <v>293619.13000000006</v>
      </c>
      <c r="H12" s="209">
        <f t="shared" si="2"/>
        <v>12</v>
      </c>
      <c r="I12" s="209">
        <f t="shared" si="3"/>
        <v>13</v>
      </c>
      <c r="J12" s="220">
        <f t="shared" si="4"/>
        <v>11744.765200000003</v>
      </c>
      <c r="K12" s="220">
        <f t="shared" si="5"/>
        <v>11744.765200000003</v>
      </c>
      <c r="L12" s="220">
        <f>+J12*H12</f>
        <v>140937.18240000005</v>
      </c>
      <c r="M12" s="220">
        <f t="shared" si="6"/>
        <v>152681.94760000001</v>
      </c>
      <c r="N12" s="206"/>
      <c r="O12" s="398">
        <f t="shared" si="8"/>
        <v>3.3180563055272977E-2</v>
      </c>
      <c r="P12" s="399">
        <f t="shared" si="9"/>
        <v>28</v>
      </c>
      <c r="Q12" s="81">
        <f t="shared" si="10"/>
        <v>0.92905576554764335</v>
      </c>
      <c r="R12" s="396">
        <f t="shared" si="7"/>
        <v>120694.59077275771</v>
      </c>
    </row>
    <row r="13" spans="1:22" s="81" customFormat="1" x14ac:dyDescent="0.2">
      <c r="A13" s="203" t="s">
        <v>154</v>
      </c>
      <c r="B13" s="205">
        <v>37621</v>
      </c>
      <c r="C13" s="206">
        <v>2002</v>
      </c>
      <c r="D13" s="206">
        <v>25</v>
      </c>
      <c r="E13" s="206">
        <f t="shared" si="0"/>
        <v>2026</v>
      </c>
      <c r="F13" s="207">
        <f t="shared" si="1"/>
        <v>0.04</v>
      </c>
      <c r="G13" s="220">
        <v>496629.94</v>
      </c>
      <c r="H13" s="209">
        <f t="shared" si="2"/>
        <v>11</v>
      </c>
      <c r="I13" s="209">
        <f t="shared" si="3"/>
        <v>14</v>
      </c>
      <c r="J13" s="220">
        <f t="shared" si="4"/>
        <v>19865.1976</v>
      </c>
      <c r="K13" s="220">
        <f t="shared" si="5"/>
        <v>19865.1976</v>
      </c>
      <c r="L13" s="220">
        <f>+J13*H13</f>
        <v>218517.17359999998</v>
      </c>
      <c r="M13" s="220">
        <f t="shared" si="6"/>
        <v>278112.76640000002</v>
      </c>
      <c r="N13" s="206"/>
      <c r="O13" s="398">
        <f t="shared" si="8"/>
        <v>6.0438960381794367E-2</v>
      </c>
      <c r="P13" s="399">
        <f t="shared" si="9"/>
        <v>29</v>
      </c>
      <c r="Q13" s="81">
        <f t="shared" si="10"/>
        <v>1.7527298510720366</v>
      </c>
      <c r="R13" s="396">
        <f t="shared" si="7"/>
        <v>219847.25147249538</v>
      </c>
    </row>
    <row r="14" spans="1:22" s="81" customFormat="1" x14ac:dyDescent="0.2">
      <c r="A14" s="203" t="s">
        <v>154</v>
      </c>
      <c r="B14" s="233">
        <v>37986</v>
      </c>
      <c r="C14" s="206">
        <v>2003</v>
      </c>
      <c r="D14" s="206">
        <v>25</v>
      </c>
      <c r="E14" s="206">
        <f t="shared" si="0"/>
        <v>2027</v>
      </c>
      <c r="F14" s="207">
        <f t="shared" si="1"/>
        <v>0.04</v>
      </c>
      <c r="G14" s="221">
        <v>817142.24</v>
      </c>
      <c r="H14" s="209">
        <f t="shared" si="2"/>
        <v>10</v>
      </c>
      <c r="I14" s="209">
        <f t="shared" si="3"/>
        <v>15</v>
      </c>
      <c r="J14" s="220">
        <f t="shared" si="4"/>
        <v>32685.689600000002</v>
      </c>
      <c r="K14" s="220">
        <f t="shared" si="5"/>
        <v>32685.689600000002</v>
      </c>
      <c r="L14" s="220">
        <f>+J14*H14-0.08</f>
        <v>326856.81599999999</v>
      </c>
      <c r="M14" s="220">
        <f t="shared" si="6"/>
        <v>490285.424</v>
      </c>
      <c r="N14" s="206"/>
      <c r="O14" s="398">
        <f t="shared" si="8"/>
        <v>0.10654793629389912</v>
      </c>
      <c r="P14" s="399">
        <f t="shared" si="9"/>
        <v>30</v>
      </c>
      <c r="Q14" s="81">
        <f t="shared" si="10"/>
        <v>3.1964380888169739</v>
      </c>
      <c r="R14" s="396">
        <f t="shared" si="7"/>
        <v>387569.05804316577</v>
      </c>
    </row>
    <row r="15" spans="1:22" s="81" customFormat="1" x14ac:dyDescent="0.2">
      <c r="A15" s="203" t="s">
        <v>154</v>
      </c>
      <c r="B15" s="205">
        <v>38352</v>
      </c>
      <c r="C15" s="206">
        <v>2004</v>
      </c>
      <c r="D15" s="206">
        <v>25</v>
      </c>
      <c r="E15" s="206">
        <f t="shared" si="0"/>
        <v>2028</v>
      </c>
      <c r="F15" s="207">
        <f t="shared" si="1"/>
        <v>0.04</v>
      </c>
      <c r="G15" s="220">
        <f>629394.66-84080.9</f>
        <v>545313.76</v>
      </c>
      <c r="H15" s="209">
        <f t="shared" si="2"/>
        <v>9</v>
      </c>
      <c r="I15" s="209">
        <f t="shared" si="3"/>
        <v>16</v>
      </c>
      <c r="J15" s="220">
        <f t="shared" si="4"/>
        <v>21812.5504</v>
      </c>
      <c r="K15" s="220">
        <f t="shared" si="5"/>
        <v>21812.5504</v>
      </c>
      <c r="L15" s="220">
        <f>+J15*H15</f>
        <v>196312.95360000001</v>
      </c>
      <c r="M15" s="220">
        <f t="shared" si="6"/>
        <v>349000.8064</v>
      </c>
      <c r="N15" s="206"/>
      <c r="O15" s="398">
        <f t="shared" si="8"/>
        <v>7.5844220257354877E-2</v>
      </c>
      <c r="P15" s="399">
        <f t="shared" si="9"/>
        <v>31</v>
      </c>
      <c r="Q15" s="81">
        <f t="shared" si="10"/>
        <v>2.351170827978001</v>
      </c>
      <c r="R15" s="396">
        <f t="shared" si="7"/>
        <v>275884.02014731988</v>
      </c>
    </row>
    <row r="16" spans="1:22" s="81" customFormat="1" x14ac:dyDescent="0.2">
      <c r="A16" s="203" t="s">
        <v>154</v>
      </c>
      <c r="B16" s="205">
        <v>38717</v>
      </c>
      <c r="C16" s="206">
        <v>2005</v>
      </c>
      <c r="D16" s="206">
        <v>25</v>
      </c>
      <c r="E16" s="206">
        <f t="shared" si="0"/>
        <v>2029</v>
      </c>
      <c r="F16" s="207">
        <f t="shared" si="1"/>
        <v>0.04</v>
      </c>
      <c r="G16" s="220">
        <v>607802.57999999996</v>
      </c>
      <c r="H16" s="209">
        <f t="shared" si="2"/>
        <v>8</v>
      </c>
      <c r="I16" s="209">
        <f t="shared" si="3"/>
        <v>17</v>
      </c>
      <c r="J16" s="220">
        <f t="shared" si="4"/>
        <v>24312.103199999998</v>
      </c>
      <c r="K16" s="220">
        <f t="shared" si="5"/>
        <v>24312.103199999998</v>
      </c>
      <c r="L16" s="220">
        <f>+J16*H16</f>
        <v>194496.82559999998</v>
      </c>
      <c r="M16" s="220">
        <f t="shared" si="6"/>
        <v>413305.75439999998</v>
      </c>
      <c r="N16" s="206"/>
      <c r="O16" s="398">
        <f t="shared" si="8"/>
        <v>8.9818854557081662E-2</v>
      </c>
      <c r="P16" s="399">
        <f t="shared" si="9"/>
        <v>32</v>
      </c>
      <c r="Q16" s="81">
        <f t="shared" si="10"/>
        <v>2.8742033458266132</v>
      </c>
      <c r="R16" s="396">
        <f t="shared" si="7"/>
        <v>326716.87567164551</v>
      </c>
    </row>
    <row r="17" spans="1:18" s="81" customFormat="1" x14ac:dyDescent="0.2">
      <c r="A17" s="203" t="s">
        <v>150</v>
      </c>
      <c r="B17" s="256"/>
      <c r="C17" s="173">
        <v>2006</v>
      </c>
      <c r="D17" s="173">
        <v>25</v>
      </c>
      <c r="E17" s="173">
        <f t="shared" si="0"/>
        <v>2030</v>
      </c>
      <c r="F17" s="175">
        <f t="shared" si="1"/>
        <v>0.04</v>
      </c>
      <c r="G17" s="221">
        <v>2852808.23</v>
      </c>
      <c r="H17" s="176"/>
      <c r="I17" s="209"/>
      <c r="J17" s="221">
        <f t="shared" si="4"/>
        <v>114112.32920000001</v>
      </c>
      <c r="K17" s="221"/>
      <c r="L17" s="221">
        <v>1811337.52</v>
      </c>
      <c r="M17" s="221">
        <f t="shared" si="6"/>
        <v>1041470.71</v>
      </c>
      <c r="N17" s="173"/>
      <c r="O17" s="398">
        <f t="shared" si="8"/>
        <v>0.22633051979338853</v>
      </c>
      <c r="P17" s="399">
        <v>34</v>
      </c>
      <c r="Q17" s="81">
        <f t="shared" si="10"/>
        <v>7.6952376729752103</v>
      </c>
      <c r="R17" s="396">
        <f t="shared" si="7"/>
        <v>823279.26202890149</v>
      </c>
    </row>
    <row r="18" spans="1:18" s="81" customFormat="1" x14ac:dyDescent="0.2">
      <c r="A18" s="203" t="s">
        <v>150</v>
      </c>
      <c r="B18" s="256"/>
      <c r="C18" s="173">
        <v>2006</v>
      </c>
      <c r="D18" s="173"/>
      <c r="E18" s="173"/>
      <c r="F18" s="175"/>
      <c r="G18" s="221"/>
      <c r="H18" s="176"/>
      <c r="I18" s="209"/>
      <c r="J18" s="221"/>
      <c r="K18" s="237">
        <f>0.5*'1840'!K38</f>
        <v>85852.104599999991</v>
      </c>
      <c r="L18" s="239">
        <f>+K18+95267.75+92801.98+92501.8+91233.04</f>
        <v>457656.67459999997</v>
      </c>
      <c r="M18" s="221">
        <f t="shared" si="6"/>
        <v>-457656.67459999997</v>
      </c>
      <c r="N18" s="173"/>
      <c r="O18" s="398">
        <f t="shared" si="8"/>
        <v>-9.9457115840666965E-2</v>
      </c>
      <c r="P18" s="399">
        <v>34</v>
      </c>
      <c r="Q18" s="81">
        <f t="shared" si="10"/>
        <v>-3.3815419385826768</v>
      </c>
      <c r="R18" s="396">
        <f t="shared" si="7"/>
        <v>-361776.13610207924</v>
      </c>
    </row>
    <row r="19" spans="1:18" x14ac:dyDescent="0.2">
      <c r="A19" s="203" t="s">
        <v>154</v>
      </c>
      <c r="B19" s="205">
        <v>39082</v>
      </c>
      <c r="C19" s="206">
        <v>2006</v>
      </c>
      <c r="D19" s="206">
        <v>25</v>
      </c>
      <c r="E19" s="206">
        <f t="shared" si="0"/>
        <v>2030</v>
      </c>
      <c r="F19" s="207">
        <f t="shared" si="1"/>
        <v>0.04</v>
      </c>
      <c r="G19" s="220">
        <v>662333.76</v>
      </c>
      <c r="H19" s="209">
        <f t="shared" ref="H19:H24" si="11">IF(+G19&gt;0,IF(+$B$6-C19+1&gt;D19,D19,+$B$6-C19+1),0)</f>
        <v>7</v>
      </c>
      <c r="I19" s="209">
        <f t="shared" ref="I19:I24" si="12">IF(E19&gt;=$B$6,+D19-H19,0)</f>
        <v>18</v>
      </c>
      <c r="J19" s="220">
        <f t="shared" ref="J19:J24" si="13">+G19*F19</f>
        <v>26493.350399999999</v>
      </c>
      <c r="K19" s="220">
        <f t="shared" ref="K19:K24" si="14">IF(E19&gt;=$B$6,+J19,0)</f>
        <v>26493.350399999999</v>
      </c>
      <c r="L19" s="220">
        <f t="shared" ref="L19:L24" si="15">+J19*H19</f>
        <v>185453.4528</v>
      </c>
      <c r="M19" s="220">
        <f t="shared" si="6"/>
        <v>476880.30720000004</v>
      </c>
      <c r="N19" s="206"/>
      <c r="O19" s="398">
        <f t="shared" si="8"/>
        <v>0.10363476070086197</v>
      </c>
      <c r="P19" s="399">
        <f t="shared" si="9"/>
        <v>33</v>
      </c>
      <c r="Q19" s="81">
        <f t="shared" si="10"/>
        <v>3.419947103128445</v>
      </c>
      <c r="R19" s="396">
        <f t="shared" si="7"/>
        <v>376972.35612870177</v>
      </c>
    </row>
    <row r="20" spans="1:18" x14ac:dyDescent="0.2">
      <c r="A20" s="203" t="s">
        <v>154</v>
      </c>
      <c r="B20" s="205">
        <v>39447</v>
      </c>
      <c r="C20" s="206">
        <v>2007</v>
      </c>
      <c r="D20" s="206">
        <v>25</v>
      </c>
      <c r="E20" s="206">
        <f t="shared" ref="E20:E25" si="16">+C20+D20-1</f>
        <v>2031</v>
      </c>
      <c r="F20" s="207">
        <f t="shared" ref="F20:F25" si="17">IF(D20&gt;0,1/D20,0)</f>
        <v>0.04</v>
      </c>
      <c r="G20" s="220">
        <f>10854.27+142498.94+33444.23+6550.33+50791.84-672.83+4871.12+11783.84+20903.54+14936.87+132137.31</f>
        <v>428099.45999999996</v>
      </c>
      <c r="H20" s="209">
        <f t="shared" si="11"/>
        <v>6</v>
      </c>
      <c r="I20" s="209">
        <f t="shared" si="12"/>
        <v>19</v>
      </c>
      <c r="J20" s="220">
        <f t="shared" si="13"/>
        <v>17123.9784</v>
      </c>
      <c r="K20" s="220">
        <f t="shared" si="14"/>
        <v>17123.9784</v>
      </c>
      <c r="L20" s="220">
        <f t="shared" si="15"/>
        <v>102743.8704</v>
      </c>
      <c r="M20" s="220">
        <f t="shared" si="6"/>
        <v>325355.58959999995</v>
      </c>
      <c r="N20" s="206"/>
      <c r="O20" s="398">
        <f t="shared" si="8"/>
        <v>7.070568476366694E-2</v>
      </c>
      <c r="P20" s="399">
        <f t="shared" si="9"/>
        <v>34</v>
      </c>
      <c r="Q20" s="81">
        <f t="shared" si="10"/>
        <v>2.4039932819646759</v>
      </c>
      <c r="R20" s="396">
        <f t="shared" si="7"/>
        <v>257192.55196611924</v>
      </c>
    </row>
    <row r="21" spans="1:18" s="81" customFormat="1" x14ac:dyDescent="0.2">
      <c r="A21" s="203" t="s">
        <v>154</v>
      </c>
      <c r="B21" s="205">
        <v>39813</v>
      </c>
      <c r="C21" s="206">
        <v>2008</v>
      </c>
      <c r="D21" s="206">
        <v>25</v>
      </c>
      <c r="E21" s="206">
        <f t="shared" si="16"/>
        <v>2032</v>
      </c>
      <c r="F21" s="207">
        <f t="shared" si="17"/>
        <v>0.04</v>
      </c>
      <c r="G21" s="221">
        <f>88310.01+58417.14+10600.56+67828.49+214588.38-4684.07-9785.61+61101.16-1128.29+39613.8</f>
        <v>524861.57000000007</v>
      </c>
      <c r="H21" s="209">
        <f t="shared" si="11"/>
        <v>5</v>
      </c>
      <c r="I21" s="209">
        <f t="shared" si="12"/>
        <v>20</v>
      </c>
      <c r="J21" s="220">
        <f t="shared" si="13"/>
        <v>20994.462800000005</v>
      </c>
      <c r="K21" s="220">
        <f t="shared" si="14"/>
        <v>20994.462800000005</v>
      </c>
      <c r="L21" s="220">
        <f t="shared" si="15"/>
        <v>104972.31400000003</v>
      </c>
      <c r="M21" s="220">
        <f t="shared" si="6"/>
        <v>419889.25600000005</v>
      </c>
      <c r="N21" s="206"/>
      <c r="O21" s="398">
        <f t="shared" si="8"/>
        <v>9.1249569146442153E-2</v>
      </c>
      <c r="P21" s="399">
        <f t="shared" si="9"/>
        <v>35</v>
      </c>
      <c r="Q21" s="81">
        <f t="shared" si="10"/>
        <v>3.1937349201254754</v>
      </c>
      <c r="R21" s="396">
        <f t="shared" si="7"/>
        <v>331921.11260963313</v>
      </c>
    </row>
    <row r="22" spans="1:18" s="81" customFormat="1" x14ac:dyDescent="0.2">
      <c r="A22" s="203" t="s">
        <v>154</v>
      </c>
      <c r="B22" s="205">
        <v>40178</v>
      </c>
      <c r="C22" s="206">
        <v>2009</v>
      </c>
      <c r="D22" s="206">
        <v>25</v>
      </c>
      <c r="E22" s="206">
        <f t="shared" si="16"/>
        <v>2033</v>
      </c>
      <c r="F22" s="207">
        <f t="shared" si="17"/>
        <v>0.04</v>
      </c>
      <c r="G22" s="221">
        <f>2741.35+12031.72+4693.77+6184.66+22380.7+1203.77+8815.98+7095.98+1548.14+4120.4+155.33</f>
        <v>70971.799999999988</v>
      </c>
      <c r="H22" s="209">
        <f t="shared" si="11"/>
        <v>4</v>
      </c>
      <c r="I22" s="209">
        <f t="shared" si="12"/>
        <v>21</v>
      </c>
      <c r="J22" s="220">
        <f t="shared" si="13"/>
        <v>2838.8719999999994</v>
      </c>
      <c r="K22" s="220">
        <f t="shared" si="14"/>
        <v>2838.8719999999994</v>
      </c>
      <c r="L22" s="220">
        <f t="shared" si="15"/>
        <v>11355.487999999998</v>
      </c>
      <c r="M22" s="220">
        <f t="shared" si="6"/>
        <v>59616.311999999991</v>
      </c>
      <c r="N22" s="206"/>
      <c r="O22" s="398">
        <f t="shared" si="8"/>
        <v>1.2955708454945243E-2</v>
      </c>
      <c r="P22" s="399">
        <f t="shared" si="9"/>
        <v>36</v>
      </c>
      <c r="Q22" s="81">
        <f t="shared" si="10"/>
        <v>0.46640550437802875</v>
      </c>
      <c r="R22" s="396">
        <f t="shared" si="7"/>
        <v>47126.503776803031</v>
      </c>
    </row>
    <row r="23" spans="1:18" s="81" customFormat="1" x14ac:dyDescent="0.2">
      <c r="A23" s="203" t="s">
        <v>154</v>
      </c>
      <c r="B23" s="205">
        <v>40543</v>
      </c>
      <c r="C23" s="206">
        <v>2010</v>
      </c>
      <c r="D23" s="206">
        <v>25</v>
      </c>
      <c r="E23" s="206">
        <f t="shared" si="16"/>
        <v>2034</v>
      </c>
      <c r="F23" s="207">
        <f t="shared" si="17"/>
        <v>0.04</v>
      </c>
      <c r="G23" s="221">
        <f>3561.35+5925.99+6986.38+3392.26+48663.45+54204.01+7335.82+10227.5+2551.05+13555.04+100105.93</f>
        <v>256508.78</v>
      </c>
      <c r="H23" s="209">
        <f t="shared" si="11"/>
        <v>3</v>
      </c>
      <c r="I23" s="209">
        <f t="shared" si="12"/>
        <v>22</v>
      </c>
      <c r="J23" s="220">
        <f t="shared" si="13"/>
        <v>10260.351200000001</v>
      </c>
      <c r="K23" s="220">
        <f t="shared" si="14"/>
        <v>10260.351200000001</v>
      </c>
      <c r="L23" s="220">
        <f t="shared" si="15"/>
        <v>30781.053600000003</v>
      </c>
      <c r="M23" s="220">
        <f t="shared" si="6"/>
        <v>225727.72639999999</v>
      </c>
      <c r="N23" s="206"/>
      <c r="O23" s="398">
        <f t="shared" si="8"/>
        <v>4.9054738800951771E-2</v>
      </c>
      <c r="P23" s="399">
        <f t="shared" si="9"/>
        <v>37</v>
      </c>
      <c r="Q23" s="81">
        <f t="shared" si="10"/>
        <v>1.8150253356352155</v>
      </c>
      <c r="R23" s="396">
        <f t="shared" si="7"/>
        <v>178437.04506106925</v>
      </c>
    </row>
    <row r="24" spans="1:18" s="81" customFormat="1" x14ac:dyDescent="0.2">
      <c r="A24" s="203" t="s">
        <v>154</v>
      </c>
      <c r="B24" s="205">
        <v>40908</v>
      </c>
      <c r="C24" s="206">
        <v>2011</v>
      </c>
      <c r="D24" s="206">
        <v>25</v>
      </c>
      <c r="E24" s="206">
        <f t="shared" si="16"/>
        <v>2035</v>
      </c>
      <c r="F24" s="207">
        <f t="shared" si="17"/>
        <v>0.04</v>
      </c>
      <c r="G24" s="221">
        <f>13457.35+14331.67+213510.59+4258.29+3180.67+8684.46</f>
        <v>257423.03</v>
      </c>
      <c r="H24" s="209">
        <f t="shared" si="11"/>
        <v>2</v>
      </c>
      <c r="I24" s="209">
        <f t="shared" si="12"/>
        <v>23</v>
      </c>
      <c r="J24" s="220">
        <f t="shared" si="13"/>
        <v>10296.921200000001</v>
      </c>
      <c r="K24" s="220">
        <f t="shared" si="14"/>
        <v>10296.921200000001</v>
      </c>
      <c r="L24" s="220">
        <f t="shared" si="15"/>
        <v>20593.842400000001</v>
      </c>
      <c r="M24" s="220">
        <f t="shared" si="6"/>
        <v>236829.1876</v>
      </c>
      <c r="N24" s="206"/>
      <c r="O24" s="398">
        <f t="shared" si="8"/>
        <v>5.1467288150382963E-2</v>
      </c>
      <c r="P24" s="399">
        <f t="shared" si="9"/>
        <v>38</v>
      </c>
      <c r="Q24" s="81">
        <f t="shared" si="10"/>
        <v>1.9557569497145526</v>
      </c>
      <c r="R24" s="396">
        <f t="shared" si="7"/>
        <v>187212.71459879298</v>
      </c>
    </row>
    <row r="25" spans="1:18" s="81" customFormat="1" x14ac:dyDescent="0.2">
      <c r="A25" s="203"/>
      <c r="B25" s="205">
        <v>41274</v>
      </c>
      <c r="C25" s="206">
        <v>2012</v>
      </c>
      <c r="D25" s="206">
        <v>25</v>
      </c>
      <c r="E25" s="206">
        <f t="shared" si="16"/>
        <v>2036</v>
      </c>
      <c r="F25" s="207">
        <f t="shared" si="17"/>
        <v>0.04</v>
      </c>
      <c r="G25" s="221">
        <v>559389.01</v>
      </c>
      <c r="H25" s="209">
        <f t="shared" ref="H25" si="18">IF(+G25&gt;0,IF(+$B$6-C25+1&gt;D25,D25,+$B$6-C25+1),0)</f>
        <v>1</v>
      </c>
      <c r="I25" s="209">
        <f t="shared" ref="I25" si="19">IF(E25&gt;=$B$6,+D25-H25,0)</f>
        <v>24</v>
      </c>
      <c r="J25" s="220">
        <f t="shared" ref="J25" si="20">+G25*F25</f>
        <v>22375.560400000002</v>
      </c>
      <c r="K25" s="220">
        <f t="shared" ref="K25" si="21">IF(E25&gt;=$B$6,+J25,0)</f>
        <v>22375.560400000002</v>
      </c>
      <c r="L25" s="220">
        <f t="shared" ref="L25" si="22">+J25*H25</f>
        <v>22375.560400000002</v>
      </c>
      <c r="M25" s="220">
        <f t="shared" ref="M25" si="23">+G25-L25</f>
        <v>537013.44960000005</v>
      </c>
      <c r="N25" s="260"/>
      <c r="O25" s="104"/>
      <c r="P25" s="120"/>
    </row>
    <row r="26" spans="1:18" s="81" customFormat="1" ht="13.7" customHeight="1" x14ac:dyDescent="0.2">
      <c r="A26" s="148" t="s">
        <v>100</v>
      </c>
      <c r="B26" s="257"/>
      <c r="C26" s="212"/>
      <c r="D26" s="212"/>
      <c r="E26" s="212"/>
      <c r="F26" s="212"/>
      <c r="G26" s="223">
        <f>SUM(G9:G25)</f>
        <v>8576945.7200000007</v>
      </c>
      <c r="H26" s="241"/>
      <c r="I26" s="261"/>
      <c r="J26" s="261"/>
      <c r="K26" s="230">
        <f>SUM(K9:K25)</f>
        <v>314817.60419999994</v>
      </c>
      <c r="L26" s="223">
        <f>SUM(L9:L25)</f>
        <v>3975397.8998000002</v>
      </c>
      <c r="M26" s="223">
        <f>+G26-L26</f>
        <v>4601547.8202</v>
      </c>
      <c r="N26" s="234"/>
      <c r="O26" s="120"/>
      <c r="P26" s="120"/>
      <c r="Q26" s="81">
        <f>SUM(Q9:Q25)</f>
        <v>28.972693641898402</v>
      </c>
      <c r="R26" s="396">
        <f>SUM(R9:R25)</f>
        <v>3213001.4075179067</v>
      </c>
    </row>
    <row r="27" spans="1:18" s="81" customFormat="1" x14ac:dyDescent="0.2">
      <c r="B27" s="254"/>
      <c r="C27" s="92"/>
      <c r="D27" s="92"/>
      <c r="E27" s="92"/>
      <c r="F27" s="92"/>
      <c r="G27" s="250"/>
      <c r="H27" s="258"/>
      <c r="I27" s="250"/>
      <c r="J27" s="250"/>
      <c r="K27" s="250"/>
      <c r="L27" s="250"/>
      <c r="M27" s="250"/>
      <c r="N27" s="231"/>
      <c r="O27" s="120"/>
      <c r="P27" s="120"/>
    </row>
    <row r="28" spans="1:18" x14ac:dyDescent="0.2">
      <c r="B28" s="197"/>
      <c r="F28" s="100"/>
      <c r="G28" s="250"/>
      <c r="H28" s="258"/>
      <c r="I28" s="250"/>
      <c r="J28" s="250"/>
      <c r="K28" s="250"/>
      <c r="L28" s="250">
        <v>3749509.8</v>
      </c>
      <c r="M28" s="252"/>
    </row>
    <row r="29" spans="1:18" x14ac:dyDescent="0.2">
      <c r="F29" s="247"/>
      <c r="G29" s="250"/>
      <c r="H29" s="258"/>
      <c r="I29" s="250"/>
      <c r="J29" s="250"/>
      <c r="K29" s="250"/>
      <c r="L29" s="250"/>
      <c r="M29" s="252"/>
    </row>
    <row r="30" spans="1:18" x14ac:dyDescent="0.2">
      <c r="F30" s="247"/>
      <c r="G30" s="250"/>
      <c r="H30" s="258"/>
      <c r="I30" s="250"/>
      <c r="J30" s="250"/>
      <c r="K30" s="250"/>
      <c r="L30" s="374">
        <f>+L26-L28</f>
        <v>225888.09980000043</v>
      </c>
      <c r="M30" s="252"/>
    </row>
    <row r="31" spans="1:18" x14ac:dyDescent="0.2">
      <c r="G31" s="252"/>
      <c r="H31" s="251"/>
      <c r="I31" s="252"/>
      <c r="J31" s="252"/>
      <c r="K31" s="252"/>
      <c r="L31" s="252"/>
      <c r="M31" s="252"/>
    </row>
    <row r="33" spans="6:9" x14ac:dyDescent="0.2">
      <c r="F33" s="111"/>
      <c r="G33" s="112"/>
      <c r="H33" s="111"/>
      <c r="I33" s="112"/>
    </row>
    <row r="34" spans="6:9" x14ac:dyDescent="0.2">
      <c r="F34" s="378"/>
      <c r="G34" s="112"/>
      <c r="H34" s="111"/>
      <c r="I34" s="112"/>
    </row>
  </sheetData>
  <printOptions horizontalCentered="1"/>
  <pageMargins left="0.39370078740157483" right="0.39370078740157483" top="0.39370078740157483" bottom="0.78740157480314965" header="0" footer="0.59055118110236227"/>
  <pageSetup scale="61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workbookViewId="0">
      <selection activeCell="D19" sqref="D19:G22"/>
    </sheetView>
  </sheetViews>
  <sheetFormatPr defaultColWidth="9.140625" defaultRowHeight="12.75" x14ac:dyDescent="0.2"/>
  <cols>
    <col min="1" max="1" width="22.5703125" style="77" customWidth="1"/>
    <col min="2" max="2" width="13.140625" style="79" customWidth="1"/>
    <col min="3" max="3" width="9" style="79" bestFit="1" customWidth="1"/>
    <col min="4" max="4" width="6.42578125" style="79" customWidth="1"/>
    <col min="5" max="5" width="10.140625" style="79" bestFit="1" customWidth="1"/>
    <col min="6" max="6" width="7.7109375" style="79" customWidth="1"/>
    <col min="7" max="7" width="13.5703125" style="77" bestFit="1" customWidth="1"/>
    <col min="8" max="8" width="10.140625" style="79" customWidth="1"/>
    <col min="9" max="9" width="10.7109375" style="77" customWidth="1"/>
    <col min="10" max="10" width="10.5703125" style="77" customWidth="1"/>
    <col min="11" max="11" width="11" style="77" bestFit="1" customWidth="1"/>
    <col min="12" max="12" width="12" style="77" bestFit="1" customWidth="1"/>
    <col min="13" max="13" width="12.42578125" style="77" customWidth="1"/>
    <col min="14" max="14" width="9.42578125" style="79" customWidth="1"/>
    <col min="15" max="15" width="12.42578125" style="77" bestFit="1" customWidth="1"/>
    <col min="16" max="17" width="9.140625" style="77"/>
    <col min="18" max="18" width="12" style="77" bestFit="1" customWidth="1"/>
    <col min="19" max="19" width="11.7109375" style="77" bestFit="1" customWidth="1"/>
    <col min="20" max="249" width="9.140625" style="77"/>
    <col min="250" max="251" width="10" style="77" customWidth="1"/>
    <col min="252" max="252" width="9.140625" style="77"/>
    <col min="253" max="253" width="24" style="77" customWidth="1"/>
    <col min="254" max="254" width="12.85546875" style="77" customWidth="1"/>
    <col min="255" max="256" width="13.140625" style="77" customWidth="1"/>
    <col min="257" max="257" width="9.140625" style="77"/>
    <col min="258" max="258" width="12.85546875" style="77" customWidth="1"/>
    <col min="259" max="259" width="9.140625" style="77"/>
    <col min="260" max="260" width="11.5703125" style="77" customWidth="1"/>
    <col min="261" max="262" width="13.140625" style="77" customWidth="1"/>
    <col min="263" max="263" width="11.7109375" style="77" customWidth="1"/>
    <col min="264" max="264" width="14.85546875" style="77" customWidth="1"/>
    <col min="265" max="265" width="13.42578125" style="77" bestFit="1" customWidth="1"/>
    <col min="266" max="266" width="14.85546875" style="77" customWidth="1"/>
    <col min="267" max="267" width="13.42578125" style="77" customWidth="1"/>
    <col min="268" max="268" width="14.85546875" style="77" customWidth="1"/>
    <col min="269" max="269" width="16.5703125" style="77" customWidth="1"/>
    <col min="270" max="270" width="10.5703125" style="77" customWidth="1"/>
    <col min="271" max="271" width="12.42578125" style="77" bestFit="1" customWidth="1"/>
    <col min="272" max="505" width="9.140625" style="77"/>
    <col min="506" max="507" width="10" style="77" customWidth="1"/>
    <col min="508" max="508" width="9.140625" style="77"/>
    <col min="509" max="509" width="24" style="77" customWidth="1"/>
    <col min="510" max="510" width="12.85546875" style="77" customWidth="1"/>
    <col min="511" max="512" width="13.140625" style="77" customWidth="1"/>
    <col min="513" max="513" width="9.140625" style="77"/>
    <col min="514" max="514" width="12.85546875" style="77" customWidth="1"/>
    <col min="515" max="515" width="9.140625" style="77"/>
    <col min="516" max="516" width="11.5703125" style="77" customWidth="1"/>
    <col min="517" max="518" width="13.140625" style="77" customWidth="1"/>
    <col min="519" max="519" width="11.7109375" style="77" customWidth="1"/>
    <col min="520" max="520" width="14.85546875" style="77" customWidth="1"/>
    <col min="521" max="521" width="13.42578125" style="77" bestFit="1" customWidth="1"/>
    <col min="522" max="522" width="14.85546875" style="77" customWidth="1"/>
    <col min="523" max="523" width="13.42578125" style="77" customWidth="1"/>
    <col min="524" max="524" width="14.85546875" style="77" customWidth="1"/>
    <col min="525" max="525" width="16.5703125" style="77" customWidth="1"/>
    <col min="526" max="526" width="10.5703125" style="77" customWidth="1"/>
    <col min="527" max="527" width="12.42578125" style="77" bestFit="1" customWidth="1"/>
    <col min="528" max="761" width="9.140625" style="77"/>
    <col min="762" max="763" width="10" style="77" customWidth="1"/>
    <col min="764" max="764" width="9.140625" style="77"/>
    <col min="765" max="765" width="24" style="77" customWidth="1"/>
    <col min="766" max="766" width="12.85546875" style="77" customWidth="1"/>
    <col min="767" max="768" width="13.140625" style="77" customWidth="1"/>
    <col min="769" max="769" width="9.140625" style="77"/>
    <col min="770" max="770" width="12.85546875" style="77" customWidth="1"/>
    <col min="771" max="771" width="9.140625" style="77"/>
    <col min="772" max="772" width="11.5703125" style="77" customWidth="1"/>
    <col min="773" max="774" width="13.140625" style="77" customWidth="1"/>
    <col min="775" max="775" width="11.7109375" style="77" customWidth="1"/>
    <col min="776" max="776" width="14.85546875" style="77" customWidth="1"/>
    <col min="777" max="777" width="13.42578125" style="77" bestFit="1" customWidth="1"/>
    <col min="778" max="778" width="14.85546875" style="77" customWidth="1"/>
    <col min="779" max="779" width="13.42578125" style="77" customWidth="1"/>
    <col min="780" max="780" width="14.85546875" style="77" customWidth="1"/>
    <col min="781" max="781" width="16.5703125" style="77" customWidth="1"/>
    <col min="782" max="782" width="10.5703125" style="77" customWidth="1"/>
    <col min="783" max="783" width="12.42578125" style="77" bestFit="1" customWidth="1"/>
    <col min="784" max="1017" width="9.140625" style="77"/>
    <col min="1018" max="1019" width="10" style="77" customWidth="1"/>
    <col min="1020" max="1020" width="9.140625" style="77"/>
    <col min="1021" max="1021" width="24" style="77" customWidth="1"/>
    <col min="1022" max="1022" width="12.85546875" style="77" customWidth="1"/>
    <col min="1023" max="1024" width="13.140625" style="77" customWidth="1"/>
    <col min="1025" max="1025" width="9.140625" style="77"/>
    <col min="1026" max="1026" width="12.85546875" style="77" customWidth="1"/>
    <col min="1027" max="1027" width="9.140625" style="77"/>
    <col min="1028" max="1028" width="11.5703125" style="77" customWidth="1"/>
    <col min="1029" max="1030" width="13.140625" style="77" customWidth="1"/>
    <col min="1031" max="1031" width="11.7109375" style="77" customWidth="1"/>
    <col min="1032" max="1032" width="14.85546875" style="77" customWidth="1"/>
    <col min="1033" max="1033" width="13.42578125" style="77" bestFit="1" customWidth="1"/>
    <col min="1034" max="1034" width="14.85546875" style="77" customWidth="1"/>
    <col min="1035" max="1035" width="13.42578125" style="77" customWidth="1"/>
    <col min="1036" max="1036" width="14.85546875" style="77" customWidth="1"/>
    <col min="1037" max="1037" width="16.5703125" style="77" customWidth="1"/>
    <col min="1038" max="1038" width="10.5703125" style="77" customWidth="1"/>
    <col min="1039" max="1039" width="12.42578125" style="77" bestFit="1" customWidth="1"/>
    <col min="1040" max="1273" width="9.140625" style="77"/>
    <col min="1274" max="1275" width="10" style="77" customWidth="1"/>
    <col min="1276" max="1276" width="9.140625" style="77"/>
    <col min="1277" max="1277" width="24" style="77" customWidth="1"/>
    <col min="1278" max="1278" width="12.85546875" style="77" customWidth="1"/>
    <col min="1279" max="1280" width="13.140625" style="77" customWidth="1"/>
    <col min="1281" max="1281" width="9.140625" style="77"/>
    <col min="1282" max="1282" width="12.85546875" style="77" customWidth="1"/>
    <col min="1283" max="1283" width="9.140625" style="77"/>
    <col min="1284" max="1284" width="11.5703125" style="77" customWidth="1"/>
    <col min="1285" max="1286" width="13.140625" style="77" customWidth="1"/>
    <col min="1287" max="1287" width="11.7109375" style="77" customWidth="1"/>
    <col min="1288" max="1288" width="14.85546875" style="77" customWidth="1"/>
    <col min="1289" max="1289" width="13.42578125" style="77" bestFit="1" customWidth="1"/>
    <col min="1290" max="1290" width="14.85546875" style="77" customWidth="1"/>
    <col min="1291" max="1291" width="13.42578125" style="77" customWidth="1"/>
    <col min="1292" max="1292" width="14.85546875" style="77" customWidth="1"/>
    <col min="1293" max="1293" width="16.5703125" style="77" customWidth="1"/>
    <col min="1294" max="1294" width="10.5703125" style="77" customWidth="1"/>
    <col min="1295" max="1295" width="12.42578125" style="77" bestFit="1" customWidth="1"/>
    <col min="1296" max="1529" width="9.140625" style="77"/>
    <col min="1530" max="1531" width="10" style="77" customWidth="1"/>
    <col min="1532" max="1532" width="9.140625" style="77"/>
    <col min="1533" max="1533" width="24" style="77" customWidth="1"/>
    <col min="1534" max="1534" width="12.85546875" style="77" customWidth="1"/>
    <col min="1535" max="1536" width="13.140625" style="77" customWidth="1"/>
    <col min="1537" max="1537" width="9.140625" style="77"/>
    <col min="1538" max="1538" width="12.85546875" style="77" customWidth="1"/>
    <col min="1539" max="1539" width="9.140625" style="77"/>
    <col min="1540" max="1540" width="11.5703125" style="77" customWidth="1"/>
    <col min="1541" max="1542" width="13.140625" style="77" customWidth="1"/>
    <col min="1543" max="1543" width="11.7109375" style="77" customWidth="1"/>
    <col min="1544" max="1544" width="14.85546875" style="77" customWidth="1"/>
    <col min="1545" max="1545" width="13.42578125" style="77" bestFit="1" customWidth="1"/>
    <col min="1546" max="1546" width="14.85546875" style="77" customWidth="1"/>
    <col min="1547" max="1547" width="13.42578125" style="77" customWidth="1"/>
    <col min="1548" max="1548" width="14.85546875" style="77" customWidth="1"/>
    <col min="1549" max="1549" width="16.5703125" style="77" customWidth="1"/>
    <col min="1550" max="1550" width="10.5703125" style="77" customWidth="1"/>
    <col min="1551" max="1551" width="12.42578125" style="77" bestFit="1" customWidth="1"/>
    <col min="1552" max="1785" width="9.140625" style="77"/>
    <col min="1786" max="1787" width="10" style="77" customWidth="1"/>
    <col min="1788" max="1788" width="9.140625" style="77"/>
    <col min="1789" max="1789" width="24" style="77" customWidth="1"/>
    <col min="1790" max="1790" width="12.85546875" style="77" customWidth="1"/>
    <col min="1791" max="1792" width="13.140625" style="77" customWidth="1"/>
    <col min="1793" max="1793" width="9.140625" style="77"/>
    <col min="1794" max="1794" width="12.85546875" style="77" customWidth="1"/>
    <col min="1795" max="1795" width="9.140625" style="77"/>
    <col min="1796" max="1796" width="11.5703125" style="77" customWidth="1"/>
    <col min="1797" max="1798" width="13.140625" style="77" customWidth="1"/>
    <col min="1799" max="1799" width="11.7109375" style="77" customWidth="1"/>
    <col min="1800" max="1800" width="14.85546875" style="77" customWidth="1"/>
    <col min="1801" max="1801" width="13.42578125" style="77" bestFit="1" customWidth="1"/>
    <col min="1802" max="1802" width="14.85546875" style="77" customWidth="1"/>
    <col min="1803" max="1803" width="13.42578125" style="77" customWidth="1"/>
    <col min="1804" max="1804" width="14.85546875" style="77" customWidth="1"/>
    <col min="1805" max="1805" width="16.5703125" style="77" customWidth="1"/>
    <col min="1806" max="1806" width="10.5703125" style="77" customWidth="1"/>
    <col min="1807" max="1807" width="12.42578125" style="77" bestFit="1" customWidth="1"/>
    <col min="1808" max="2041" width="9.140625" style="77"/>
    <col min="2042" max="2043" width="10" style="77" customWidth="1"/>
    <col min="2044" max="2044" width="9.140625" style="77"/>
    <col min="2045" max="2045" width="24" style="77" customWidth="1"/>
    <col min="2046" max="2046" width="12.85546875" style="77" customWidth="1"/>
    <col min="2047" max="2048" width="13.140625" style="77" customWidth="1"/>
    <col min="2049" max="2049" width="9.140625" style="77"/>
    <col min="2050" max="2050" width="12.85546875" style="77" customWidth="1"/>
    <col min="2051" max="2051" width="9.140625" style="77"/>
    <col min="2052" max="2052" width="11.5703125" style="77" customWidth="1"/>
    <col min="2053" max="2054" width="13.140625" style="77" customWidth="1"/>
    <col min="2055" max="2055" width="11.7109375" style="77" customWidth="1"/>
    <col min="2056" max="2056" width="14.85546875" style="77" customWidth="1"/>
    <col min="2057" max="2057" width="13.42578125" style="77" bestFit="1" customWidth="1"/>
    <col min="2058" max="2058" width="14.85546875" style="77" customWidth="1"/>
    <col min="2059" max="2059" width="13.42578125" style="77" customWidth="1"/>
    <col min="2060" max="2060" width="14.85546875" style="77" customWidth="1"/>
    <col min="2061" max="2061" width="16.5703125" style="77" customWidth="1"/>
    <col min="2062" max="2062" width="10.5703125" style="77" customWidth="1"/>
    <col min="2063" max="2063" width="12.42578125" style="77" bestFit="1" customWidth="1"/>
    <col min="2064" max="2297" width="9.140625" style="77"/>
    <col min="2298" max="2299" width="10" style="77" customWidth="1"/>
    <col min="2300" max="2300" width="9.140625" style="77"/>
    <col min="2301" max="2301" width="24" style="77" customWidth="1"/>
    <col min="2302" max="2302" width="12.85546875" style="77" customWidth="1"/>
    <col min="2303" max="2304" width="13.140625" style="77" customWidth="1"/>
    <col min="2305" max="2305" width="9.140625" style="77"/>
    <col min="2306" max="2306" width="12.85546875" style="77" customWidth="1"/>
    <col min="2307" max="2307" width="9.140625" style="77"/>
    <col min="2308" max="2308" width="11.5703125" style="77" customWidth="1"/>
    <col min="2309" max="2310" width="13.140625" style="77" customWidth="1"/>
    <col min="2311" max="2311" width="11.7109375" style="77" customWidth="1"/>
    <col min="2312" max="2312" width="14.85546875" style="77" customWidth="1"/>
    <col min="2313" max="2313" width="13.42578125" style="77" bestFit="1" customWidth="1"/>
    <col min="2314" max="2314" width="14.85546875" style="77" customWidth="1"/>
    <col min="2315" max="2315" width="13.42578125" style="77" customWidth="1"/>
    <col min="2316" max="2316" width="14.85546875" style="77" customWidth="1"/>
    <col min="2317" max="2317" width="16.5703125" style="77" customWidth="1"/>
    <col min="2318" max="2318" width="10.5703125" style="77" customWidth="1"/>
    <col min="2319" max="2319" width="12.42578125" style="77" bestFit="1" customWidth="1"/>
    <col min="2320" max="2553" width="9.140625" style="77"/>
    <col min="2554" max="2555" width="10" style="77" customWidth="1"/>
    <col min="2556" max="2556" width="9.140625" style="77"/>
    <col min="2557" max="2557" width="24" style="77" customWidth="1"/>
    <col min="2558" max="2558" width="12.85546875" style="77" customWidth="1"/>
    <col min="2559" max="2560" width="13.140625" style="77" customWidth="1"/>
    <col min="2561" max="2561" width="9.140625" style="77"/>
    <col min="2562" max="2562" width="12.85546875" style="77" customWidth="1"/>
    <col min="2563" max="2563" width="9.140625" style="77"/>
    <col min="2564" max="2564" width="11.5703125" style="77" customWidth="1"/>
    <col min="2565" max="2566" width="13.140625" style="77" customWidth="1"/>
    <col min="2567" max="2567" width="11.7109375" style="77" customWidth="1"/>
    <col min="2568" max="2568" width="14.85546875" style="77" customWidth="1"/>
    <col min="2569" max="2569" width="13.42578125" style="77" bestFit="1" customWidth="1"/>
    <col min="2570" max="2570" width="14.85546875" style="77" customWidth="1"/>
    <col min="2571" max="2571" width="13.42578125" style="77" customWidth="1"/>
    <col min="2572" max="2572" width="14.85546875" style="77" customWidth="1"/>
    <col min="2573" max="2573" width="16.5703125" style="77" customWidth="1"/>
    <col min="2574" max="2574" width="10.5703125" style="77" customWidth="1"/>
    <col min="2575" max="2575" width="12.42578125" style="77" bestFit="1" customWidth="1"/>
    <col min="2576" max="2809" width="9.140625" style="77"/>
    <col min="2810" max="2811" width="10" style="77" customWidth="1"/>
    <col min="2812" max="2812" width="9.140625" style="77"/>
    <col min="2813" max="2813" width="24" style="77" customWidth="1"/>
    <col min="2814" max="2814" width="12.85546875" style="77" customWidth="1"/>
    <col min="2815" max="2816" width="13.140625" style="77" customWidth="1"/>
    <col min="2817" max="2817" width="9.140625" style="77"/>
    <col min="2818" max="2818" width="12.85546875" style="77" customWidth="1"/>
    <col min="2819" max="2819" width="9.140625" style="77"/>
    <col min="2820" max="2820" width="11.5703125" style="77" customWidth="1"/>
    <col min="2821" max="2822" width="13.140625" style="77" customWidth="1"/>
    <col min="2823" max="2823" width="11.7109375" style="77" customWidth="1"/>
    <col min="2824" max="2824" width="14.85546875" style="77" customWidth="1"/>
    <col min="2825" max="2825" width="13.42578125" style="77" bestFit="1" customWidth="1"/>
    <col min="2826" max="2826" width="14.85546875" style="77" customWidth="1"/>
    <col min="2827" max="2827" width="13.42578125" style="77" customWidth="1"/>
    <col min="2828" max="2828" width="14.85546875" style="77" customWidth="1"/>
    <col min="2829" max="2829" width="16.5703125" style="77" customWidth="1"/>
    <col min="2830" max="2830" width="10.5703125" style="77" customWidth="1"/>
    <col min="2831" max="2831" width="12.42578125" style="77" bestFit="1" customWidth="1"/>
    <col min="2832" max="3065" width="9.140625" style="77"/>
    <col min="3066" max="3067" width="10" style="77" customWidth="1"/>
    <col min="3068" max="3068" width="9.140625" style="77"/>
    <col min="3069" max="3069" width="24" style="77" customWidth="1"/>
    <col min="3070" max="3070" width="12.85546875" style="77" customWidth="1"/>
    <col min="3071" max="3072" width="13.140625" style="77" customWidth="1"/>
    <col min="3073" max="3073" width="9.140625" style="77"/>
    <col min="3074" max="3074" width="12.85546875" style="77" customWidth="1"/>
    <col min="3075" max="3075" width="9.140625" style="77"/>
    <col min="3076" max="3076" width="11.5703125" style="77" customWidth="1"/>
    <col min="3077" max="3078" width="13.140625" style="77" customWidth="1"/>
    <col min="3079" max="3079" width="11.7109375" style="77" customWidth="1"/>
    <col min="3080" max="3080" width="14.85546875" style="77" customWidth="1"/>
    <col min="3081" max="3081" width="13.42578125" style="77" bestFit="1" customWidth="1"/>
    <col min="3082" max="3082" width="14.85546875" style="77" customWidth="1"/>
    <col min="3083" max="3083" width="13.42578125" style="77" customWidth="1"/>
    <col min="3084" max="3084" width="14.85546875" style="77" customWidth="1"/>
    <col min="3085" max="3085" width="16.5703125" style="77" customWidth="1"/>
    <col min="3086" max="3086" width="10.5703125" style="77" customWidth="1"/>
    <col min="3087" max="3087" width="12.42578125" style="77" bestFit="1" customWidth="1"/>
    <col min="3088" max="3321" width="9.140625" style="77"/>
    <col min="3322" max="3323" width="10" style="77" customWidth="1"/>
    <col min="3324" max="3324" width="9.140625" style="77"/>
    <col min="3325" max="3325" width="24" style="77" customWidth="1"/>
    <col min="3326" max="3326" width="12.85546875" style="77" customWidth="1"/>
    <col min="3327" max="3328" width="13.140625" style="77" customWidth="1"/>
    <col min="3329" max="3329" width="9.140625" style="77"/>
    <col min="3330" max="3330" width="12.85546875" style="77" customWidth="1"/>
    <col min="3331" max="3331" width="9.140625" style="77"/>
    <col min="3332" max="3332" width="11.5703125" style="77" customWidth="1"/>
    <col min="3333" max="3334" width="13.140625" style="77" customWidth="1"/>
    <col min="3335" max="3335" width="11.7109375" style="77" customWidth="1"/>
    <col min="3336" max="3336" width="14.85546875" style="77" customWidth="1"/>
    <col min="3337" max="3337" width="13.42578125" style="77" bestFit="1" customWidth="1"/>
    <col min="3338" max="3338" width="14.85546875" style="77" customWidth="1"/>
    <col min="3339" max="3339" width="13.42578125" style="77" customWidth="1"/>
    <col min="3340" max="3340" width="14.85546875" style="77" customWidth="1"/>
    <col min="3341" max="3341" width="16.5703125" style="77" customWidth="1"/>
    <col min="3342" max="3342" width="10.5703125" style="77" customWidth="1"/>
    <col min="3343" max="3343" width="12.42578125" style="77" bestFit="1" customWidth="1"/>
    <col min="3344" max="3577" width="9.140625" style="77"/>
    <col min="3578" max="3579" width="10" style="77" customWidth="1"/>
    <col min="3580" max="3580" width="9.140625" style="77"/>
    <col min="3581" max="3581" width="24" style="77" customWidth="1"/>
    <col min="3582" max="3582" width="12.85546875" style="77" customWidth="1"/>
    <col min="3583" max="3584" width="13.140625" style="77" customWidth="1"/>
    <col min="3585" max="3585" width="9.140625" style="77"/>
    <col min="3586" max="3586" width="12.85546875" style="77" customWidth="1"/>
    <col min="3587" max="3587" width="9.140625" style="77"/>
    <col min="3588" max="3588" width="11.5703125" style="77" customWidth="1"/>
    <col min="3589" max="3590" width="13.140625" style="77" customWidth="1"/>
    <col min="3591" max="3591" width="11.7109375" style="77" customWidth="1"/>
    <col min="3592" max="3592" width="14.85546875" style="77" customWidth="1"/>
    <col min="3593" max="3593" width="13.42578125" style="77" bestFit="1" customWidth="1"/>
    <col min="3594" max="3594" width="14.85546875" style="77" customWidth="1"/>
    <col min="3595" max="3595" width="13.42578125" style="77" customWidth="1"/>
    <col min="3596" max="3596" width="14.85546875" style="77" customWidth="1"/>
    <col min="3597" max="3597" width="16.5703125" style="77" customWidth="1"/>
    <col min="3598" max="3598" width="10.5703125" style="77" customWidth="1"/>
    <col min="3599" max="3599" width="12.42578125" style="77" bestFit="1" customWidth="1"/>
    <col min="3600" max="3833" width="9.140625" style="77"/>
    <col min="3834" max="3835" width="10" style="77" customWidth="1"/>
    <col min="3836" max="3836" width="9.140625" style="77"/>
    <col min="3837" max="3837" width="24" style="77" customWidth="1"/>
    <col min="3838" max="3838" width="12.85546875" style="77" customWidth="1"/>
    <col min="3839" max="3840" width="13.140625" style="77" customWidth="1"/>
    <col min="3841" max="3841" width="9.140625" style="77"/>
    <col min="3842" max="3842" width="12.85546875" style="77" customWidth="1"/>
    <col min="3843" max="3843" width="9.140625" style="77"/>
    <col min="3844" max="3844" width="11.5703125" style="77" customWidth="1"/>
    <col min="3845" max="3846" width="13.140625" style="77" customWidth="1"/>
    <col min="3847" max="3847" width="11.7109375" style="77" customWidth="1"/>
    <col min="3848" max="3848" width="14.85546875" style="77" customWidth="1"/>
    <col min="3849" max="3849" width="13.42578125" style="77" bestFit="1" customWidth="1"/>
    <col min="3850" max="3850" width="14.85546875" style="77" customWidth="1"/>
    <col min="3851" max="3851" width="13.42578125" style="77" customWidth="1"/>
    <col min="3852" max="3852" width="14.85546875" style="77" customWidth="1"/>
    <col min="3853" max="3853" width="16.5703125" style="77" customWidth="1"/>
    <col min="3854" max="3854" width="10.5703125" style="77" customWidth="1"/>
    <col min="3855" max="3855" width="12.42578125" style="77" bestFit="1" customWidth="1"/>
    <col min="3856" max="4089" width="9.140625" style="77"/>
    <col min="4090" max="4091" width="10" style="77" customWidth="1"/>
    <col min="4092" max="4092" width="9.140625" style="77"/>
    <col min="4093" max="4093" width="24" style="77" customWidth="1"/>
    <col min="4094" max="4094" width="12.85546875" style="77" customWidth="1"/>
    <col min="4095" max="4096" width="13.140625" style="77" customWidth="1"/>
    <col min="4097" max="4097" width="9.140625" style="77"/>
    <col min="4098" max="4098" width="12.85546875" style="77" customWidth="1"/>
    <col min="4099" max="4099" width="9.140625" style="77"/>
    <col min="4100" max="4100" width="11.5703125" style="77" customWidth="1"/>
    <col min="4101" max="4102" width="13.140625" style="77" customWidth="1"/>
    <col min="4103" max="4103" width="11.7109375" style="77" customWidth="1"/>
    <col min="4104" max="4104" width="14.85546875" style="77" customWidth="1"/>
    <col min="4105" max="4105" width="13.42578125" style="77" bestFit="1" customWidth="1"/>
    <col min="4106" max="4106" width="14.85546875" style="77" customWidth="1"/>
    <col min="4107" max="4107" width="13.42578125" style="77" customWidth="1"/>
    <col min="4108" max="4108" width="14.85546875" style="77" customWidth="1"/>
    <col min="4109" max="4109" width="16.5703125" style="77" customWidth="1"/>
    <col min="4110" max="4110" width="10.5703125" style="77" customWidth="1"/>
    <col min="4111" max="4111" width="12.42578125" style="77" bestFit="1" customWidth="1"/>
    <col min="4112" max="4345" width="9.140625" style="77"/>
    <col min="4346" max="4347" width="10" style="77" customWidth="1"/>
    <col min="4348" max="4348" width="9.140625" style="77"/>
    <col min="4349" max="4349" width="24" style="77" customWidth="1"/>
    <col min="4350" max="4350" width="12.85546875" style="77" customWidth="1"/>
    <col min="4351" max="4352" width="13.140625" style="77" customWidth="1"/>
    <col min="4353" max="4353" width="9.140625" style="77"/>
    <col min="4354" max="4354" width="12.85546875" style="77" customWidth="1"/>
    <col min="4355" max="4355" width="9.140625" style="77"/>
    <col min="4356" max="4356" width="11.5703125" style="77" customWidth="1"/>
    <col min="4357" max="4358" width="13.140625" style="77" customWidth="1"/>
    <col min="4359" max="4359" width="11.7109375" style="77" customWidth="1"/>
    <col min="4360" max="4360" width="14.85546875" style="77" customWidth="1"/>
    <col min="4361" max="4361" width="13.42578125" style="77" bestFit="1" customWidth="1"/>
    <col min="4362" max="4362" width="14.85546875" style="77" customWidth="1"/>
    <col min="4363" max="4363" width="13.42578125" style="77" customWidth="1"/>
    <col min="4364" max="4364" width="14.85546875" style="77" customWidth="1"/>
    <col min="4365" max="4365" width="16.5703125" style="77" customWidth="1"/>
    <col min="4366" max="4366" width="10.5703125" style="77" customWidth="1"/>
    <col min="4367" max="4367" width="12.42578125" style="77" bestFit="1" customWidth="1"/>
    <col min="4368" max="4601" width="9.140625" style="77"/>
    <col min="4602" max="4603" width="10" style="77" customWidth="1"/>
    <col min="4604" max="4604" width="9.140625" style="77"/>
    <col min="4605" max="4605" width="24" style="77" customWidth="1"/>
    <col min="4606" max="4606" width="12.85546875" style="77" customWidth="1"/>
    <col min="4607" max="4608" width="13.140625" style="77" customWidth="1"/>
    <col min="4609" max="4609" width="9.140625" style="77"/>
    <col min="4610" max="4610" width="12.85546875" style="77" customWidth="1"/>
    <col min="4611" max="4611" width="9.140625" style="77"/>
    <col min="4612" max="4612" width="11.5703125" style="77" customWidth="1"/>
    <col min="4613" max="4614" width="13.140625" style="77" customWidth="1"/>
    <col min="4615" max="4615" width="11.7109375" style="77" customWidth="1"/>
    <col min="4616" max="4616" width="14.85546875" style="77" customWidth="1"/>
    <col min="4617" max="4617" width="13.42578125" style="77" bestFit="1" customWidth="1"/>
    <col min="4618" max="4618" width="14.85546875" style="77" customWidth="1"/>
    <col min="4619" max="4619" width="13.42578125" style="77" customWidth="1"/>
    <col min="4620" max="4620" width="14.85546875" style="77" customWidth="1"/>
    <col min="4621" max="4621" width="16.5703125" style="77" customWidth="1"/>
    <col min="4622" max="4622" width="10.5703125" style="77" customWidth="1"/>
    <col min="4623" max="4623" width="12.42578125" style="77" bestFit="1" customWidth="1"/>
    <col min="4624" max="4857" width="9.140625" style="77"/>
    <col min="4858" max="4859" width="10" style="77" customWidth="1"/>
    <col min="4860" max="4860" width="9.140625" style="77"/>
    <col min="4861" max="4861" width="24" style="77" customWidth="1"/>
    <col min="4862" max="4862" width="12.85546875" style="77" customWidth="1"/>
    <col min="4863" max="4864" width="13.140625" style="77" customWidth="1"/>
    <col min="4865" max="4865" width="9.140625" style="77"/>
    <col min="4866" max="4866" width="12.85546875" style="77" customWidth="1"/>
    <col min="4867" max="4867" width="9.140625" style="77"/>
    <col min="4868" max="4868" width="11.5703125" style="77" customWidth="1"/>
    <col min="4869" max="4870" width="13.140625" style="77" customWidth="1"/>
    <col min="4871" max="4871" width="11.7109375" style="77" customWidth="1"/>
    <col min="4872" max="4872" width="14.85546875" style="77" customWidth="1"/>
    <col min="4873" max="4873" width="13.42578125" style="77" bestFit="1" customWidth="1"/>
    <col min="4874" max="4874" width="14.85546875" style="77" customWidth="1"/>
    <col min="4875" max="4875" width="13.42578125" style="77" customWidth="1"/>
    <col min="4876" max="4876" width="14.85546875" style="77" customWidth="1"/>
    <col min="4877" max="4877" width="16.5703125" style="77" customWidth="1"/>
    <col min="4878" max="4878" width="10.5703125" style="77" customWidth="1"/>
    <col min="4879" max="4879" width="12.42578125" style="77" bestFit="1" customWidth="1"/>
    <col min="4880" max="5113" width="9.140625" style="77"/>
    <col min="5114" max="5115" width="10" style="77" customWidth="1"/>
    <col min="5116" max="5116" width="9.140625" style="77"/>
    <col min="5117" max="5117" width="24" style="77" customWidth="1"/>
    <col min="5118" max="5118" width="12.85546875" style="77" customWidth="1"/>
    <col min="5119" max="5120" width="13.140625" style="77" customWidth="1"/>
    <col min="5121" max="5121" width="9.140625" style="77"/>
    <col min="5122" max="5122" width="12.85546875" style="77" customWidth="1"/>
    <col min="5123" max="5123" width="9.140625" style="77"/>
    <col min="5124" max="5124" width="11.5703125" style="77" customWidth="1"/>
    <col min="5125" max="5126" width="13.140625" style="77" customWidth="1"/>
    <col min="5127" max="5127" width="11.7109375" style="77" customWidth="1"/>
    <col min="5128" max="5128" width="14.85546875" style="77" customWidth="1"/>
    <col min="5129" max="5129" width="13.42578125" style="77" bestFit="1" customWidth="1"/>
    <col min="5130" max="5130" width="14.85546875" style="77" customWidth="1"/>
    <col min="5131" max="5131" width="13.42578125" style="77" customWidth="1"/>
    <col min="5132" max="5132" width="14.85546875" style="77" customWidth="1"/>
    <col min="5133" max="5133" width="16.5703125" style="77" customWidth="1"/>
    <col min="5134" max="5134" width="10.5703125" style="77" customWidth="1"/>
    <col min="5135" max="5135" width="12.42578125" style="77" bestFit="1" customWidth="1"/>
    <col min="5136" max="5369" width="9.140625" style="77"/>
    <col min="5370" max="5371" width="10" style="77" customWidth="1"/>
    <col min="5372" max="5372" width="9.140625" style="77"/>
    <col min="5373" max="5373" width="24" style="77" customWidth="1"/>
    <col min="5374" max="5374" width="12.85546875" style="77" customWidth="1"/>
    <col min="5375" max="5376" width="13.140625" style="77" customWidth="1"/>
    <col min="5377" max="5377" width="9.140625" style="77"/>
    <col min="5378" max="5378" width="12.85546875" style="77" customWidth="1"/>
    <col min="5379" max="5379" width="9.140625" style="77"/>
    <col min="5380" max="5380" width="11.5703125" style="77" customWidth="1"/>
    <col min="5381" max="5382" width="13.140625" style="77" customWidth="1"/>
    <col min="5383" max="5383" width="11.7109375" style="77" customWidth="1"/>
    <col min="5384" max="5384" width="14.85546875" style="77" customWidth="1"/>
    <col min="5385" max="5385" width="13.42578125" style="77" bestFit="1" customWidth="1"/>
    <col min="5386" max="5386" width="14.85546875" style="77" customWidth="1"/>
    <col min="5387" max="5387" width="13.42578125" style="77" customWidth="1"/>
    <col min="5388" max="5388" width="14.85546875" style="77" customWidth="1"/>
    <col min="5389" max="5389" width="16.5703125" style="77" customWidth="1"/>
    <col min="5390" max="5390" width="10.5703125" style="77" customWidth="1"/>
    <col min="5391" max="5391" width="12.42578125" style="77" bestFit="1" customWidth="1"/>
    <col min="5392" max="5625" width="9.140625" style="77"/>
    <col min="5626" max="5627" width="10" style="77" customWidth="1"/>
    <col min="5628" max="5628" width="9.140625" style="77"/>
    <col min="5629" max="5629" width="24" style="77" customWidth="1"/>
    <col min="5630" max="5630" width="12.85546875" style="77" customWidth="1"/>
    <col min="5631" max="5632" width="13.140625" style="77" customWidth="1"/>
    <col min="5633" max="5633" width="9.140625" style="77"/>
    <col min="5634" max="5634" width="12.85546875" style="77" customWidth="1"/>
    <col min="5635" max="5635" width="9.140625" style="77"/>
    <col min="5636" max="5636" width="11.5703125" style="77" customWidth="1"/>
    <col min="5637" max="5638" width="13.140625" style="77" customWidth="1"/>
    <col min="5639" max="5639" width="11.7109375" style="77" customWidth="1"/>
    <col min="5640" max="5640" width="14.85546875" style="77" customWidth="1"/>
    <col min="5641" max="5641" width="13.42578125" style="77" bestFit="1" customWidth="1"/>
    <col min="5642" max="5642" width="14.85546875" style="77" customWidth="1"/>
    <col min="5643" max="5643" width="13.42578125" style="77" customWidth="1"/>
    <col min="5644" max="5644" width="14.85546875" style="77" customWidth="1"/>
    <col min="5645" max="5645" width="16.5703125" style="77" customWidth="1"/>
    <col min="5646" max="5646" width="10.5703125" style="77" customWidth="1"/>
    <col min="5647" max="5647" width="12.42578125" style="77" bestFit="1" customWidth="1"/>
    <col min="5648" max="5881" width="9.140625" style="77"/>
    <col min="5882" max="5883" width="10" style="77" customWidth="1"/>
    <col min="5884" max="5884" width="9.140625" style="77"/>
    <col min="5885" max="5885" width="24" style="77" customWidth="1"/>
    <col min="5886" max="5886" width="12.85546875" style="77" customWidth="1"/>
    <col min="5887" max="5888" width="13.140625" style="77" customWidth="1"/>
    <col min="5889" max="5889" width="9.140625" style="77"/>
    <col min="5890" max="5890" width="12.85546875" style="77" customWidth="1"/>
    <col min="5891" max="5891" width="9.140625" style="77"/>
    <col min="5892" max="5892" width="11.5703125" style="77" customWidth="1"/>
    <col min="5893" max="5894" width="13.140625" style="77" customWidth="1"/>
    <col min="5895" max="5895" width="11.7109375" style="77" customWidth="1"/>
    <col min="5896" max="5896" width="14.85546875" style="77" customWidth="1"/>
    <col min="5897" max="5897" width="13.42578125" style="77" bestFit="1" customWidth="1"/>
    <col min="5898" max="5898" width="14.85546875" style="77" customWidth="1"/>
    <col min="5899" max="5899" width="13.42578125" style="77" customWidth="1"/>
    <col min="5900" max="5900" width="14.85546875" style="77" customWidth="1"/>
    <col min="5901" max="5901" width="16.5703125" style="77" customWidth="1"/>
    <col min="5902" max="5902" width="10.5703125" style="77" customWidth="1"/>
    <col min="5903" max="5903" width="12.42578125" style="77" bestFit="1" customWidth="1"/>
    <col min="5904" max="6137" width="9.140625" style="77"/>
    <col min="6138" max="6139" width="10" style="77" customWidth="1"/>
    <col min="6140" max="6140" width="9.140625" style="77"/>
    <col min="6141" max="6141" width="24" style="77" customWidth="1"/>
    <col min="6142" max="6142" width="12.85546875" style="77" customWidth="1"/>
    <col min="6143" max="6144" width="13.140625" style="77" customWidth="1"/>
    <col min="6145" max="6145" width="9.140625" style="77"/>
    <col min="6146" max="6146" width="12.85546875" style="77" customWidth="1"/>
    <col min="6147" max="6147" width="9.140625" style="77"/>
    <col min="6148" max="6148" width="11.5703125" style="77" customWidth="1"/>
    <col min="6149" max="6150" width="13.140625" style="77" customWidth="1"/>
    <col min="6151" max="6151" width="11.7109375" style="77" customWidth="1"/>
    <col min="6152" max="6152" width="14.85546875" style="77" customWidth="1"/>
    <col min="6153" max="6153" width="13.42578125" style="77" bestFit="1" customWidth="1"/>
    <col min="6154" max="6154" width="14.85546875" style="77" customWidth="1"/>
    <col min="6155" max="6155" width="13.42578125" style="77" customWidth="1"/>
    <col min="6156" max="6156" width="14.85546875" style="77" customWidth="1"/>
    <col min="6157" max="6157" width="16.5703125" style="77" customWidth="1"/>
    <col min="6158" max="6158" width="10.5703125" style="77" customWidth="1"/>
    <col min="6159" max="6159" width="12.42578125" style="77" bestFit="1" customWidth="1"/>
    <col min="6160" max="6393" width="9.140625" style="77"/>
    <col min="6394" max="6395" width="10" style="77" customWidth="1"/>
    <col min="6396" max="6396" width="9.140625" style="77"/>
    <col min="6397" max="6397" width="24" style="77" customWidth="1"/>
    <col min="6398" max="6398" width="12.85546875" style="77" customWidth="1"/>
    <col min="6399" max="6400" width="13.140625" style="77" customWidth="1"/>
    <col min="6401" max="6401" width="9.140625" style="77"/>
    <col min="6402" max="6402" width="12.85546875" style="77" customWidth="1"/>
    <col min="6403" max="6403" width="9.140625" style="77"/>
    <col min="6404" max="6404" width="11.5703125" style="77" customWidth="1"/>
    <col min="6405" max="6406" width="13.140625" style="77" customWidth="1"/>
    <col min="6407" max="6407" width="11.7109375" style="77" customWidth="1"/>
    <col min="6408" max="6408" width="14.85546875" style="77" customWidth="1"/>
    <col min="6409" max="6409" width="13.42578125" style="77" bestFit="1" customWidth="1"/>
    <col min="6410" max="6410" width="14.85546875" style="77" customWidth="1"/>
    <col min="6411" max="6411" width="13.42578125" style="77" customWidth="1"/>
    <col min="6412" max="6412" width="14.85546875" style="77" customWidth="1"/>
    <col min="6413" max="6413" width="16.5703125" style="77" customWidth="1"/>
    <col min="6414" max="6414" width="10.5703125" style="77" customWidth="1"/>
    <col min="6415" max="6415" width="12.42578125" style="77" bestFit="1" customWidth="1"/>
    <col min="6416" max="6649" width="9.140625" style="77"/>
    <col min="6650" max="6651" width="10" style="77" customWidth="1"/>
    <col min="6652" max="6652" width="9.140625" style="77"/>
    <col min="6653" max="6653" width="24" style="77" customWidth="1"/>
    <col min="6654" max="6654" width="12.85546875" style="77" customWidth="1"/>
    <col min="6655" max="6656" width="13.140625" style="77" customWidth="1"/>
    <col min="6657" max="6657" width="9.140625" style="77"/>
    <col min="6658" max="6658" width="12.85546875" style="77" customWidth="1"/>
    <col min="6659" max="6659" width="9.140625" style="77"/>
    <col min="6660" max="6660" width="11.5703125" style="77" customWidth="1"/>
    <col min="6661" max="6662" width="13.140625" style="77" customWidth="1"/>
    <col min="6663" max="6663" width="11.7109375" style="77" customWidth="1"/>
    <col min="6664" max="6664" width="14.85546875" style="77" customWidth="1"/>
    <col min="6665" max="6665" width="13.42578125" style="77" bestFit="1" customWidth="1"/>
    <col min="6666" max="6666" width="14.85546875" style="77" customWidth="1"/>
    <col min="6667" max="6667" width="13.42578125" style="77" customWidth="1"/>
    <col min="6668" max="6668" width="14.85546875" style="77" customWidth="1"/>
    <col min="6669" max="6669" width="16.5703125" style="77" customWidth="1"/>
    <col min="6670" max="6670" width="10.5703125" style="77" customWidth="1"/>
    <col min="6671" max="6671" width="12.42578125" style="77" bestFit="1" customWidth="1"/>
    <col min="6672" max="6905" width="9.140625" style="77"/>
    <col min="6906" max="6907" width="10" style="77" customWidth="1"/>
    <col min="6908" max="6908" width="9.140625" style="77"/>
    <col min="6909" max="6909" width="24" style="77" customWidth="1"/>
    <col min="6910" max="6910" width="12.85546875" style="77" customWidth="1"/>
    <col min="6911" max="6912" width="13.140625" style="77" customWidth="1"/>
    <col min="6913" max="6913" width="9.140625" style="77"/>
    <col min="6914" max="6914" width="12.85546875" style="77" customWidth="1"/>
    <col min="6915" max="6915" width="9.140625" style="77"/>
    <col min="6916" max="6916" width="11.5703125" style="77" customWidth="1"/>
    <col min="6917" max="6918" width="13.140625" style="77" customWidth="1"/>
    <col min="6919" max="6919" width="11.7109375" style="77" customWidth="1"/>
    <col min="6920" max="6920" width="14.85546875" style="77" customWidth="1"/>
    <col min="6921" max="6921" width="13.42578125" style="77" bestFit="1" customWidth="1"/>
    <col min="6922" max="6922" width="14.85546875" style="77" customWidth="1"/>
    <col min="6923" max="6923" width="13.42578125" style="77" customWidth="1"/>
    <col min="6924" max="6924" width="14.85546875" style="77" customWidth="1"/>
    <col min="6925" max="6925" width="16.5703125" style="77" customWidth="1"/>
    <col min="6926" max="6926" width="10.5703125" style="77" customWidth="1"/>
    <col min="6927" max="6927" width="12.42578125" style="77" bestFit="1" customWidth="1"/>
    <col min="6928" max="7161" width="9.140625" style="77"/>
    <col min="7162" max="7163" width="10" style="77" customWidth="1"/>
    <col min="7164" max="7164" width="9.140625" style="77"/>
    <col min="7165" max="7165" width="24" style="77" customWidth="1"/>
    <col min="7166" max="7166" width="12.85546875" style="77" customWidth="1"/>
    <col min="7167" max="7168" width="13.140625" style="77" customWidth="1"/>
    <col min="7169" max="7169" width="9.140625" style="77"/>
    <col min="7170" max="7170" width="12.85546875" style="77" customWidth="1"/>
    <col min="7171" max="7171" width="9.140625" style="77"/>
    <col min="7172" max="7172" width="11.5703125" style="77" customWidth="1"/>
    <col min="7173" max="7174" width="13.140625" style="77" customWidth="1"/>
    <col min="7175" max="7175" width="11.7109375" style="77" customWidth="1"/>
    <col min="7176" max="7176" width="14.85546875" style="77" customWidth="1"/>
    <col min="7177" max="7177" width="13.42578125" style="77" bestFit="1" customWidth="1"/>
    <col min="7178" max="7178" width="14.85546875" style="77" customWidth="1"/>
    <col min="7179" max="7179" width="13.42578125" style="77" customWidth="1"/>
    <col min="7180" max="7180" width="14.85546875" style="77" customWidth="1"/>
    <col min="7181" max="7181" width="16.5703125" style="77" customWidth="1"/>
    <col min="7182" max="7182" width="10.5703125" style="77" customWidth="1"/>
    <col min="7183" max="7183" width="12.42578125" style="77" bestFit="1" customWidth="1"/>
    <col min="7184" max="7417" width="9.140625" style="77"/>
    <col min="7418" max="7419" width="10" style="77" customWidth="1"/>
    <col min="7420" max="7420" width="9.140625" style="77"/>
    <col min="7421" max="7421" width="24" style="77" customWidth="1"/>
    <col min="7422" max="7422" width="12.85546875" style="77" customWidth="1"/>
    <col min="7423" max="7424" width="13.140625" style="77" customWidth="1"/>
    <col min="7425" max="7425" width="9.140625" style="77"/>
    <col min="7426" max="7426" width="12.85546875" style="77" customWidth="1"/>
    <col min="7427" max="7427" width="9.140625" style="77"/>
    <col min="7428" max="7428" width="11.5703125" style="77" customWidth="1"/>
    <col min="7429" max="7430" width="13.140625" style="77" customWidth="1"/>
    <col min="7431" max="7431" width="11.7109375" style="77" customWidth="1"/>
    <col min="7432" max="7432" width="14.85546875" style="77" customWidth="1"/>
    <col min="7433" max="7433" width="13.42578125" style="77" bestFit="1" customWidth="1"/>
    <col min="7434" max="7434" width="14.85546875" style="77" customWidth="1"/>
    <col min="7435" max="7435" width="13.42578125" style="77" customWidth="1"/>
    <col min="7436" max="7436" width="14.85546875" style="77" customWidth="1"/>
    <col min="7437" max="7437" width="16.5703125" style="77" customWidth="1"/>
    <col min="7438" max="7438" width="10.5703125" style="77" customWidth="1"/>
    <col min="7439" max="7439" width="12.42578125" style="77" bestFit="1" customWidth="1"/>
    <col min="7440" max="7673" width="9.140625" style="77"/>
    <col min="7674" max="7675" width="10" style="77" customWidth="1"/>
    <col min="7676" max="7676" width="9.140625" style="77"/>
    <col min="7677" max="7677" width="24" style="77" customWidth="1"/>
    <col min="7678" max="7678" width="12.85546875" style="77" customWidth="1"/>
    <col min="7679" max="7680" width="13.140625" style="77" customWidth="1"/>
    <col min="7681" max="7681" width="9.140625" style="77"/>
    <col min="7682" max="7682" width="12.85546875" style="77" customWidth="1"/>
    <col min="7683" max="7683" width="9.140625" style="77"/>
    <col min="7684" max="7684" width="11.5703125" style="77" customWidth="1"/>
    <col min="7685" max="7686" width="13.140625" style="77" customWidth="1"/>
    <col min="7687" max="7687" width="11.7109375" style="77" customWidth="1"/>
    <col min="7688" max="7688" width="14.85546875" style="77" customWidth="1"/>
    <col min="7689" max="7689" width="13.42578125" style="77" bestFit="1" customWidth="1"/>
    <col min="7690" max="7690" width="14.85546875" style="77" customWidth="1"/>
    <col min="7691" max="7691" width="13.42578125" style="77" customWidth="1"/>
    <col min="7692" max="7692" width="14.85546875" style="77" customWidth="1"/>
    <col min="7693" max="7693" width="16.5703125" style="77" customWidth="1"/>
    <col min="7694" max="7694" width="10.5703125" style="77" customWidth="1"/>
    <col min="7695" max="7695" width="12.42578125" style="77" bestFit="1" customWidth="1"/>
    <col min="7696" max="7929" width="9.140625" style="77"/>
    <col min="7930" max="7931" width="10" style="77" customWidth="1"/>
    <col min="7932" max="7932" width="9.140625" style="77"/>
    <col min="7933" max="7933" width="24" style="77" customWidth="1"/>
    <col min="7934" max="7934" width="12.85546875" style="77" customWidth="1"/>
    <col min="7935" max="7936" width="13.140625" style="77" customWidth="1"/>
    <col min="7937" max="7937" width="9.140625" style="77"/>
    <col min="7938" max="7938" width="12.85546875" style="77" customWidth="1"/>
    <col min="7939" max="7939" width="9.140625" style="77"/>
    <col min="7940" max="7940" width="11.5703125" style="77" customWidth="1"/>
    <col min="7941" max="7942" width="13.140625" style="77" customWidth="1"/>
    <col min="7943" max="7943" width="11.7109375" style="77" customWidth="1"/>
    <col min="7944" max="7944" width="14.85546875" style="77" customWidth="1"/>
    <col min="7945" max="7945" width="13.42578125" style="77" bestFit="1" customWidth="1"/>
    <col min="7946" max="7946" width="14.85546875" style="77" customWidth="1"/>
    <col min="7947" max="7947" width="13.42578125" style="77" customWidth="1"/>
    <col min="7948" max="7948" width="14.85546875" style="77" customWidth="1"/>
    <col min="7949" max="7949" width="16.5703125" style="77" customWidth="1"/>
    <col min="7950" max="7950" width="10.5703125" style="77" customWidth="1"/>
    <col min="7951" max="7951" width="12.42578125" style="77" bestFit="1" customWidth="1"/>
    <col min="7952" max="8185" width="9.140625" style="77"/>
    <col min="8186" max="8187" width="10" style="77" customWidth="1"/>
    <col min="8188" max="8188" width="9.140625" style="77"/>
    <col min="8189" max="8189" width="24" style="77" customWidth="1"/>
    <col min="8190" max="8190" width="12.85546875" style="77" customWidth="1"/>
    <col min="8191" max="8192" width="13.140625" style="77" customWidth="1"/>
    <col min="8193" max="8193" width="9.140625" style="77"/>
    <col min="8194" max="8194" width="12.85546875" style="77" customWidth="1"/>
    <col min="8195" max="8195" width="9.140625" style="77"/>
    <col min="8196" max="8196" width="11.5703125" style="77" customWidth="1"/>
    <col min="8197" max="8198" width="13.140625" style="77" customWidth="1"/>
    <col min="8199" max="8199" width="11.7109375" style="77" customWidth="1"/>
    <col min="8200" max="8200" width="14.85546875" style="77" customWidth="1"/>
    <col min="8201" max="8201" width="13.42578125" style="77" bestFit="1" customWidth="1"/>
    <col min="8202" max="8202" width="14.85546875" style="77" customWidth="1"/>
    <col min="8203" max="8203" width="13.42578125" style="77" customWidth="1"/>
    <col min="8204" max="8204" width="14.85546875" style="77" customWidth="1"/>
    <col min="8205" max="8205" width="16.5703125" style="77" customWidth="1"/>
    <col min="8206" max="8206" width="10.5703125" style="77" customWidth="1"/>
    <col min="8207" max="8207" width="12.42578125" style="77" bestFit="1" customWidth="1"/>
    <col min="8208" max="8441" width="9.140625" style="77"/>
    <col min="8442" max="8443" width="10" style="77" customWidth="1"/>
    <col min="8444" max="8444" width="9.140625" style="77"/>
    <col min="8445" max="8445" width="24" style="77" customWidth="1"/>
    <col min="8446" max="8446" width="12.85546875" style="77" customWidth="1"/>
    <col min="8447" max="8448" width="13.140625" style="77" customWidth="1"/>
    <col min="8449" max="8449" width="9.140625" style="77"/>
    <col min="8450" max="8450" width="12.85546875" style="77" customWidth="1"/>
    <col min="8451" max="8451" width="9.140625" style="77"/>
    <col min="8452" max="8452" width="11.5703125" style="77" customWidth="1"/>
    <col min="8453" max="8454" width="13.140625" style="77" customWidth="1"/>
    <col min="8455" max="8455" width="11.7109375" style="77" customWidth="1"/>
    <col min="8456" max="8456" width="14.85546875" style="77" customWidth="1"/>
    <col min="8457" max="8457" width="13.42578125" style="77" bestFit="1" customWidth="1"/>
    <col min="8458" max="8458" width="14.85546875" style="77" customWidth="1"/>
    <col min="8459" max="8459" width="13.42578125" style="77" customWidth="1"/>
    <col min="8460" max="8460" width="14.85546875" style="77" customWidth="1"/>
    <col min="8461" max="8461" width="16.5703125" style="77" customWidth="1"/>
    <col min="8462" max="8462" width="10.5703125" style="77" customWidth="1"/>
    <col min="8463" max="8463" width="12.42578125" style="77" bestFit="1" customWidth="1"/>
    <col min="8464" max="8697" width="9.140625" style="77"/>
    <col min="8698" max="8699" width="10" style="77" customWidth="1"/>
    <col min="8700" max="8700" width="9.140625" style="77"/>
    <col min="8701" max="8701" width="24" style="77" customWidth="1"/>
    <col min="8702" max="8702" width="12.85546875" style="77" customWidth="1"/>
    <col min="8703" max="8704" width="13.140625" style="77" customWidth="1"/>
    <col min="8705" max="8705" width="9.140625" style="77"/>
    <col min="8706" max="8706" width="12.85546875" style="77" customWidth="1"/>
    <col min="8707" max="8707" width="9.140625" style="77"/>
    <col min="8708" max="8708" width="11.5703125" style="77" customWidth="1"/>
    <col min="8709" max="8710" width="13.140625" style="77" customWidth="1"/>
    <col min="8711" max="8711" width="11.7109375" style="77" customWidth="1"/>
    <col min="8712" max="8712" width="14.85546875" style="77" customWidth="1"/>
    <col min="8713" max="8713" width="13.42578125" style="77" bestFit="1" customWidth="1"/>
    <col min="8714" max="8714" width="14.85546875" style="77" customWidth="1"/>
    <col min="8715" max="8715" width="13.42578125" style="77" customWidth="1"/>
    <col min="8716" max="8716" width="14.85546875" style="77" customWidth="1"/>
    <col min="8717" max="8717" width="16.5703125" style="77" customWidth="1"/>
    <col min="8718" max="8718" width="10.5703125" style="77" customWidth="1"/>
    <col min="8719" max="8719" width="12.42578125" style="77" bestFit="1" customWidth="1"/>
    <col min="8720" max="8953" width="9.140625" style="77"/>
    <col min="8954" max="8955" width="10" style="77" customWidth="1"/>
    <col min="8956" max="8956" width="9.140625" style="77"/>
    <col min="8957" max="8957" width="24" style="77" customWidth="1"/>
    <col min="8958" max="8958" width="12.85546875" style="77" customWidth="1"/>
    <col min="8959" max="8960" width="13.140625" style="77" customWidth="1"/>
    <col min="8961" max="8961" width="9.140625" style="77"/>
    <col min="8962" max="8962" width="12.85546875" style="77" customWidth="1"/>
    <col min="8963" max="8963" width="9.140625" style="77"/>
    <col min="8964" max="8964" width="11.5703125" style="77" customWidth="1"/>
    <col min="8965" max="8966" width="13.140625" style="77" customWidth="1"/>
    <col min="8967" max="8967" width="11.7109375" style="77" customWidth="1"/>
    <col min="8968" max="8968" width="14.85546875" style="77" customWidth="1"/>
    <col min="8969" max="8969" width="13.42578125" style="77" bestFit="1" customWidth="1"/>
    <col min="8970" max="8970" width="14.85546875" style="77" customWidth="1"/>
    <col min="8971" max="8971" width="13.42578125" style="77" customWidth="1"/>
    <col min="8972" max="8972" width="14.85546875" style="77" customWidth="1"/>
    <col min="8973" max="8973" width="16.5703125" style="77" customWidth="1"/>
    <col min="8974" max="8974" width="10.5703125" style="77" customWidth="1"/>
    <col min="8975" max="8975" width="12.42578125" style="77" bestFit="1" customWidth="1"/>
    <col min="8976" max="9209" width="9.140625" style="77"/>
    <col min="9210" max="9211" width="10" style="77" customWidth="1"/>
    <col min="9212" max="9212" width="9.140625" style="77"/>
    <col min="9213" max="9213" width="24" style="77" customWidth="1"/>
    <col min="9214" max="9214" width="12.85546875" style="77" customWidth="1"/>
    <col min="9215" max="9216" width="13.140625" style="77" customWidth="1"/>
    <col min="9217" max="9217" width="9.140625" style="77"/>
    <col min="9218" max="9218" width="12.85546875" style="77" customWidth="1"/>
    <col min="9219" max="9219" width="9.140625" style="77"/>
    <col min="9220" max="9220" width="11.5703125" style="77" customWidth="1"/>
    <col min="9221" max="9222" width="13.140625" style="77" customWidth="1"/>
    <col min="9223" max="9223" width="11.7109375" style="77" customWidth="1"/>
    <col min="9224" max="9224" width="14.85546875" style="77" customWidth="1"/>
    <col min="9225" max="9225" width="13.42578125" style="77" bestFit="1" customWidth="1"/>
    <col min="9226" max="9226" width="14.85546875" style="77" customWidth="1"/>
    <col min="9227" max="9227" width="13.42578125" style="77" customWidth="1"/>
    <col min="9228" max="9228" width="14.85546875" style="77" customWidth="1"/>
    <col min="9229" max="9229" width="16.5703125" style="77" customWidth="1"/>
    <col min="9230" max="9230" width="10.5703125" style="77" customWidth="1"/>
    <col min="9231" max="9231" width="12.42578125" style="77" bestFit="1" customWidth="1"/>
    <col min="9232" max="9465" width="9.140625" style="77"/>
    <col min="9466" max="9467" width="10" style="77" customWidth="1"/>
    <col min="9468" max="9468" width="9.140625" style="77"/>
    <col min="9469" max="9469" width="24" style="77" customWidth="1"/>
    <col min="9470" max="9470" width="12.85546875" style="77" customWidth="1"/>
    <col min="9471" max="9472" width="13.140625" style="77" customWidth="1"/>
    <col min="9473" max="9473" width="9.140625" style="77"/>
    <col min="9474" max="9474" width="12.85546875" style="77" customWidth="1"/>
    <col min="9475" max="9475" width="9.140625" style="77"/>
    <col min="9476" max="9476" width="11.5703125" style="77" customWidth="1"/>
    <col min="9477" max="9478" width="13.140625" style="77" customWidth="1"/>
    <col min="9479" max="9479" width="11.7109375" style="77" customWidth="1"/>
    <col min="9480" max="9480" width="14.85546875" style="77" customWidth="1"/>
    <col min="9481" max="9481" width="13.42578125" style="77" bestFit="1" customWidth="1"/>
    <col min="9482" max="9482" width="14.85546875" style="77" customWidth="1"/>
    <col min="9483" max="9483" width="13.42578125" style="77" customWidth="1"/>
    <col min="9484" max="9484" width="14.85546875" style="77" customWidth="1"/>
    <col min="9485" max="9485" width="16.5703125" style="77" customWidth="1"/>
    <col min="9486" max="9486" width="10.5703125" style="77" customWidth="1"/>
    <col min="9487" max="9487" width="12.42578125" style="77" bestFit="1" customWidth="1"/>
    <col min="9488" max="9721" width="9.140625" style="77"/>
    <col min="9722" max="9723" width="10" style="77" customWidth="1"/>
    <col min="9724" max="9724" width="9.140625" style="77"/>
    <col min="9725" max="9725" width="24" style="77" customWidth="1"/>
    <col min="9726" max="9726" width="12.85546875" style="77" customWidth="1"/>
    <col min="9727" max="9728" width="13.140625" style="77" customWidth="1"/>
    <col min="9729" max="9729" width="9.140625" style="77"/>
    <col min="9730" max="9730" width="12.85546875" style="77" customWidth="1"/>
    <col min="9731" max="9731" width="9.140625" style="77"/>
    <col min="9732" max="9732" width="11.5703125" style="77" customWidth="1"/>
    <col min="9733" max="9734" width="13.140625" style="77" customWidth="1"/>
    <col min="9735" max="9735" width="11.7109375" style="77" customWidth="1"/>
    <col min="9736" max="9736" width="14.85546875" style="77" customWidth="1"/>
    <col min="9737" max="9737" width="13.42578125" style="77" bestFit="1" customWidth="1"/>
    <col min="9738" max="9738" width="14.85546875" style="77" customWidth="1"/>
    <col min="9739" max="9739" width="13.42578125" style="77" customWidth="1"/>
    <col min="9740" max="9740" width="14.85546875" style="77" customWidth="1"/>
    <col min="9741" max="9741" width="16.5703125" style="77" customWidth="1"/>
    <col min="9742" max="9742" width="10.5703125" style="77" customWidth="1"/>
    <col min="9743" max="9743" width="12.42578125" style="77" bestFit="1" customWidth="1"/>
    <col min="9744" max="9977" width="9.140625" style="77"/>
    <col min="9978" max="9979" width="10" style="77" customWidth="1"/>
    <col min="9980" max="9980" width="9.140625" style="77"/>
    <col min="9981" max="9981" width="24" style="77" customWidth="1"/>
    <col min="9982" max="9982" width="12.85546875" style="77" customWidth="1"/>
    <col min="9983" max="9984" width="13.140625" style="77" customWidth="1"/>
    <col min="9985" max="9985" width="9.140625" style="77"/>
    <col min="9986" max="9986" width="12.85546875" style="77" customWidth="1"/>
    <col min="9987" max="9987" width="9.140625" style="77"/>
    <col min="9988" max="9988" width="11.5703125" style="77" customWidth="1"/>
    <col min="9989" max="9990" width="13.140625" style="77" customWidth="1"/>
    <col min="9991" max="9991" width="11.7109375" style="77" customWidth="1"/>
    <col min="9992" max="9992" width="14.85546875" style="77" customWidth="1"/>
    <col min="9993" max="9993" width="13.42578125" style="77" bestFit="1" customWidth="1"/>
    <col min="9994" max="9994" width="14.85546875" style="77" customWidth="1"/>
    <col min="9995" max="9995" width="13.42578125" style="77" customWidth="1"/>
    <col min="9996" max="9996" width="14.85546875" style="77" customWidth="1"/>
    <col min="9997" max="9997" width="16.5703125" style="77" customWidth="1"/>
    <col min="9998" max="9998" width="10.5703125" style="77" customWidth="1"/>
    <col min="9999" max="9999" width="12.42578125" style="77" bestFit="1" customWidth="1"/>
    <col min="10000" max="10233" width="9.140625" style="77"/>
    <col min="10234" max="10235" width="10" style="77" customWidth="1"/>
    <col min="10236" max="10236" width="9.140625" style="77"/>
    <col min="10237" max="10237" width="24" style="77" customWidth="1"/>
    <col min="10238" max="10238" width="12.85546875" style="77" customWidth="1"/>
    <col min="10239" max="10240" width="13.140625" style="77" customWidth="1"/>
    <col min="10241" max="10241" width="9.140625" style="77"/>
    <col min="10242" max="10242" width="12.85546875" style="77" customWidth="1"/>
    <col min="10243" max="10243" width="9.140625" style="77"/>
    <col min="10244" max="10244" width="11.5703125" style="77" customWidth="1"/>
    <col min="10245" max="10246" width="13.140625" style="77" customWidth="1"/>
    <col min="10247" max="10247" width="11.7109375" style="77" customWidth="1"/>
    <col min="10248" max="10248" width="14.85546875" style="77" customWidth="1"/>
    <col min="10249" max="10249" width="13.42578125" style="77" bestFit="1" customWidth="1"/>
    <col min="10250" max="10250" width="14.85546875" style="77" customWidth="1"/>
    <col min="10251" max="10251" width="13.42578125" style="77" customWidth="1"/>
    <col min="10252" max="10252" width="14.85546875" style="77" customWidth="1"/>
    <col min="10253" max="10253" width="16.5703125" style="77" customWidth="1"/>
    <col min="10254" max="10254" width="10.5703125" style="77" customWidth="1"/>
    <col min="10255" max="10255" width="12.42578125" style="77" bestFit="1" customWidth="1"/>
    <col min="10256" max="10489" width="9.140625" style="77"/>
    <col min="10490" max="10491" width="10" style="77" customWidth="1"/>
    <col min="10492" max="10492" width="9.140625" style="77"/>
    <col min="10493" max="10493" width="24" style="77" customWidth="1"/>
    <col min="10494" max="10494" width="12.85546875" style="77" customWidth="1"/>
    <col min="10495" max="10496" width="13.140625" style="77" customWidth="1"/>
    <col min="10497" max="10497" width="9.140625" style="77"/>
    <col min="10498" max="10498" width="12.85546875" style="77" customWidth="1"/>
    <col min="10499" max="10499" width="9.140625" style="77"/>
    <col min="10500" max="10500" width="11.5703125" style="77" customWidth="1"/>
    <col min="10501" max="10502" width="13.140625" style="77" customWidth="1"/>
    <col min="10503" max="10503" width="11.7109375" style="77" customWidth="1"/>
    <col min="10504" max="10504" width="14.85546875" style="77" customWidth="1"/>
    <col min="10505" max="10505" width="13.42578125" style="77" bestFit="1" customWidth="1"/>
    <col min="10506" max="10506" width="14.85546875" style="77" customWidth="1"/>
    <col min="10507" max="10507" width="13.42578125" style="77" customWidth="1"/>
    <col min="10508" max="10508" width="14.85546875" style="77" customWidth="1"/>
    <col min="10509" max="10509" width="16.5703125" style="77" customWidth="1"/>
    <col min="10510" max="10510" width="10.5703125" style="77" customWidth="1"/>
    <col min="10511" max="10511" width="12.42578125" style="77" bestFit="1" customWidth="1"/>
    <col min="10512" max="10745" width="9.140625" style="77"/>
    <col min="10746" max="10747" width="10" style="77" customWidth="1"/>
    <col min="10748" max="10748" width="9.140625" style="77"/>
    <col min="10749" max="10749" width="24" style="77" customWidth="1"/>
    <col min="10750" max="10750" width="12.85546875" style="77" customWidth="1"/>
    <col min="10751" max="10752" width="13.140625" style="77" customWidth="1"/>
    <col min="10753" max="10753" width="9.140625" style="77"/>
    <col min="10754" max="10754" width="12.85546875" style="77" customWidth="1"/>
    <col min="10755" max="10755" width="9.140625" style="77"/>
    <col min="10756" max="10756" width="11.5703125" style="77" customWidth="1"/>
    <col min="10757" max="10758" width="13.140625" style="77" customWidth="1"/>
    <col min="10759" max="10759" width="11.7109375" style="77" customWidth="1"/>
    <col min="10760" max="10760" width="14.85546875" style="77" customWidth="1"/>
    <col min="10761" max="10761" width="13.42578125" style="77" bestFit="1" customWidth="1"/>
    <col min="10762" max="10762" width="14.85546875" style="77" customWidth="1"/>
    <col min="10763" max="10763" width="13.42578125" style="77" customWidth="1"/>
    <col min="10764" max="10764" width="14.85546875" style="77" customWidth="1"/>
    <col min="10765" max="10765" width="16.5703125" style="77" customWidth="1"/>
    <col min="10766" max="10766" width="10.5703125" style="77" customWidth="1"/>
    <col min="10767" max="10767" width="12.42578125" style="77" bestFit="1" customWidth="1"/>
    <col min="10768" max="11001" width="9.140625" style="77"/>
    <col min="11002" max="11003" width="10" style="77" customWidth="1"/>
    <col min="11004" max="11004" width="9.140625" style="77"/>
    <col min="11005" max="11005" width="24" style="77" customWidth="1"/>
    <col min="11006" max="11006" width="12.85546875" style="77" customWidth="1"/>
    <col min="11007" max="11008" width="13.140625" style="77" customWidth="1"/>
    <col min="11009" max="11009" width="9.140625" style="77"/>
    <col min="11010" max="11010" width="12.85546875" style="77" customWidth="1"/>
    <col min="11011" max="11011" width="9.140625" style="77"/>
    <col min="11012" max="11012" width="11.5703125" style="77" customWidth="1"/>
    <col min="11013" max="11014" width="13.140625" style="77" customWidth="1"/>
    <col min="11015" max="11015" width="11.7109375" style="77" customWidth="1"/>
    <col min="11016" max="11016" width="14.85546875" style="77" customWidth="1"/>
    <col min="11017" max="11017" width="13.42578125" style="77" bestFit="1" customWidth="1"/>
    <col min="11018" max="11018" width="14.85546875" style="77" customWidth="1"/>
    <col min="11019" max="11019" width="13.42578125" style="77" customWidth="1"/>
    <col min="11020" max="11020" width="14.85546875" style="77" customWidth="1"/>
    <col min="11021" max="11021" width="16.5703125" style="77" customWidth="1"/>
    <col min="11022" max="11022" width="10.5703125" style="77" customWidth="1"/>
    <col min="11023" max="11023" width="12.42578125" style="77" bestFit="1" customWidth="1"/>
    <col min="11024" max="11257" width="9.140625" style="77"/>
    <col min="11258" max="11259" width="10" style="77" customWidth="1"/>
    <col min="11260" max="11260" width="9.140625" style="77"/>
    <col min="11261" max="11261" width="24" style="77" customWidth="1"/>
    <col min="11262" max="11262" width="12.85546875" style="77" customWidth="1"/>
    <col min="11263" max="11264" width="13.140625" style="77" customWidth="1"/>
    <col min="11265" max="11265" width="9.140625" style="77"/>
    <col min="11266" max="11266" width="12.85546875" style="77" customWidth="1"/>
    <col min="11267" max="11267" width="9.140625" style="77"/>
    <col min="11268" max="11268" width="11.5703125" style="77" customWidth="1"/>
    <col min="11269" max="11270" width="13.140625" style="77" customWidth="1"/>
    <col min="11271" max="11271" width="11.7109375" style="77" customWidth="1"/>
    <col min="11272" max="11272" width="14.85546875" style="77" customWidth="1"/>
    <col min="11273" max="11273" width="13.42578125" style="77" bestFit="1" customWidth="1"/>
    <col min="11274" max="11274" width="14.85546875" style="77" customWidth="1"/>
    <col min="11275" max="11275" width="13.42578125" style="77" customWidth="1"/>
    <col min="11276" max="11276" width="14.85546875" style="77" customWidth="1"/>
    <col min="11277" max="11277" width="16.5703125" style="77" customWidth="1"/>
    <col min="11278" max="11278" width="10.5703125" style="77" customWidth="1"/>
    <col min="11279" max="11279" width="12.42578125" style="77" bestFit="1" customWidth="1"/>
    <col min="11280" max="11513" width="9.140625" style="77"/>
    <col min="11514" max="11515" width="10" style="77" customWidth="1"/>
    <col min="11516" max="11516" width="9.140625" style="77"/>
    <col min="11517" max="11517" width="24" style="77" customWidth="1"/>
    <col min="11518" max="11518" width="12.85546875" style="77" customWidth="1"/>
    <col min="11519" max="11520" width="13.140625" style="77" customWidth="1"/>
    <col min="11521" max="11521" width="9.140625" style="77"/>
    <col min="11522" max="11522" width="12.85546875" style="77" customWidth="1"/>
    <col min="11523" max="11523" width="9.140625" style="77"/>
    <col min="11524" max="11524" width="11.5703125" style="77" customWidth="1"/>
    <col min="11525" max="11526" width="13.140625" style="77" customWidth="1"/>
    <col min="11527" max="11527" width="11.7109375" style="77" customWidth="1"/>
    <col min="11528" max="11528" width="14.85546875" style="77" customWidth="1"/>
    <col min="11529" max="11529" width="13.42578125" style="77" bestFit="1" customWidth="1"/>
    <col min="11530" max="11530" width="14.85546875" style="77" customWidth="1"/>
    <col min="11531" max="11531" width="13.42578125" style="77" customWidth="1"/>
    <col min="11532" max="11532" width="14.85546875" style="77" customWidth="1"/>
    <col min="11533" max="11533" width="16.5703125" style="77" customWidth="1"/>
    <col min="11534" max="11534" width="10.5703125" style="77" customWidth="1"/>
    <col min="11535" max="11535" width="12.42578125" style="77" bestFit="1" customWidth="1"/>
    <col min="11536" max="11769" width="9.140625" style="77"/>
    <col min="11770" max="11771" width="10" style="77" customWidth="1"/>
    <col min="11772" max="11772" width="9.140625" style="77"/>
    <col min="11773" max="11773" width="24" style="77" customWidth="1"/>
    <col min="11774" max="11774" width="12.85546875" style="77" customWidth="1"/>
    <col min="11775" max="11776" width="13.140625" style="77" customWidth="1"/>
    <col min="11777" max="11777" width="9.140625" style="77"/>
    <col min="11778" max="11778" width="12.85546875" style="77" customWidth="1"/>
    <col min="11779" max="11779" width="9.140625" style="77"/>
    <col min="11780" max="11780" width="11.5703125" style="77" customWidth="1"/>
    <col min="11781" max="11782" width="13.140625" style="77" customWidth="1"/>
    <col min="11783" max="11783" width="11.7109375" style="77" customWidth="1"/>
    <col min="11784" max="11784" width="14.85546875" style="77" customWidth="1"/>
    <col min="11785" max="11785" width="13.42578125" style="77" bestFit="1" customWidth="1"/>
    <col min="11786" max="11786" width="14.85546875" style="77" customWidth="1"/>
    <col min="11787" max="11787" width="13.42578125" style="77" customWidth="1"/>
    <col min="11788" max="11788" width="14.85546875" style="77" customWidth="1"/>
    <col min="11789" max="11789" width="16.5703125" style="77" customWidth="1"/>
    <col min="11790" max="11790" width="10.5703125" style="77" customWidth="1"/>
    <col min="11791" max="11791" width="12.42578125" style="77" bestFit="1" customWidth="1"/>
    <col min="11792" max="12025" width="9.140625" style="77"/>
    <col min="12026" max="12027" width="10" style="77" customWidth="1"/>
    <col min="12028" max="12028" width="9.140625" style="77"/>
    <col min="12029" max="12029" width="24" style="77" customWidth="1"/>
    <col min="12030" max="12030" width="12.85546875" style="77" customWidth="1"/>
    <col min="12031" max="12032" width="13.140625" style="77" customWidth="1"/>
    <col min="12033" max="12033" width="9.140625" style="77"/>
    <col min="12034" max="12034" width="12.85546875" style="77" customWidth="1"/>
    <col min="12035" max="12035" width="9.140625" style="77"/>
    <col min="12036" max="12036" width="11.5703125" style="77" customWidth="1"/>
    <col min="12037" max="12038" width="13.140625" style="77" customWidth="1"/>
    <col min="12039" max="12039" width="11.7109375" style="77" customWidth="1"/>
    <col min="12040" max="12040" width="14.85546875" style="77" customWidth="1"/>
    <col min="12041" max="12041" width="13.42578125" style="77" bestFit="1" customWidth="1"/>
    <col min="12042" max="12042" width="14.85546875" style="77" customWidth="1"/>
    <col min="12043" max="12043" width="13.42578125" style="77" customWidth="1"/>
    <col min="12044" max="12044" width="14.85546875" style="77" customWidth="1"/>
    <col min="12045" max="12045" width="16.5703125" style="77" customWidth="1"/>
    <col min="12046" max="12046" width="10.5703125" style="77" customWidth="1"/>
    <col min="12047" max="12047" width="12.42578125" style="77" bestFit="1" customWidth="1"/>
    <col min="12048" max="12281" width="9.140625" style="77"/>
    <col min="12282" max="12283" width="10" style="77" customWidth="1"/>
    <col min="12284" max="12284" width="9.140625" style="77"/>
    <col min="12285" max="12285" width="24" style="77" customWidth="1"/>
    <col min="12286" max="12286" width="12.85546875" style="77" customWidth="1"/>
    <col min="12287" max="12288" width="13.140625" style="77" customWidth="1"/>
    <col min="12289" max="12289" width="9.140625" style="77"/>
    <col min="12290" max="12290" width="12.85546875" style="77" customWidth="1"/>
    <col min="12291" max="12291" width="9.140625" style="77"/>
    <col min="12292" max="12292" width="11.5703125" style="77" customWidth="1"/>
    <col min="12293" max="12294" width="13.140625" style="77" customWidth="1"/>
    <col min="12295" max="12295" width="11.7109375" style="77" customWidth="1"/>
    <col min="12296" max="12296" width="14.85546875" style="77" customWidth="1"/>
    <col min="12297" max="12297" width="13.42578125" style="77" bestFit="1" customWidth="1"/>
    <col min="12298" max="12298" width="14.85546875" style="77" customWidth="1"/>
    <col min="12299" max="12299" width="13.42578125" style="77" customWidth="1"/>
    <col min="12300" max="12300" width="14.85546875" style="77" customWidth="1"/>
    <col min="12301" max="12301" width="16.5703125" style="77" customWidth="1"/>
    <col min="12302" max="12302" width="10.5703125" style="77" customWidth="1"/>
    <col min="12303" max="12303" width="12.42578125" style="77" bestFit="1" customWidth="1"/>
    <col min="12304" max="12537" width="9.140625" style="77"/>
    <col min="12538" max="12539" width="10" style="77" customWidth="1"/>
    <col min="12540" max="12540" width="9.140625" style="77"/>
    <col min="12541" max="12541" width="24" style="77" customWidth="1"/>
    <col min="12542" max="12542" width="12.85546875" style="77" customWidth="1"/>
    <col min="12543" max="12544" width="13.140625" style="77" customWidth="1"/>
    <col min="12545" max="12545" width="9.140625" style="77"/>
    <col min="12546" max="12546" width="12.85546875" style="77" customWidth="1"/>
    <col min="12547" max="12547" width="9.140625" style="77"/>
    <col min="12548" max="12548" width="11.5703125" style="77" customWidth="1"/>
    <col min="12549" max="12550" width="13.140625" style="77" customWidth="1"/>
    <col min="12551" max="12551" width="11.7109375" style="77" customWidth="1"/>
    <col min="12552" max="12552" width="14.85546875" style="77" customWidth="1"/>
    <col min="12553" max="12553" width="13.42578125" style="77" bestFit="1" customWidth="1"/>
    <col min="12554" max="12554" width="14.85546875" style="77" customWidth="1"/>
    <col min="12555" max="12555" width="13.42578125" style="77" customWidth="1"/>
    <col min="12556" max="12556" width="14.85546875" style="77" customWidth="1"/>
    <col min="12557" max="12557" width="16.5703125" style="77" customWidth="1"/>
    <col min="12558" max="12558" width="10.5703125" style="77" customWidth="1"/>
    <col min="12559" max="12559" width="12.42578125" style="77" bestFit="1" customWidth="1"/>
    <col min="12560" max="12793" width="9.140625" style="77"/>
    <col min="12794" max="12795" width="10" style="77" customWidth="1"/>
    <col min="12796" max="12796" width="9.140625" style="77"/>
    <col min="12797" max="12797" width="24" style="77" customWidth="1"/>
    <col min="12798" max="12798" width="12.85546875" style="77" customWidth="1"/>
    <col min="12799" max="12800" width="13.140625" style="77" customWidth="1"/>
    <col min="12801" max="12801" width="9.140625" style="77"/>
    <col min="12802" max="12802" width="12.85546875" style="77" customWidth="1"/>
    <col min="12803" max="12803" width="9.140625" style="77"/>
    <col min="12804" max="12804" width="11.5703125" style="77" customWidth="1"/>
    <col min="12805" max="12806" width="13.140625" style="77" customWidth="1"/>
    <col min="12807" max="12807" width="11.7109375" style="77" customWidth="1"/>
    <col min="12808" max="12808" width="14.85546875" style="77" customWidth="1"/>
    <col min="12809" max="12809" width="13.42578125" style="77" bestFit="1" customWidth="1"/>
    <col min="12810" max="12810" width="14.85546875" style="77" customWidth="1"/>
    <col min="12811" max="12811" width="13.42578125" style="77" customWidth="1"/>
    <col min="12812" max="12812" width="14.85546875" style="77" customWidth="1"/>
    <col min="12813" max="12813" width="16.5703125" style="77" customWidth="1"/>
    <col min="12814" max="12814" width="10.5703125" style="77" customWidth="1"/>
    <col min="12815" max="12815" width="12.42578125" style="77" bestFit="1" customWidth="1"/>
    <col min="12816" max="13049" width="9.140625" style="77"/>
    <col min="13050" max="13051" width="10" style="77" customWidth="1"/>
    <col min="13052" max="13052" width="9.140625" style="77"/>
    <col min="13053" max="13053" width="24" style="77" customWidth="1"/>
    <col min="13054" max="13054" width="12.85546875" style="77" customWidth="1"/>
    <col min="13055" max="13056" width="13.140625" style="77" customWidth="1"/>
    <col min="13057" max="13057" width="9.140625" style="77"/>
    <col min="13058" max="13058" width="12.85546875" style="77" customWidth="1"/>
    <col min="13059" max="13059" width="9.140625" style="77"/>
    <col min="13060" max="13060" width="11.5703125" style="77" customWidth="1"/>
    <col min="13061" max="13062" width="13.140625" style="77" customWidth="1"/>
    <col min="13063" max="13063" width="11.7109375" style="77" customWidth="1"/>
    <col min="13064" max="13064" width="14.85546875" style="77" customWidth="1"/>
    <col min="13065" max="13065" width="13.42578125" style="77" bestFit="1" customWidth="1"/>
    <col min="13066" max="13066" width="14.85546875" style="77" customWidth="1"/>
    <col min="13067" max="13067" width="13.42578125" style="77" customWidth="1"/>
    <col min="13068" max="13068" width="14.85546875" style="77" customWidth="1"/>
    <col min="13069" max="13069" width="16.5703125" style="77" customWidth="1"/>
    <col min="13070" max="13070" width="10.5703125" style="77" customWidth="1"/>
    <col min="13071" max="13071" width="12.42578125" style="77" bestFit="1" customWidth="1"/>
    <col min="13072" max="13305" width="9.140625" style="77"/>
    <col min="13306" max="13307" width="10" style="77" customWidth="1"/>
    <col min="13308" max="13308" width="9.140625" style="77"/>
    <col min="13309" max="13309" width="24" style="77" customWidth="1"/>
    <col min="13310" max="13310" width="12.85546875" style="77" customWidth="1"/>
    <col min="13311" max="13312" width="13.140625" style="77" customWidth="1"/>
    <col min="13313" max="13313" width="9.140625" style="77"/>
    <col min="13314" max="13314" width="12.85546875" style="77" customWidth="1"/>
    <col min="13315" max="13315" width="9.140625" style="77"/>
    <col min="13316" max="13316" width="11.5703125" style="77" customWidth="1"/>
    <col min="13317" max="13318" width="13.140625" style="77" customWidth="1"/>
    <col min="13319" max="13319" width="11.7109375" style="77" customWidth="1"/>
    <col min="13320" max="13320" width="14.85546875" style="77" customWidth="1"/>
    <col min="13321" max="13321" width="13.42578125" style="77" bestFit="1" customWidth="1"/>
    <col min="13322" max="13322" width="14.85546875" style="77" customWidth="1"/>
    <col min="13323" max="13323" width="13.42578125" style="77" customWidth="1"/>
    <col min="13324" max="13324" width="14.85546875" style="77" customWidth="1"/>
    <col min="13325" max="13325" width="16.5703125" style="77" customWidth="1"/>
    <col min="13326" max="13326" width="10.5703125" style="77" customWidth="1"/>
    <col min="13327" max="13327" width="12.42578125" style="77" bestFit="1" customWidth="1"/>
    <col min="13328" max="13561" width="9.140625" style="77"/>
    <col min="13562" max="13563" width="10" style="77" customWidth="1"/>
    <col min="13564" max="13564" width="9.140625" style="77"/>
    <col min="13565" max="13565" width="24" style="77" customWidth="1"/>
    <col min="13566" max="13566" width="12.85546875" style="77" customWidth="1"/>
    <col min="13567" max="13568" width="13.140625" style="77" customWidth="1"/>
    <col min="13569" max="13569" width="9.140625" style="77"/>
    <col min="13570" max="13570" width="12.85546875" style="77" customWidth="1"/>
    <col min="13571" max="13571" width="9.140625" style="77"/>
    <col min="13572" max="13572" width="11.5703125" style="77" customWidth="1"/>
    <col min="13573" max="13574" width="13.140625" style="77" customWidth="1"/>
    <col min="13575" max="13575" width="11.7109375" style="77" customWidth="1"/>
    <col min="13576" max="13576" width="14.85546875" style="77" customWidth="1"/>
    <col min="13577" max="13577" width="13.42578125" style="77" bestFit="1" customWidth="1"/>
    <col min="13578" max="13578" width="14.85546875" style="77" customWidth="1"/>
    <col min="13579" max="13579" width="13.42578125" style="77" customWidth="1"/>
    <col min="13580" max="13580" width="14.85546875" style="77" customWidth="1"/>
    <col min="13581" max="13581" width="16.5703125" style="77" customWidth="1"/>
    <col min="13582" max="13582" width="10.5703125" style="77" customWidth="1"/>
    <col min="13583" max="13583" width="12.42578125" style="77" bestFit="1" customWidth="1"/>
    <col min="13584" max="13817" width="9.140625" style="77"/>
    <col min="13818" max="13819" width="10" style="77" customWidth="1"/>
    <col min="13820" max="13820" width="9.140625" style="77"/>
    <col min="13821" max="13821" width="24" style="77" customWidth="1"/>
    <col min="13822" max="13822" width="12.85546875" style="77" customWidth="1"/>
    <col min="13823" max="13824" width="13.140625" style="77" customWidth="1"/>
    <col min="13825" max="13825" width="9.140625" style="77"/>
    <col min="13826" max="13826" width="12.85546875" style="77" customWidth="1"/>
    <col min="13827" max="13827" width="9.140625" style="77"/>
    <col min="13828" max="13828" width="11.5703125" style="77" customWidth="1"/>
    <col min="13829" max="13830" width="13.140625" style="77" customWidth="1"/>
    <col min="13831" max="13831" width="11.7109375" style="77" customWidth="1"/>
    <col min="13832" max="13832" width="14.85546875" style="77" customWidth="1"/>
    <col min="13833" max="13833" width="13.42578125" style="77" bestFit="1" customWidth="1"/>
    <col min="13834" max="13834" width="14.85546875" style="77" customWidth="1"/>
    <col min="13835" max="13835" width="13.42578125" style="77" customWidth="1"/>
    <col min="13836" max="13836" width="14.85546875" style="77" customWidth="1"/>
    <col min="13837" max="13837" width="16.5703125" style="77" customWidth="1"/>
    <col min="13838" max="13838" width="10.5703125" style="77" customWidth="1"/>
    <col min="13839" max="13839" width="12.42578125" style="77" bestFit="1" customWidth="1"/>
    <col min="13840" max="14073" width="9.140625" style="77"/>
    <col min="14074" max="14075" width="10" style="77" customWidth="1"/>
    <col min="14076" max="14076" width="9.140625" style="77"/>
    <col min="14077" max="14077" width="24" style="77" customWidth="1"/>
    <col min="14078" max="14078" width="12.85546875" style="77" customWidth="1"/>
    <col min="14079" max="14080" width="13.140625" style="77" customWidth="1"/>
    <col min="14081" max="14081" width="9.140625" style="77"/>
    <col min="14082" max="14082" width="12.85546875" style="77" customWidth="1"/>
    <col min="14083" max="14083" width="9.140625" style="77"/>
    <col min="14084" max="14084" width="11.5703125" style="77" customWidth="1"/>
    <col min="14085" max="14086" width="13.140625" style="77" customWidth="1"/>
    <col min="14087" max="14087" width="11.7109375" style="77" customWidth="1"/>
    <col min="14088" max="14088" width="14.85546875" style="77" customWidth="1"/>
    <col min="14089" max="14089" width="13.42578125" style="77" bestFit="1" customWidth="1"/>
    <col min="14090" max="14090" width="14.85546875" style="77" customWidth="1"/>
    <col min="14091" max="14091" width="13.42578125" style="77" customWidth="1"/>
    <col min="14092" max="14092" width="14.85546875" style="77" customWidth="1"/>
    <col min="14093" max="14093" width="16.5703125" style="77" customWidth="1"/>
    <col min="14094" max="14094" width="10.5703125" style="77" customWidth="1"/>
    <col min="14095" max="14095" width="12.42578125" style="77" bestFit="1" customWidth="1"/>
    <col min="14096" max="14329" width="9.140625" style="77"/>
    <col min="14330" max="14331" width="10" style="77" customWidth="1"/>
    <col min="14332" max="14332" width="9.140625" style="77"/>
    <col min="14333" max="14333" width="24" style="77" customWidth="1"/>
    <col min="14334" max="14334" width="12.85546875" style="77" customWidth="1"/>
    <col min="14335" max="14336" width="13.140625" style="77" customWidth="1"/>
    <col min="14337" max="14337" width="9.140625" style="77"/>
    <col min="14338" max="14338" width="12.85546875" style="77" customWidth="1"/>
    <col min="14339" max="14339" width="9.140625" style="77"/>
    <col min="14340" max="14340" width="11.5703125" style="77" customWidth="1"/>
    <col min="14341" max="14342" width="13.140625" style="77" customWidth="1"/>
    <col min="14343" max="14343" width="11.7109375" style="77" customWidth="1"/>
    <col min="14344" max="14344" width="14.85546875" style="77" customWidth="1"/>
    <col min="14345" max="14345" width="13.42578125" style="77" bestFit="1" customWidth="1"/>
    <col min="14346" max="14346" width="14.85546875" style="77" customWidth="1"/>
    <col min="14347" max="14347" width="13.42578125" style="77" customWidth="1"/>
    <col min="14348" max="14348" width="14.85546875" style="77" customWidth="1"/>
    <col min="14349" max="14349" width="16.5703125" style="77" customWidth="1"/>
    <col min="14350" max="14350" width="10.5703125" style="77" customWidth="1"/>
    <col min="14351" max="14351" width="12.42578125" style="77" bestFit="1" customWidth="1"/>
    <col min="14352" max="14585" width="9.140625" style="77"/>
    <col min="14586" max="14587" width="10" style="77" customWidth="1"/>
    <col min="14588" max="14588" width="9.140625" style="77"/>
    <col min="14589" max="14589" width="24" style="77" customWidth="1"/>
    <col min="14590" max="14590" width="12.85546875" style="77" customWidth="1"/>
    <col min="14591" max="14592" width="13.140625" style="77" customWidth="1"/>
    <col min="14593" max="14593" width="9.140625" style="77"/>
    <col min="14594" max="14594" width="12.85546875" style="77" customWidth="1"/>
    <col min="14595" max="14595" width="9.140625" style="77"/>
    <col min="14596" max="14596" width="11.5703125" style="77" customWidth="1"/>
    <col min="14597" max="14598" width="13.140625" style="77" customWidth="1"/>
    <col min="14599" max="14599" width="11.7109375" style="77" customWidth="1"/>
    <col min="14600" max="14600" width="14.85546875" style="77" customWidth="1"/>
    <col min="14601" max="14601" width="13.42578125" style="77" bestFit="1" customWidth="1"/>
    <col min="14602" max="14602" width="14.85546875" style="77" customWidth="1"/>
    <col min="14603" max="14603" width="13.42578125" style="77" customWidth="1"/>
    <col min="14604" max="14604" width="14.85546875" style="77" customWidth="1"/>
    <col min="14605" max="14605" width="16.5703125" style="77" customWidth="1"/>
    <col min="14606" max="14606" width="10.5703125" style="77" customWidth="1"/>
    <col min="14607" max="14607" width="12.42578125" style="77" bestFit="1" customWidth="1"/>
    <col min="14608" max="14841" width="9.140625" style="77"/>
    <col min="14842" max="14843" width="10" style="77" customWidth="1"/>
    <col min="14844" max="14844" width="9.140625" style="77"/>
    <col min="14845" max="14845" width="24" style="77" customWidth="1"/>
    <col min="14846" max="14846" width="12.85546875" style="77" customWidth="1"/>
    <col min="14847" max="14848" width="13.140625" style="77" customWidth="1"/>
    <col min="14849" max="14849" width="9.140625" style="77"/>
    <col min="14850" max="14850" width="12.85546875" style="77" customWidth="1"/>
    <col min="14851" max="14851" width="9.140625" style="77"/>
    <col min="14852" max="14852" width="11.5703125" style="77" customWidth="1"/>
    <col min="14853" max="14854" width="13.140625" style="77" customWidth="1"/>
    <col min="14855" max="14855" width="11.7109375" style="77" customWidth="1"/>
    <col min="14856" max="14856" width="14.85546875" style="77" customWidth="1"/>
    <col min="14857" max="14857" width="13.42578125" style="77" bestFit="1" customWidth="1"/>
    <col min="14858" max="14858" width="14.85546875" style="77" customWidth="1"/>
    <col min="14859" max="14859" width="13.42578125" style="77" customWidth="1"/>
    <col min="14860" max="14860" width="14.85546875" style="77" customWidth="1"/>
    <col min="14861" max="14861" width="16.5703125" style="77" customWidth="1"/>
    <col min="14862" max="14862" width="10.5703125" style="77" customWidth="1"/>
    <col min="14863" max="14863" width="12.42578125" style="77" bestFit="1" customWidth="1"/>
    <col min="14864" max="15097" width="9.140625" style="77"/>
    <col min="15098" max="15099" width="10" style="77" customWidth="1"/>
    <col min="15100" max="15100" width="9.140625" style="77"/>
    <col min="15101" max="15101" width="24" style="77" customWidth="1"/>
    <col min="15102" max="15102" width="12.85546875" style="77" customWidth="1"/>
    <col min="15103" max="15104" width="13.140625" style="77" customWidth="1"/>
    <col min="15105" max="15105" width="9.140625" style="77"/>
    <col min="15106" max="15106" width="12.85546875" style="77" customWidth="1"/>
    <col min="15107" max="15107" width="9.140625" style="77"/>
    <col min="15108" max="15108" width="11.5703125" style="77" customWidth="1"/>
    <col min="15109" max="15110" width="13.140625" style="77" customWidth="1"/>
    <col min="15111" max="15111" width="11.7109375" style="77" customWidth="1"/>
    <col min="15112" max="15112" width="14.85546875" style="77" customWidth="1"/>
    <col min="15113" max="15113" width="13.42578125" style="77" bestFit="1" customWidth="1"/>
    <col min="15114" max="15114" width="14.85546875" style="77" customWidth="1"/>
    <col min="15115" max="15115" width="13.42578125" style="77" customWidth="1"/>
    <col min="15116" max="15116" width="14.85546875" style="77" customWidth="1"/>
    <col min="15117" max="15117" width="16.5703125" style="77" customWidth="1"/>
    <col min="15118" max="15118" width="10.5703125" style="77" customWidth="1"/>
    <col min="15119" max="15119" width="12.42578125" style="77" bestFit="1" customWidth="1"/>
    <col min="15120" max="15353" width="9.140625" style="77"/>
    <col min="15354" max="15355" width="10" style="77" customWidth="1"/>
    <col min="15356" max="15356" width="9.140625" style="77"/>
    <col min="15357" max="15357" width="24" style="77" customWidth="1"/>
    <col min="15358" max="15358" width="12.85546875" style="77" customWidth="1"/>
    <col min="15359" max="15360" width="13.140625" style="77" customWidth="1"/>
    <col min="15361" max="15361" width="9.140625" style="77"/>
    <col min="15362" max="15362" width="12.85546875" style="77" customWidth="1"/>
    <col min="15363" max="15363" width="9.140625" style="77"/>
    <col min="15364" max="15364" width="11.5703125" style="77" customWidth="1"/>
    <col min="15365" max="15366" width="13.140625" style="77" customWidth="1"/>
    <col min="15367" max="15367" width="11.7109375" style="77" customWidth="1"/>
    <col min="15368" max="15368" width="14.85546875" style="77" customWidth="1"/>
    <col min="15369" max="15369" width="13.42578125" style="77" bestFit="1" customWidth="1"/>
    <col min="15370" max="15370" width="14.85546875" style="77" customWidth="1"/>
    <col min="15371" max="15371" width="13.42578125" style="77" customWidth="1"/>
    <col min="15372" max="15372" width="14.85546875" style="77" customWidth="1"/>
    <col min="15373" max="15373" width="16.5703125" style="77" customWidth="1"/>
    <col min="15374" max="15374" width="10.5703125" style="77" customWidth="1"/>
    <col min="15375" max="15375" width="12.42578125" style="77" bestFit="1" customWidth="1"/>
    <col min="15376" max="15609" width="9.140625" style="77"/>
    <col min="15610" max="15611" width="10" style="77" customWidth="1"/>
    <col min="15612" max="15612" width="9.140625" style="77"/>
    <col min="15613" max="15613" width="24" style="77" customWidth="1"/>
    <col min="15614" max="15614" width="12.85546875" style="77" customWidth="1"/>
    <col min="15615" max="15616" width="13.140625" style="77" customWidth="1"/>
    <col min="15617" max="15617" width="9.140625" style="77"/>
    <col min="15618" max="15618" width="12.85546875" style="77" customWidth="1"/>
    <col min="15619" max="15619" width="9.140625" style="77"/>
    <col min="15620" max="15620" width="11.5703125" style="77" customWidth="1"/>
    <col min="15621" max="15622" width="13.140625" style="77" customWidth="1"/>
    <col min="15623" max="15623" width="11.7109375" style="77" customWidth="1"/>
    <col min="15624" max="15624" width="14.85546875" style="77" customWidth="1"/>
    <col min="15625" max="15625" width="13.42578125" style="77" bestFit="1" customWidth="1"/>
    <col min="15626" max="15626" width="14.85546875" style="77" customWidth="1"/>
    <col min="15627" max="15627" width="13.42578125" style="77" customWidth="1"/>
    <col min="15628" max="15628" width="14.85546875" style="77" customWidth="1"/>
    <col min="15629" max="15629" width="16.5703125" style="77" customWidth="1"/>
    <col min="15630" max="15630" width="10.5703125" style="77" customWidth="1"/>
    <col min="15631" max="15631" width="12.42578125" style="77" bestFit="1" customWidth="1"/>
    <col min="15632" max="15865" width="9.140625" style="77"/>
    <col min="15866" max="15867" width="10" style="77" customWidth="1"/>
    <col min="15868" max="15868" width="9.140625" style="77"/>
    <col min="15869" max="15869" width="24" style="77" customWidth="1"/>
    <col min="15870" max="15870" width="12.85546875" style="77" customWidth="1"/>
    <col min="15871" max="15872" width="13.140625" style="77" customWidth="1"/>
    <col min="15873" max="15873" width="9.140625" style="77"/>
    <col min="15874" max="15874" width="12.85546875" style="77" customWidth="1"/>
    <col min="15875" max="15875" width="9.140625" style="77"/>
    <col min="15876" max="15876" width="11.5703125" style="77" customWidth="1"/>
    <col min="15877" max="15878" width="13.140625" style="77" customWidth="1"/>
    <col min="15879" max="15879" width="11.7109375" style="77" customWidth="1"/>
    <col min="15880" max="15880" width="14.85546875" style="77" customWidth="1"/>
    <col min="15881" max="15881" width="13.42578125" style="77" bestFit="1" customWidth="1"/>
    <col min="15882" max="15882" width="14.85546875" style="77" customWidth="1"/>
    <col min="15883" max="15883" width="13.42578125" style="77" customWidth="1"/>
    <col min="15884" max="15884" width="14.85546875" style="77" customWidth="1"/>
    <col min="15885" max="15885" width="16.5703125" style="77" customWidth="1"/>
    <col min="15886" max="15886" width="10.5703125" style="77" customWidth="1"/>
    <col min="15887" max="15887" width="12.42578125" style="77" bestFit="1" customWidth="1"/>
    <col min="15888" max="16121" width="9.140625" style="77"/>
    <col min="16122" max="16123" width="10" style="77" customWidth="1"/>
    <col min="16124" max="16124" width="9.140625" style="77"/>
    <col min="16125" max="16125" width="24" style="77" customWidth="1"/>
    <col min="16126" max="16126" width="12.85546875" style="77" customWidth="1"/>
    <col min="16127" max="16128" width="13.140625" style="77" customWidth="1"/>
    <col min="16129" max="16129" width="9.140625" style="77"/>
    <col min="16130" max="16130" width="12.85546875" style="77" customWidth="1"/>
    <col min="16131" max="16131" width="9.140625" style="77"/>
    <col min="16132" max="16132" width="11.5703125" style="77" customWidth="1"/>
    <col min="16133" max="16134" width="13.140625" style="77" customWidth="1"/>
    <col min="16135" max="16135" width="11.7109375" style="77" customWidth="1"/>
    <col min="16136" max="16136" width="14.85546875" style="77" customWidth="1"/>
    <col min="16137" max="16137" width="13.42578125" style="77" bestFit="1" customWidth="1"/>
    <col min="16138" max="16138" width="14.85546875" style="77" customWidth="1"/>
    <col min="16139" max="16139" width="13.42578125" style="77" customWidth="1"/>
    <col min="16140" max="16140" width="14.85546875" style="77" customWidth="1"/>
    <col min="16141" max="16141" width="16.5703125" style="77" customWidth="1"/>
    <col min="16142" max="16142" width="10.5703125" style="77" customWidth="1"/>
    <col min="16143" max="16143" width="12.42578125" style="77" bestFit="1" customWidth="1"/>
    <col min="16144" max="16384" width="9.140625" style="77"/>
  </cols>
  <sheetData>
    <row r="1" spans="1:22" x14ac:dyDescent="0.2">
      <c r="A1" s="75" t="s">
        <v>102</v>
      </c>
      <c r="B1" s="76"/>
    </row>
    <row r="2" spans="1:22" x14ac:dyDescent="0.2">
      <c r="A2" s="76" t="s">
        <v>126</v>
      </c>
      <c r="B2" s="76"/>
      <c r="J2" s="97" t="s">
        <v>103</v>
      </c>
      <c r="M2" s="371" t="s">
        <v>104</v>
      </c>
    </row>
    <row r="3" spans="1:22" x14ac:dyDescent="0.2">
      <c r="A3" s="76" t="s">
        <v>157</v>
      </c>
      <c r="B3" s="76"/>
      <c r="J3" s="97"/>
    </row>
    <row r="4" spans="1:22" x14ac:dyDescent="0.2">
      <c r="A4" s="192" t="s">
        <v>113</v>
      </c>
      <c r="B4" s="371" t="s">
        <v>158</v>
      </c>
      <c r="J4" s="192" t="s">
        <v>92</v>
      </c>
      <c r="M4" s="371" t="s">
        <v>161</v>
      </c>
    </row>
    <row r="5" spans="1:22" x14ac:dyDescent="0.2">
      <c r="A5" s="76"/>
      <c r="B5" s="76"/>
    </row>
    <row r="6" spans="1:22" x14ac:dyDescent="0.2">
      <c r="A6" s="76" t="s">
        <v>1</v>
      </c>
      <c r="B6" s="188">
        <v>2012</v>
      </c>
    </row>
    <row r="7" spans="1:22" x14ac:dyDescent="0.2">
      <c r="R7" s="77" t="s">
        <v>308</v>
      </c>
    </row>
    <row r="8" spans="1:22" s="93" customFormat="1" ht="38.25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O8" s="83"/>
      <c r="P8" s="83">
        <v>40</v>
      </c>
      <c r="Q8" s="83"/>
      <c r="R8" s="83">
        <v>-600402</v>
      </c>
      <c r="S8" s="413">
        <f>+R8+M17</f>
        <v>901637.3628</v>
      </c>
      <c r="T8" s="83"/>
      <c r="U8" s="83"/>
      <c r="V8" s="83"/>
    </row>
    <row r="9" spans="1:22" x14ac:dyDescent="0.2">
      <c r="A9" s="203" t="s">
        <v>160</v>
      </c>
      <c r="B9" s="205">
        <v>38717</v>
      </c>
      <c r="C9" s="206">
        <v>2005</v>
      </c>
      <c r="D9" s="206">
        <v>25</v>
      </c>
      <c r="E9" s="206">
        <f t="shared" ref="E9:E14" si="0">+C9+D9-1</f>
        <v>2029</v>
      </c>
      <c r="F9" s="207">
        <f t="shared" ref="F9:F14" si="1">IF(D9&gt;0,1/D9,0)</f>
        <v>0.04</v>
      </c>
      <c r="G9" s="222">
        <v>147820.54999999999</v>
      </c>
      <c r="H9" s="209">
        <f t="shared" ref="H9:H15" si="2">IF(+G9&gt;0,IF(+$B$6-C9+1&gt;D9,D9,+$B$6-C9+1),0)</f>
        <v>8</v>
      </c>
      <c r="I9" s="209">
        <f t="shared" ref="I9:I15" si="3">IF(E9&gt;=$B$6,+D9-H9,0)</f>
        <v>17</v>
      </c>
      <c r="J9" s="222">
        <f t="shared" ref="J9:J15" si="4">+G9*F9</f>
        <v>5912.8219999999992</v>
      </c>
      <c r="K9" s="222">
        <f t="shared" ref="K9:K15" si="5">IF(E9&gt;=$B$6,+J9,0)</f>
        <v>5912.8219999999992</v>
      </c>
      <c r="L9" s="222">
        <f t="shared" ref="L9:L14" si="6">+J9*H9</f>
        <v>47302.575999999994</v>
      </c>
      <c r="M9" s="222">
        <f t="shared" ref="M9:M15" si="7">+G9-L9</f>
        <v>100517.97399999999</v>
      </c>
      <c r="N9" s="206"/>
      <c r="O9" s="397">
        <f>+M9/$M$17</f>
        <v>6.6920998536696932E-2</v>
      </c>
      <c r="P9" s="88">
        <f>+$P$8-H9</f>
        <v>32</v>
      </c>
      <c r="Q9" s="77">
        <f>+O9*P9</f>
        <v>2.1414719531743018</v>
      </c>
      <c r="R9" s="395">
        <f t="shared" ref="R9:R15" si="8">+O9*S$8</f>
        <v>60338.472636570084</v>
      </c>
    </row>
    <row r="10" spans="1:22" x14ac:dyDescent="0.2">
      <c r="A10" s="203" t="s">
        <v>160</v>
      </c>
      <c r="B10" s="205">
        <v>39082</v>
      </c>
      <c r="C10" s="206">
        <v>2006</v>
      </c>
      <c r="D10" s="206">
        <v>25</v>
      </c>
      <c r="E10" s="206">
        <f t="shared" si="0"/>
        <v>2030</v>
      </c>
      <c r="F10" s="207">
        <f t="shared" si="1"/>
        <v>0.04</v>
      </c>
      <c r="G10" s="220">
        <v>283858.71999999997</v>
      </c>
      <c r="H10" s="209">
        <f t="shared" si="2"/>
        <v>7</v>
      </c>
      <c r="I10" s="209">
        <f t="shared" si="3"/>
        <v>18</v>
      </c>
      <c r="J10" s="220">
        <f t="shared" si="4"/>
        <v>11354.3488</v>
      </c>
      <c r="K10" s="220">
        <f t="shared" si="5"/>
        <v>11354.3488</v>
      </c>
      <c r="L10" s="220">
        <f t="shared" si="6"/>
        <v>79480.441599999991</v>
      </c>
      <c r="M10" s="220">
        <f t="shared" si="7"/>
        <v>204378.27839999998</v>
      </c>
      <c r="N10" s="206"/>
      <c r="O10" s="397">
        <f t="shared" ref="O10:O15" si="9">+M10/$M$17</f>
        <v>0.13606719202019568</v>
      </c>
      <c r="P10" s="88">
        <f t="shared" ref="P10:P15" si="10">+$P$8-H10</f>
        <v>33</v>
      </c>
      <c r="Q10" s="77">
        <f t="shared" ref="Q10:Q15" si="11">+O10*P10</f>
        <v>4.4902173366664577</v>
      </c>
      <c r="R10" s="395">
        <f t="shared" si="8"/>
        <v>122683.26417669044</v>
      </c>
    </row>
    <row r="11" spans="1:22" x14ac:dyDescent="0.2">
      <c r="A11" s="203" t="s">
        <v>160</v>
      </c>
      <c r="B11" s="205">
        <v>39447</v>
      </c>
      <c r="C11" s="206">
        <v>2007</v>
      </c>
      <c r="D11" s="206">
        <v>25</v>
      </c>
      <c r="E11" s="206">
        <f t="shared" si="0"/>
        <v>2031</v>
      </c>
      <c r="F11" s="207">
        <f t="shared" si="1"/>
        <v>0.04</v>
      </c>
      <c r="G11" s="220">
        <f>34376.42+9521.55+59024.68+38057.56+20113.31+3569.36+3282.12+25891.36-72.7+6668.58+37133.76+125044.63</f>
        <v>362610.63</v>
      </c>
      <c r="H11" s="209">
        <f t="shared" si="2"/>
        <v>6</v>
      </c>
      <c r="I11" s="209">
        <f t="shared" si="3"/>
        <v>19</v>
      </c>
      <c r="J11" s="220">
        <f t="shared" si="4"/>
        <v>14504.4252</v>
      </c>
      <c r="K11" s="220">
        <f t="shared" si="5"/>
        <v>14504.4252</v>
      </c>
      <c r="L11" s="220">
        <f t="shared" si="6"/>
        <v>87026.551200000002</v>
      </c>
      <c r="M11" s="220">
        <f t="shared" si="7"/>
        <v>275584.07880000002</v>
      </c>
      <c r="N11" s="206"/>
      <c r="O11" s="397">
        <f t="shared" si="9"/>
        <v>0.18347327348750359</v>
      </c>
      <c r="P11" s="88">
        <f t="shared" si="10"/>
        <v>34</v>
      </c>
      <c r="Q11" s="77">
        <f t="shared" si="11"/>
        <v>6.2380912985751218</v>
      </c>
      <c r="R11" s="395">
        <f t="shared" si="8"/>
        <v>165426.35845155589</v>
      </c>
    </row>
    <row r="12" spans="1:22" x14ac:dyDescent="0.2">
      <c r="A12" s="203" t="s">
        <v>160</v>
      </c>
      <c r="B12" s="205">
        <v>39813</v>
      </c>
      <c r="C12" s="206">
        <v>2008</v>
      </c>
      <c r="D12" s="206">
        <v>25</v>
      </c>
      <c r="E12" s="206">
        <f t="shared" si="0"/>
        <v>2032</v>
      </c>
      <c r="F12" s="207">
        <f t="shared" si="1"/>
        <v>0.04</v>
      </c>
      <c r="G12" s="221">
        <f>438.37+108826.45-29304.69+77840.18+108611.91+10556.97+35551.46+9274.72+1437.25+3355.29+19143.73</f>
        <v>345731.6399999999</v>
      </c>
      <c r="H12" s="209">
        <f t="shared" si="2"/>
        <v>5</v>
      </c>
      <c r="I12" s="209">
        <f t="shared" si="3"/>
        <v>20</v>
      </c>
      <c r="J12" s="220">
        <f t="shared" si="4"/>
        <v>13829.265599999997</v>
      </c>
      <c r="K12" s="220">
        <f t="shared" si="5"/>
        <v>13829.265599999997</v>
      </c>
      <c r="L12" s="220">
        <f t="shared" si="6"/>
        <v>69146.32799999998</v>
      </c>
      <c r="M12" s="220">
        <f t="shared" si="7"/>
        <v>276585.31199999992</v>
      </c>
      <c r="N12" s="206"/>
      <c r="O12" s="397">
        <f t="shared" si="9"/>
        <v>0.18413985601842572</v>
      </c>
      <c r="P12" s="88">
        <f t="shared" si="10"/>
        <v>35</v>
      </c>
      <c r="Q12" s="77">
        <f t="shared" si="11"/>
        <v>6.4448949606449002</v>
      </c>
      <c r="R12" s="395">
        <f t="shared" si="8"/>
        <v>166027.37416682509</v>
      </c>
    </row>
    <row r="13" spans="1:22" x14ac:dyDescent="0.2">
      <c r="A13" s="203" t="s">
        <v>160</v>
      </c>
      <c r="B13" s="205">
        <v>40178</v>
      </c>
      <c r="C13" s="206">
        <v>2009</v>
      </c>
      <c r="D13" s="206">
        <v>25</v>
      </c>
      <c r="E13" s="206">
        <f t="shared" si="0"/>
        <v>2033</v>
      </c>
      <c r="F13" s="207">
        <f t="shared" si="1"/>
        <v>0.04</v>
      </c>
      <c r="G13" s="221">
        <f>36015.01+4125.41+6276.52-4125.41+55853.04+315.52+36192.41+1810.16+35419.46+5397.65+21915.09+1593.56</f>
        <v>200788.41999999998</v>
      </c>
      <c r="H13" s="209">
        <f t="shared" si="2"/>
        <v>4</v>
      </c>
      <c r="I13" s="209">
        <f t="shared" si="3"/>
        <v>21</v>
      </c>
      <c r="J13" s="220">
        <f t="shared" si="4"/>
        <v>8031.5367999999999</v>
      </c>
      <c r="K13" s="220">
        <f t="shared" si="5"/>
        <v>8031.5367999999999</v>
      </c>
      <c r="L13" s="220">
        <f t="shared" si="6"/>
        <v>32126.147199999999</v>
      </c>
      <c r="M13" s="220">
        <f t="shared" si="7"/>
        <v>168662.27279999998</v>
      </c>
      <c r="N13" s="206"/>
      <c r="O13" s="397">
        <f t="shared" si="9"/>
        <v>0.11228885006421616</v>
      </c>
      <c r="P13" s="88">
        <f t="shared" si="10"/>
        <v>36</v>
      </c>
      <c r="Q13" s="77">
        <f t="shared" si="11"/>
        <v>4.0423986023117813</v>
      </c>
      <c r="R13" s="395">
        <f t="shared" si="8"/>
        <v>101243.82264374447</v>
      </c>
    </row>
    <row r="14" spans="1:22" x14ac:dyDescent="0.2">
      <c r="A14" s="203" t="s">
        <v>160</v>
      </c>
      <c r="B14" s="205">
        <v>40543</v>
      </c>
      <c r="C14" s="206">
        <v>2010</v>
      </c>
      <c r="D14" s="206">
        <v>25</v>
      </c>
      <c r="E14" s="206">
        <f t="shared" si="0"/>
        <v>2034</v>
      </c>
      <c r="F14" s="207">
        <f t="shared" si="1"/>
        <v>0.04</v>
      </c>
      <c r="G14" s="221">
        <f>30996.92+3126.11+155.15+33153.48+6160.41+15557.95+252.97+1182.12+6393.57+1972.41+13691.42</f>
        <v>112642.51</v>
      </c>
      <c r="H14" s="209">
        <f t="shared" si="2"/>
        <v>3</v>
      </c>
      <c r="I14" s="209">
        <f t="shared" si="3"/>
        <v>22</v>
      </c>
      <c r="J14" s="220">
        <f t="shared" si="4"/>
        <v>4505.7003999999997</v>
      </c>
      <c r="K14" s="220">
        <f t="shared" si="5"/>
        <v>4505.7003999999997</v>
      </c>
      <c r="L14" s="220">
        <f t="shared" si="6"/>
        <v>13517.101199999999</v>
      </c>
      <c r="M14" s="220">
        <f t="shared" si="7"/>
        <v>99125.40879999999</v>
      </c>
      <c r="N14" s="206"/>
      <c r="O14" s="397">
        <f t="shared" si="9"/>
        <v>6.5993882221047198E-2</v>
      </c>
      <c r="P14" s="88">
        <f t="shared" si="10"/>
        <v>37</v>
      </c>
      <c r="Q14" s="77">
        <f t="shared" si="11"/>
        <v>2.4417736421787462</v>
      </c>
      <c r="R14" s="395">
        <f t="shared" si="8"/>
        <v>59502.549926718806</v>
      </c>
    </row>
    <row r="15" spans="1:22" x14ac:dyDescent="0.2">
      <c r="A15" s="203" t="s">
        <v>160</v>
      </c>
      <c r="B15" s="205">
        <v>40908</v>
      </c>
      <c r="C15" s="206">
        <v>2011</v>
      </c>
      <c r="D15" s="206">
        <v>25</v>
      </c>
      <c r="E15" s="206">
        <f>+C15+D15-1</f>
        <v>2035</v>
      </c>
      <c r="F15" s="207">
        <f>IF(D15&gt;0,1/D15,0)</f>
        <v>0.04</v>
      </c>
      <c r="G15" s="221">
        <f>3974.37+5592.3+18511.54+37973.43+1215.49+13676.34+1666.56+71116.62</f>
        <v>153726.65</v>
      </c>
      <c r="H15" s="176">
        <f t="shared" si="2"/>
        <v>2</v>
      </c>
      <c r="I15" s="209">
        <f t="shared" si="3"/>
        <v>23</v>
      </c>
      <c r="J15" s="221">
        <f t="shared" si="4"/>
        <v>6149.0659999999998</v>
      </c>
      <c r="K15" s="221">
        <f t="shared" si="5"/>
        <v>6149.0659999999998</v>
      </c>
      <c r="L15" s="221">
        <f>+J15*H15</f>
        <v>12298.132</v>
      </c>
      <c r="M15" s="220">
        <f t="shared" si="7"/>
        <v>141428.51799999998</v>
      </c>
      <c r="N15" s="206"/>
      <c r="O15" s="397">
        <f t="shared" si="9"/>
        <v>9.4157664241474023E-2</v>
      </c>
      <c r="P15" s="88">
        <f t="shared" si="10"/>
        <v>38</v>
      </c>
      <c r="Q15" s="77">
        <f t="shared" si="11"/>
        <v>3.5779912411760129</v>
      </c>
      <c r="R15" s="395">
        <f t="shared" si="8"/>
        <v>84896.068074090508</v>
      </c>
    </row>
    <row r="16" spans="1:22" x14ac:dyDescent="0.2">
      <c r="A16" s="203"/>
      <c r="B16" s="205">
        <v>41274</v>
      </c>
      <c r="C16" s="206">
        <v>2012</v>
      </c>
      <c r="D16" s="206">
        <v>25</v>
      </c>
      <c r="E16" s="206">
        <f>+C16+D16-1</f>
        <v>2036</v>
      </c>
      <c r="F16" s="207">
        <f>IF(D16&gt;0,1/D16,0)</f>
        <v>0.04</v>
      </c>
      <c r="G16" s="221">
        <v>245580.75</v>
      </c>
      <c r="H16" s="176">
        <f t="shared" ref="H16" si="12">IF(+G16&gt;0,IF(+$B$6-C16+1&gt;D16,D16,+$B$6-C16+1),0)</f>
        <v>1</v>
      </c>
      <c r="I16" s="209">
        <f t="shared" ref="I16" si="13">IF(E16&gt;=$B$6,+D16-H16,0)</f>
        <v>24</v>
      </c>
      <c r="J16" s="221">
        <f t="shared" ref="J16" si="14">+G16*F16</f>
        <v>9823.23</v>
      </c>
      <c r="K16" s="221">
        <f t="shared" ref="K16" si="15">IF(E16&gt;=$B$6,+J16,0)</f>
        <v>9823.23</v>
      </c>
      <c r="L16" s="221">
        <f>+J16*H16</f>
        <v>9823.23</v>
      </c>
      <c r="M16" s="220">
        <f t="shared" ref="M16" si="16">+G16-L16</f>
        <v>235757.52</v>
      </c>
      <c r="N16" s="206"/>
    </row>
    <row r="17" spans="1:18" x14ac:dyDescent="0.2">
      <c r="A17" s="148" t="s">
        <v>100</v>
      </c>
      <c r="B17" s="205"/>
      <c r="C17" s="206"/>
      <c r="D17" s="206"/>
      <c r="E17" s="206"/>
      <c r="F17" s="207"/>
      <c r="G17" s="223">
        <f>SUM(G9:G16)</f>
        <v>1852759.8699999996</v>
      </c>
      <c r="H17" s="241"/>
      <c r="I17" s="261"/>
      <c r="J17" s="261"/>
      <c r="K17" s="230">
        <f>SUM(K9:K16)</f>
        <v>74110.394799999995</v>
      </c>
      <c r="L17" s="223">
        <f>SUM(L9:L16)</f>
        <v>350720.50719999993</v>
      </c>
      <c r="M17" s="242">
        <f>SUM(M9:M16)</f>
        <v>1502039.3628</v>
      </c>
      <c r="N17" s="206"/>
      <c r="O17" s="86"/>
    </row>
    <row r="18" spans="1:18" x14ac:dyDescent="0.2">
      <c r="A18" s="81"/>
      <c r="B18" s="127"/>
      <c r="F18" s="84"/>
      <c r="G18" s="252"/>
      <c r="H18" s="251"/>
      <c r="I18" s="252"/>
      <c r="J18" s="252"/>
      <c r="K18" s="259"/>
      <c r="L18" s="252"/>
      <c r="M18" s="252"/>
      <c r="Q18" s="77">
        <f>SUM(Q9:Q17)</f>
        <v>29.376839034727318</v>
      </c>
      <c r="R18" s="395">
        <f>SUM(R9:R17)</f>
        <v>760117.91007619537</v>
      </c>
    </row>
    <row r="19" spans="1:18" x14ac:dyDescent="0.2">
      <c r="F19" s="100"/>
      <c r="G19" s="250"/>
      <c r="H19" s="258"/>
      <c r="I19" s="250"/>
      <c r="J19" s="250"/>
      <c r="K19" s="250"/>
      <c r="L19" s="250">
        <v>276610.11</v>
      </c>
      <c r="M19" s="252"/>
    </row>
    <row r="20" spans="1:18" x14ac:dyDescent="0.2">
      <c r="F20" s="247"/>
      <c r="G20" s="250"/>
      <c r="H20" s="258"/>
      <c r="I20" s="250"/>
      <c r="J20" s="250"/>
      <c r="K20" s="250"/>
      <c r="L20" s="250"/>
      <c r="M20" s="252"/>
    </row>
    <row r="21" spans="1:18" x14ac:dyDescent="0.2">
      <c r="F21" s="247"/>
      <c r="G21" s="250"/>
      <c r="H21" s="258"/>
      <c r="I21" s="250"/>
      <c r="J21" s="250"/>
      <c r="K21" s="250"/>
      <c r="L21" s="374">
        <f>+L17-L19</f>
        <v>74110.397199999948</v>
      </c>
      <c r="M21" s="252"/>
    </row>
    <row r="22" spans="1:18" x14ac:dyDescent="0.2">
      <c r="G22" s="252"/>
      <c r="H22" s="251"/>
      <c r="I22" s="252"/>
      <c r="J22" s="252"/>
      <c r="K22" s="252"/>
      <c r="L22" s="252"/>
      <c r="M22" s="252"/>
    </row>
    <row r="25" spans="1:18" x14ac:dyDescent="0.2">
      <c r="F25" s="378"/>
      <c r="G25" s="112"/>
      <c r="H25" s="111"/>
      <c r="I25" s="112"/>
    </row>
  </sheetData>
  <printOptions horizontalCentered="1"/>
  <pageMargins left="0.39370078740157483" right="0.39370078740157483" top="0.39370078740157483" bottom="0.78740157480314965" header="0" footer="0.59055118110236227"/>
  <pageSetup scale="56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topLeftCell="A27" workbookViewId="0">
      <selection activeCell="E46" sqref="E46:G49"/>
    </sheetView>
  </sheetViews>
  <sheetFormatPr defaultColWidth="9.140625" defaultRowHeight="12.75" x14ac:dyDescent="0.2"/>
  <cols>
    <col min="1" max="1" width="20.140625" style="77" customWidth="1"/>
    <col min="2" max="2" width="10.42578125" style="79" customWidth="1"/>
    <col min="3" max="3" width="9" style="79" bestFit="1" customWidth="1"/>
    <col min="4" max="4" width="6.28515625" style="79" customWidth="1"/>
    <col min="5" max="5" width="10.140625" style="79" bestFit="1" customWidth="1"/>
    <col min="6" max="6" width="6.5703125" style="79" customWidth="1"/>
    <col min="7" max="7" width="13.42578125" style="77" customWidth="1"/>
    <col min="8" max="8" width="8.7109375" style="79" customWidth="1"/>
    <col min="9" max="9" width="7.42578125" style="77" customWidth="1"/>
    <col min="10" max="10" width="11.140625" style="77" customWidth="1"/>
    <col min="11" max="11" width="12" style="77" bestFit="1" customWidth="1"/>
    <col min="12" max="12" width="13.5703125" style="77" bestFit="1" customWidth="1"/>
    <col min="13" max="13" width="13" style="77" customWidth="1"/>
    <col min="14" max="14" width="8.5703125" style="79" bestFit="1" customWidth="1"/>
    <col min="15" max="15" width="12.42578125" style="77" bestFit="1" customWidth="1"/>
    <col min="16" max="17" width="9.140625" style="77"/>
    <col min="18" max="18" width="13.5703125" style="77" bestFit="1" customWidth="1"/>
    <col min="19" max="249" width="9.140625" style="77"/>
    <col min="250" max="251" width="10" style="77" customWidth="1"/>
    <col min="252" max="252" width="9.140625" style="77"/>
    <col min="253" max="253" width="24" style="77" customWidth="1"/>
    <col min="254" max="254" width="12.85546875" style="77" customWidth="1"/>
    <col min="255" max="256" width="13.140625" style="77" customWidth="1"/>
    <col min="257" max="257" width="9.140625" style="77"/>
    <col min="258" max="258" width="12.85546875" style="77" customWidth="1"/>
    <col min="259" max="259" width="9.140625" style="77"/>
    <col min="260" max="260" width="11.5703125" style="77" customWidth="1"/>
    <col min="261" max="262" width="13.140625" style="77" customWidth="1"/>
    <col min="263" max="263" width="11.7109375" style="77" customWidth="1"/>
    <col min="264" max="264" width="14.85546875" style="77" customWidth="1"/>
    <col min="265" max="265" width="13.42578125" style="77" bestFit="1" customWidth="1"/>
    <col min="266" max="266" width="14.85546875" style="77" customWidth="1"/>
    <col min="267" max="267" width="13.42578125" style="77" customWidth="1"/>
    <col min="268" max="268" width="14.85546875" style="77" customWidth="1"/>
    <col min="269" max="269" width="16.5703125" style="77" customWidth="1"/>
    <col min="270" max="270" width="10.5703125" style="77" customWidth="1"/>
    <col min="271" max="271" width="12.42578125" style="77" bestFit="1" customWidth="1"/>
    <col min="272" max="505" width="9.140625" style="77"/>
    <col min="506" max="507" width="10" style="77" customWidth="1"/>
    <col min="508" max="508" width="9.140625" style="77"/>
    <col min="509" max="509" width="24" style="77" customWidth="1"/>
    <col min="510" max="510" width="12.85546875" style="77" customWidth="1"/>
    <col min="511" max="512" width="13.140625" style="77" customWidth="1"/>
    <col min="513" max="513" width="9.140625" style="77"/>
    <col min="514" max="514" width="12.85546875" style="77" customWidth="1"/>
    <col min="515" max="515" width="9.140625" style="77"/>
    <col min="516" max="516" width="11.5703125" style="77" customWidth="1"/>
    <col min="517" max="518" width="13.140625" style="77" customWidth="1"/>
    <col min="519" max="519" width="11.7109375" style="77" customWidth="1"/>
    <col min="520" max="520" width="14.85546875" style="77" customWidth="1"/>
    <col min="521" max="521" width="13.42578125" style="77" bestFit="1" customWidth="1"/>
    <col min="522" max="522" width="14.85546875" style="77" customWidth="1"/>
    <col min="523" max="523" width="13.42578125" style="77" customWidth="1"/>
    <col min="524" max="524" width="14.85546875" style="77" customWidth="1"/>
    <col min="525" max="525" width="16.5703125" style="77" customWidth="1"/>
    <col min="526" max="526" width="10.5703125" style="77" customWidth="1"/>
    <col min="527" max="527" width="12.42578125" style="77" bestFit="1" customWidth="1"/>
    <col min="528" max="761" width="9.140625" style="77"/>
    <col min="762" max="763" width="10" style="77" customWidth="1"/>
    <col min="764" max="764" width="9.140625" style="77"/>
    <col min="765" max="765" width="24" style="77" customWidth="1"/>
    <col min="766" max="766" width="12.85546875" style="77" customWidth="1"/>
    <col min="767" max="768" width="13.140625" style="77" customWidth="1"/>
    <col min="769" max="769" width="9.140625" style="77"/>
    <col min="770" max="770" width="12.85546875" style="77" customWidth="1"/>
    <col min="771" max="771" width="9.140625" style="77"/>
    <col min="772" max="772" width="11.5703125" style="77" customWidth="1"/>
    <col min="773" max="774" width="13.140625" style="77" customWidth="1"/>
    <col min="775" max="775" width="11.7109375" style="77" customWidth="1"/>
    <col min="776" max="776" width="14.85546875" style="77" customWidth="1"/>
    <col min="777" max="777" width="13.42578125" style="77" bestFit="1" customWidth="1"/>
    <col min="778" max="778" width="14.85546875" style="77" customWidth="1"/>
    <col min="779" max="779" width="13.42578125" style="77" customWidth="1"/>
    <col min="780" max="780" width="14.85546875" style="77" customWidth="1"/>
    <col min="781" max="781" width="16.5703125" style="77" customWidth="1"/>
    <col min="782" max="782" width="10.5703125" style="77" customWidth="1"/>
    <col min="783" max="783" width="12.42578125" style="77" bestFit="1" customWidth="1"/>
    <col min="784" max="1017" width="9.140625" style="77"/>
    <col min="1018" max="1019" width="10" style="77" customWidth="1"/>
    <col min="1020" max="1020" width="9.140625" style="77"/>
    <col min="1021" max="1021" width="24" style="77" customWidth="1"/>
    <col min="1022" max="1022" width="12.85546875" style="77" customWidth="1"/>
    <col min="1023" max="1024" width="13.140625" style="77" customWidth="1"/>
    <col min="1025" max="1025" width="9.140625" style="77"/>
    <col min="1026" max="1026" width="12.85546875" style="77" customWidth="1"/>
    <col min="1027" max="1027" width="9.140625" style="77"/>
    <col min="1028" max="1028" width="11.5703125" style="77" customWidth="1"/>
    <col min="1029" max="1030" width="13.140625" style="77" customWidth="1"/>
    <col min="1031" max="1031" width="11.7109375" style="77" customWidth="1"/>
    <col min="1032" max="1032" width="14.85546875" style="77" customWidth="1"/>
    <col min="1033" max="1033" width="13.42578125" style="77" bestFit="1" customWidth="1"/>
    <col min="1034" max="1034" width="14.85546875" style="77" customWidth="1"/>
    <col min="1035" max="1035" width="13.42578125" style="77" customWidth="1"/>
    <col min="1036" max="1036" width="14.85546875" style="77" customWidth="1"/>
    <col min="1037" max="1037" width="16.5703125" style="77" customWidth="1"/>
    <col min="1038" max="1038" width="10.5703125" style="77" customWidth="1"/>
    <col min="1039" max="1039" width="12.42578125" style="77" bestFit="1" customWidth="1"/>
    <col min="1040" max="1273" width="9.140625" style="77"/>
    <col min="1274" max="1275" width="10" style="77" customWidth="1"/>
    <col min="1276" max="1276" width="9.140625" style="77"/>
    <col min="1277" max="1277" width="24" style="77" customWidth="1"/>
    <col min="1278" max="1278" width="12.85546875" style="77" customWidth="1"/>
    <col min="1279" max="1280" width="13.140625" style="77" customWidth="1"/>
    <col min="1281" max="1281" width="9.140625" style="77"/>
    <col min="1282" max="1282" width="12.85546875" style="77" customWidth="1"/>
    <col min="1283" max="1283" width="9.140625" style="77"/>
    <col min="1284" max="1284" width="11.5703125" style="77" customWidth="1"/>
    <col min="1285" max="1286" width="13.140625" style="77" customWidth="1"/>
    <col min="1287" max="1287" width="11.7109375" style="77" customWidth="1"/>
    <col min="1288" max="1288" width="14.85546875" style="77" customWidth="1"/>
    <col min="1289" max="1289" width="13.42578125" style="77" bestFit="1" customWidth="1"/>
    <col min="1290" max="1290" width="14.85546875" style="77" customWidth="1"/>
    <col min="1291" max="1291" width="13.42578125" style="77" customWidth="1"/>
    <col min="1292" max="1292" width="14.85546875" style="77" customWidth="1"/>
    <col min="1293" max="1293" width="16.5703125" style="77" customWidth="1"/>
    <col min="1294" max="1294" width="10.5703125" style="77" customWidth="1"/>
    <col min="1295" max="1295" width="12.42578125" style="77" bestFit="1" customWidth="1"/>
    <col min="1296" max="1529" width="9.140625" style="77"/>
    <col min="1530" max="1531" width="10" style="77" customWidth="1"/>
    <col min="1532" max="1532" width="9.140625" style="77"/>
    <col min="1533" max="1533" width="24" style="77" customWidth="1"/>
    <col min="1534" max="1534" width="12.85546875" style="77" customWidth="1"/>
    <col min="1535" max="1536" width="13.140625" style="77" customWidth="1"/>
    <col min="1537" max="1537" width="9.140625" style="77"/>
    <col min="1538" max="1538" width="12.85546875" style="77" customWidth="1"/>
    <col min="1539" max="1539" width="9.140625" style="77"/>
    <col min="1540" max="1540" width="11.5703125" style="77" customWidth="1"/>
    <col min="1541" max="1542" width="13.140625" style="77" customWidth="1"/>
    <col min="1543" max="1543" width="11.7109375" style="77" customWidth="1"/>
    <col min="1544" max="1544" width="14.85546875" style="77" customWidth="1"/>
    <col min="1545" max="1545" width="13.42578125" style="77" bestFit="1" customWidth="1"/>
    <col min="1546" max="1546" width="14.85546875" style="77" customWidth="1"/>
    <col min="1547" max="1547" width="13.42578125" style="77" customWidth="1"/>
    <col min="1548" max="1548" width="14.85546875" style="77" customWidth="1"/>
    <col min="1549" max="1549" width="16.5703125" style="77" customWidth="1"/>
    <col min="1550" max="1550" width="10.5703125" style="77" customWidth="1"/>
    <col min="1551" max="1551" width="12.42578125" style="77" bestFit="1" customWidth="1"/>
    <col min="1552" max="1785" width="9.140625" style="77"/>
    <col min="1786" max="1787" width="10" style="77" customWidth="1"/>
    <col min="1788" max="1788" width="9.140625" style="77"/>
    <col min="1789" max="1789" width="24" style="77" customWidth="1"/>
    <col min="1790" max="1790" width="12.85546875" style="77" customWidth="1"/>
    <col min="1791" max="1792" width="13.140625" style="77" customWidth="1"/>
    <col min="1793" max="1793" width="9.140625" style="77"/>
    <col min="1794" max="1794" width="12.85546875" style="77" customWidth="1"/>
    <col min="1795" max="1795" width="9.140625" style="77"/>
    <col min="1796" max="1796" width="11.5703125" style="77" customWidth="1"/>
    <col min="1797" max="1798" width="13.140625" style="77" customWidth="1"/>
    <col min="1799" max="1799" width="11.7109375" style="77" customWidth="1"/>
    <col min="1800" max="1800" width="14.85546875" style="77" customWidth="1"/>
    <col min="1801" max="1801" width="13.42578125" style="77" bestFit="1" customWidth="1"/>
    <col min="1802" max="1802" width="14.85546875" style="77" customWidth="1"/>
    <col min="1803" max="1803" width="13.42578125" style="77" customWidth="1"/>
    <col min="1804" max="1804" width="14.85546875" style="77" customWidth="1"/>
    <col min="1805" max="1805" width="16.5703125" style="77" customWidth="1"/>
    <col min="1806" max="1806" width="10.5703125" style="77" customWidth="1"/>
    <col min="1807" max="1807" width="12.42578125" style="77" bestFit="1" customWidth="1"/>
    <col min="1808" max="2041" width="9.140625" style="77"/>
    <col min="2042" max="2043" width="10" style="77" customWidth="1"/>
    <col min="2044" max="2044" width="9.140625" style="77"/>
    <col min="2045" max="2045" width="24" style="77" customWidth="1"/>
    <col min="2046" max="2046" width="12.85546875" style="77" customWidth="1"/>
    <col min="2047" max="2048" width="13.140625" style="77" customWidth="1"/>
    <col min="2049" max="2049" width="9.140625" style="77"/>
    <col min="2050" max="2050" width="12.85546875" style="77" customWidth="1"/>
    <col min="2051" max="2051" width="9.140625" style="77"/>
    <col min="2052" max="2052" width="11.5703125" style="77" customWidth="1"/>
    <col min="2053" max="2054" width="13.140625" style="77" customWidth="1"/>
    <col min="2055" max="2055" width="11.7109375" style="77" customWidth="1"/>
    <col min="2056" max="2056" width="14.85546875" style="77" customWidth="1"/>
    <col min="2057" max="2057" width="13.42578125" style="77" bestFit="1" customWidth="1"/>
    <col min="2058" max="2058" width="14.85546875" style="77" customWidth="1"/>
    <col min="2059" max="2059" width="13.42578125" style="77" customWidth="1"/>
    <col min="2060" max="2060" width="14.85546875" style="77" customWidth="1"/>
    <col min="2061" max="2061" width="16.5703125" style="77" customWidth="1"/>
    <col min="2062" max="2062" width="10.5703125" style="77" customWidth="1"/>
    <col min="2063" max="2063" width="12.42578125" style="77" bestFit="1" customWidth="1"/>
    <col min="2064" max="2297" width="9.140625" style="77"/>
    <col min="2298" max="2299" width="10" style="77" customWidth="1"/>
    <col min="2300" max="2300" width="9.140625" style="77"/>
    <col min="2301" max="2301" width="24" style="77" customWidth="1"/>
    <col min="2302" max="2302" width="12.85546875" style="77" customWidth="1"/>
    <col min="2303" max="2304" width="13.140625" style="77" customWidth="1"/>
    <col min="2305" max="2305" width="9.140625" style="77"/>
    <col min="2306" max="2306" width="12.85546875" style="77" customWidth="1"/>
    <col min="2307" max="2307" width="9.140625" style="77"/>
    <col min="2308" max="2308" width="11.5703125" style="77" customWidth="1"/>
    <col min="2309" max="2310" width="13.140625" style="77" customWidth="1"/>
    <col min="2311" max="2311" width="11.7109375" style="77" customWidth="1"/>
    <col min="2312" max="2312" width="14.85546875" style="77" customWidth="1"/>
    <col min="2313" max="2313" width="13.42578125" style="77" bestFit="1" customWidth="1"/>
    <col min="2314" max="2314" width="14.85546875" style="77" customWidth="1"/>
    <col min="2315" max="2315" width="13.42578125" style="77" customWidth="1"/>
    <col min="2316" max="2316" width="14.85546875" style="77" customWidth="1"/>
    <col min="2317" max="2317" width="16.5703125" style="77" customWidth="1"/>
    <col min="2318" max="2318" width="10.5703125" style="77" customWidth="1"/>
    <col min="2319" max="2319" width="12.42578125" style="77" bestFit="1" customWidth="1"/>
    <col min="2320" max="2553" width="9.140625" style="77"/>
    <col min="2554" max="2555" width="10" style="77" customWidth="1"/>
    <col min="2556" max="2556" width="9.140625" style="77"/>
    <col min="2557" max="2557" width="24" style="77" customWidth="1"/>
    <col min="2558" max="2558" width="12.85546875" style="77" customWidth="1"/>
    <col min="2559" max="2560" width="13.140625" style="77" customWidth="1"/>
    <col min="2561" max="2561" width="9.140625" style="77"/>
    <col min="2562" max="2562" width="12.85546875" style="77" customWidth="1"/>
    <col min="2563" max="2563" width="9.140625" style="77"/>
    <col min="2564" max="2564" width="11.5703125" style="77" customWidth="1"/>
    <col min="2565" max="2566" width="13.140625" style="77" customWidth="1"/>
    <col min="2567" max="2567" width="11.7109375" style="77" customWidth="1"/>
    <col min="2568" max="2568" width="14.85546875" style="77" customWidth="1"/>
    <col min="2569" max="2569" width="13.42578125" style="77" bestFit="1" customWidth="1"/>
    <col min="2570" max="2570" width="14.85546875" style="77" customWidth="1"/>
    <col min="2571" max="2571" width="13.42578125" style="77" customWidth="1"/>
    <col min="2572" max="2572" width="14.85546875" style="77" customWidth="1"/>
    <col min="2573" max="2573" width="16.5703125" style="77" customWidth="1"/>
    <col min="2574" max="2574" width="10.5703125" style="77" customWidth="1"/>
    <col min="2575" max="2575" width="12.42578125" style="77" bestFit="1" customWidth="1"/>
    <col min="2576" max="2809" width="9.140625" style="77"/>
    <col min="2810" max="2811" width="10" style="77" customWidth="1"/>
    <col min="2812" max="2812" width="9.140625" style="77"/>
    <col min="2813" max="2813" width="24" style="77" customWidth="1"/>
    <col min="2814" max="2814" width="12.85546875" style="77" customWidth="1"/>
    <col min="2815" max="2816" width="13.140625" style="77" customWidth="1"/>
    <col min="2817" max="2817" width="9.140625" style="77"/>
    <col min="2818" max="2818" width="12.85546875" style="77" customWidth="1"/>
    <col min="2819" max="2819" width="9.140625" style="77"/>
    <col min="2820" max="2820" width="11.5703125" style="77" customWidth="1"/>
    <col min="2821" max="2822" width="13.140625" style="77" customWidth="1"/>
    <col min="2823" max="2823" width="11.7109375" style="77" customWidth="1"/>
    <col min="2824" max="2824" width="14.85546875" style="77" customWidth="1"/>
    <col min="2825" max="2825" width="13.42578125" style="77" bestFit="1" customWidth="1"/>
    <col min="2826" max="2826" width="14.85546875" style="77" customWidth="1"/>
    <col min="2827" max="2827" width="13.42578125" style="77" customWidth="1"/>
    <col min="2828" max="2828" width="14.85546875" style="77" customWidth="1"/>
    <col min="2829" max="2829" width="16.5703125" style="77" customWidth="1"/>
    <col min="2830" max="2830" width="10.5703125" style="77" customWidth="1"/>
    <col min="2831" max="2831" width="12.42578125" style="77" bestFit="1" customWidth="1"/>
    <col min="2832" max="3065" width="9.140625" style="77"/>
    <col min="3066" max="3067" width="10" style="77" customWidth="1"/>
    <col min="3068" max="3068" width="9.140625" style="77"/>
    <col min="3069" max="3069" width="24" style="77" customWidth="1"/>
    <col min="3070" max="3070" width="12.85546875" style="77" customWidth="1"/>
    <col min="3071" max="3072" width="13.140625" style="77" customWidth="1"/>
    <col min="3073" max="3073" width="9.140625" style="77"/>
    <col min="3074" max="3074" width="12.85546875" style="77" customWidth="1"/>
    <col min="3075" max="3075" width="9.140625" style="77"/>
    <col min="3076" max="3076" width="11.5703125" style="77" customWidth="1"/>
    <col min="3077" max="3078" width="13.140625" style="77" customWidth="1"/>
    <col min="3079" max="3079" width="11.7109375" style="77" customWidth="1"/>
    <col min="3080" max="3080" width="14.85546875" style="77" customWidth="1"/>
    <col min="3081" max="3081" width="13.42578125" style="77" bestFit="1" customWidth="1"/>
    <col min="3082" max="3082" width="14.85546875" style="77" customWidth="1"/>
    <col min="3083" max="3083" width="13.42578125" style="77" customWidth="1"/>
    <col min="3084" max="3084" width="14.85546875" style="77" customWidth="1"/>
    <col min="3085" max="3085" width="16.5703125" style="77" customWidth="1"/>
    <col min="3086" max="3086" width="10.5703125" style="77" customWidth="1"/>
    <col min="3087" max="3087" width="12.42578125" style="77" bestFit="1" customWidth="1"/>
    <col min="3088" max="3321" width="9.140625" style="77"/>
    <col min="3322" max="3323" width="10" style="77" customWidth="1"/>
    <col min="3324" max="3324" width="9.140625" style="77"/>
    <col min="3325" max="3325" width="24" style="77" customWidth="1"/>
    <col min="3326" max="3326" width="12.85546875" style="77" customWidth="1"/>
    <col min="3327" max="3328" width="13.140625" style="77" customWidth="1"/>
    <col min="3329" max="3329" width="9.140625" style="77"/>
    <col min="3330" max="3330" width="12.85546875" style="77" customWidth="1"/>
    <col min="3331" max="3331" width="9.140625" style="77"/>
    <col min="3332" max="3332" width="11.5703125" style="77" customWidth="1"/>
    <col min="3333" max="3334" width="13.140625" style="77" customWidth="1"/>
    <col min="3335" max="3335" width="11.7109375" style="77" customWidth="1"/>
    <col min="3336" max="3336" width="14.85546875" style="77" customWidth="1"/>
    <col min="3337" max="3337" width="13.42578125" style="77" bestFit="1" customWidth="1"/>
    <col min="3338" max="3338" width="14.85546875" style="77" customWidth="1"/>
    <col min="3339" max="3339" width="13.42578125" style="77" customWidth="1"/>
    <col min="3340" max="3340" width="14.85546875" style="77" customWidth="1"/>
    <col min="3341" max="3341" width="16.5703125" style="77" customWidth="1"/>
    <col min="3342" max="3342" width="10.5703125" style="77" customWidth="1"/>
    <col min="3343" max="3343" width="12.42578125" style="77" bestFit="1" customWidth="1"/>
    <col min="3344" max="3577" width="9.140625" style="77"/>
    <col min="3578" max="3579" width="10" style="77" customWidth="1"/>
    <col min="3580" max="3580" width="9.140625" style="77"/>
    <col min="3581" max="3581" width="24" style="77" customWidth="1"/>
    <col min="3582" max="3582" width="12.85546875" style="77" customWidth="1"/>
    <col min="3583" max="3584" width="13.140625" style="77" customWidth="1"/>
    <col min="3585" max="3585" width="9.140625" style="77"/>
    <col min="3586" max="3586" width="12.85546875" style="77" customWidth="1"/>
    <col min="3587" max="3587" width="9.140625" style="77"/>
    <col min="3588" max="3588" width="11.5703125" style="77" customWidth="1"/>
    <col min="3589" max="3590" width="13.140625" style="77" customWidth="1"/>
    <col min="3591" max="3591" width="11.7109375" style="77" customWidth="1"/>
    <col min="3592" max="3592" width="14.85546875" style="77" customWidth="1"/>
    <col min="3593" max="3593" width="13.42578125" style="77" bestFit="1" customWidth="1"/>
    <col min="3594" max="3594" width="14.85546875" style="77" customWidth="1"/>
    <col min="3595" max="3595" width="13.42578125" style="77" customWidth="1"/>
    <col min="3596" max="3596" width="14.85546875" style="77" customWidth="1"/>
    <col min="3597" max="3597" width="16.5703125" style="77" customWidth="1"/>
    <col min="3598" max="3598" width="10.5703125" style="77" customWidth="1"/>
    <col min="3599" max="3599" width="12.42578125" style="77" bestFit="1" customWidth="1"/>
    <col min="3600" max="3833" width="9.140625" style="77"/>
    <col min="3834" max="3835" width="10" style="77" customWidth="1"/>
    <col min="3836" max="3836" width="9.140625" style="77"/>
    <col min="3837" max="3837" width="24" style="77" customWidth="1"/>
    <col min="3838" max="3838" width="12.85546875" style="77" customWidth="1"/>
    <col min="3839" max="3840" width="13.140625" style="77" customWidth="1"/>
    <col min="3841" max="3841" width="9.140625" style="77"/>
    <col min="3842" max="3842" width="12.85546875" style="77" customWidth="1"/>
    <col min="3843" max="3843" width="9.140625" style="77"/>
    <col min="3844" max="3844" width="11.5703125" style="77" customWidth="1"/>
    <col min="3845" max="3846" width="13.140625" style="77" customWidth="1"/>
    <col min="3847" max="3847" width="11.7109375" style="77" customWidth="1"/>
    <col min="3848" max="3848" width="14.85546875" style="77" customWidth="1"/>
    <col min="3849" max="3849" width="13.42578125" style="77" bestFit="1" customWidth="1"/>
    <col min="3850" max="3850" width="14.85546875" style="77" customWidth="1"/>
    <col min="3851" max="3851" width="13.42578125" style="77" customWidth="1"/>
    <col min="3852" max="3852" width="14.85546875" style="77" customWidth="1"/>
    <col min="3853" max="3853" width="16.5703125" style="77" customWidth="1"/>
    <col min="3854" max="3854" width="10.5703125" style="77" customWidth="1"/>
    <col min="3855" max="3855" width="12.42578125" style="77" bestFit="1" customWidth="1"/>
    <col min="3856" max="4089" width="9.140625" style="77"/>
    <col min="4090" max="4091" width="10" style="77" customWidth="1"/>
    <col min="4092" max="4092" width="9.140625" style="77"/>
    <col min="4093" max="4093" width="24" style="77" customWidth="1"/>
    <col min="4094" max="4094" width="12.85546875" style="77" customWidth="1"/>
    <col min="4095" max="4096" width="13.140625" style="77" customWidth="1"/>
    <col min="4097" max="4097" width="9.140625" style="77"/>
    <col min="4098" max="4098" width="12.85546875" style="77" customWidth="1"/>
    <col min="4099" max="4099" width="9.140625" style="77"/>
    <col min="4100" max="4100" width="11.5703125" style="77" customWidth="1"/>
    <col min="4101" max="4102" width="13.140625" style="77" customWidth="1"/>
    <col min="4103" max="4103" width="11.7109375" style="77" customWidth="1"/>
    <col min="4104" max="4104" width="14.85546875" style="77" customWidth="1"/>
    <col min="4105" max="4105" width="13.42578125" style="77" bestFit="1" customWidth="1"/>
    <col min="4106" max="4106" width="14.85546875" style="77" customWidth="1"/>
    <col min="4107" max="4107" width="13.42578125" style="77" customWidth="1"/>
    <col min="4108" max="4108" width="14.85546875" style="77" customWidth="1"/>
    <col min="4109" max="4109" width="16.5703125" style="77" customWidth="1"/>
    <col min="4110" max="4110" width="10.5703125" style="77" customWidth="1"/>
    <col min="4111" max="4111" width="12.42578125" style="77" bestFit="1" customWidth="1"/>
    <col min="4112" max="4345" width="9.140625" style="77"/>
    <col min="4346" max="4347" width="10" style="77" customWidth="1"/>
    <col min="4348" max="4348" width="9.140625" style="77"/>
    <col min="4349" max="4349" width="24" style="77" customWidth="1"/>
    <col min="4350" max="4350" width="12.85546875" style="77" customWidth="1"/>
    <col min="4351" max="4352" width="13.140625" style="77" customWidth="1"/>
    <col min="4353" max="4353" width="9.140625" style="77"/>
    <col min="4354" max="4354" width="12.85546875" style="77" customWidth="1"/>
    <col min="4355" max="4355" width="9.140625" style="77"/>
    <col min="4356" max="4356" width="11.5703125" style="77" customWidth="1"/>
    <col min="4357" max="4358" width="13.140625" style="77" customWidth="1"/>
    <col min="4359" max="4359" width="11.7109375" style="77" customWidth="1"/>
    <col min="4360" max="4360" width="14.85546875" style="77" customWidth="1"/>
    <col min="4361" max="4361" width="13.42578125" style="77" bestFit="1" customWidth="1"/>
    <col min="4362" max="4362" width="14.85546875" style="77" customWidth="1"/>
    <col min="4363" max="4363" width="13.42578125" style="77" customWidth="1"/>
    <col min="4364" max="4364" width="14.85546875" style="77" customWidth="1"/>
    <col min="4365" max="4365" width="16.5703125" style="77" customWidth="1"/>
    <col min="4366" max="4366" width="10.5703125" style="77" customWidth="1"/>
    <col min="4367" max="4367" width="12.42578125" style="77" bestFit="1" customWidth="1"/>
    <col min="4368" max="4601" width="9.140625" style="77"/>
    <col min="4602" max="4603" width="10" style="77" customWidth="1"/>
    <col min="4604" max="4604" width="9.140625" style="77"/>
    <col min="4605" max="4605" width="24" style="77" customWidth="1"/>
    <col min="4606" max="4606" width="12.85546875" style="77" customWidth="1"/>
    <col min="4607" max="4608" width="13.140625" style="77" customWidth="1"/>
    <col min="4609" max="4609" width="9.140625" style="77"/>
    <col min="4610" max="4610" width="12.85546875" style="77" customWidth="1"/>
    <col min="4611" max="4611" width="9.140625" style="77"/>
    <col min="4612" max="4612" width="11.5703125" style="77" customWidth="1"/>
    <col min="4613" max="4614" width="13.140625" style="77" customWidth="1"/>
    <col min="4615" max="4615" width="11.7109375" style="77" customWidth="1"/>
    <col min="4616" max="4616" width="14.85546875" style="77" customWidth="1"/>
    <col min="4617" max="4617" width="13.42578125" style="77" bestFit="1" customWidth="1"/>
    <col min="4618" max="4618" width="14.85546875" style="77" customWidth="1"/>
    <col min="4619" max="4619" width="13.42578125" style="77" customWidth="1"/>
    <col min="4620" max="4620" width="14.85546875" style="77" customWidth="1"/>
    <col min="4621" max="4621" width="16.5703125" style="77" customWidth="1"/>
    <col min="4622" max="4622" width="10.5703125" style="77" customWidth="1"/>
    <col min="4623" max="4623" width="12.42578125" style="77" bestFit="1" customWidth="1"/>
    <col min="4624" max="4857" width="9.140625" style="77"/>
    <col min="4858" max="4859" width="10" style="77" customWidth="1"/>
    <col min="4860" max="4860" width="9.140625" style="77"/>
    <col min="4861" max="4861" width="24" style="77" customWidth="1"/>
    <col min="4862" max="4862" width="12.85546875" style="77" customWidth="1"/>
    <col min="4863" max="4864" width="13.140625" style="77" customWidth="1"/>
    <col min="4865" max="4865" width="9.140625" style="77"/>
    <col min="4866" max="4866" width="12.85546875" style="77" customWidth="1"/>
    <col min="4867" max="4867" width="9.140625" style="77"/>
    <col min="4868" max="4868" width="11.5703125" style="77" customWidth="1"/>
    <col min="4869" max="4870" width="13.140625" style="77" customWidth="1"/>
    <col min="4871" max="4871" width="11.7109375" style="77" customWidth="1"/>
    <col min="4872" max="4872" width="14.85546875" style="77" customWidth="1"/>
    <col min="4873" max="4873" width="13.42578125" style="77" bestFit="1" customWidth="1"/>
    <col min="4874" max="4874" width="14.85546875" style="77" customWidth="1"/>
    <col min="4875" max="4875" width="13.42578125" style="77" customWidth="1"/>
    <col min="4876" max="4876" width="14.85546875" style="77" customWidth="1"/>
    <col min="4877" max="4877" width="16.5703125" style="77" customWidth="1"/>
    <col min="4878" max="4878" width="10.5703125" style="77" customWidth="1"/>
    <col min="4879" max="4879" width="12.42578125" style="77" bestFit="1" customWidth="1"/>
    <col min="4880" max="5113" width="9.140625" style="77"/>
    <col min="5114" max="5115" width="10" style="77" customWidth="1"/>
    <col min="5116" max="5116" width="9.140625" style="77"/>
    <col min="5117" max="5117" width="24" style="77" customWidth="1"/>
    <col min="5118" max="5118" width="12.85546875" style="77" customWidth="1"/>
    <col min="5119" max="5120" width="13.140625" style="77" customWidth="1"/>
    <col min="5121" max="5121" width="9.140625" style="77"/>
    <col min="5122" max="5122" width="12.85546875" style="77" customWidth="1"/>
    <col min="5123" max="5123" width="9.140625" style="77"/>
    <col min="5124" max="5124" width="11.5703125" style="77" customWidth="1"/>
    <col min="5125" max="5126" width="13.140625" style="77" customWidth="1"/>
    <col min="5127" max="5127" width="11.7109375" style="77" customWidth="1"/>
    <col min="5128" max="5128" width="14.85546875" style="77" customWidth="1"/>
    <col min="5129" max="5129" width="13.42578125" style="77" bestFit="1" customWidth="1"/>
    <col min="5130" max="5130" width="14.85546875" style="77" customWidth="1"/>
    <col min="5131" max="5131" width="13.42578125" style="77" customWidth="1"/>
    <col min="5132" max="5132" width="14.85546875" style="77" customWidth="1"/>
    <col min="5133" max="5133" width="16.5703125" style="77" customWidth="1"/>
    <col min="5134" max="5134" width="10.5703125" style="77" customWidth="1"/>
    <col min="5135" max="5135" width="12.42578125" style="77" bestFit="1" customWidth="1"/>
    <col min="5136" max="5369" width="9.140625" style="77"/>
    <col min="5370" max="5371" width="10" style="77" customWidth="1"/>
    <col min="5372" max="5372" width="9.140625" style="77"/>
    <col min="5373" max="5373" width="24" style="77" customWidth="1"/>
    <col min="5374" max="5374" width="12.85546875" style="77" customWidth="1"/>
    <col min="5375" max="5376" width="13.140625" style="77" customWidth="1"/>
    <col min="5377" max="5377" width="9.140625" style="77"/>
    <col min="5378" max="5378" width="12.85546875" style="77" customWidth="1"/>
    <col min="5379" max="5379" width="9.140625" style="77"/>
    <col min="5380" max="5380" width="11.5703125" style="77" customWidth="1"/>
    <col min="5381" max="5382" width="13.140625" style="77" customWidth="1"/>
    <col min="5383" max="5383" width="11.7109375" style="77" customWidth="1"/>
    <col min="5384" max="5384" width="14.85546875" style="77" customWidth="1"/>
    <col min="5385" max="5385" width="13.42578125" style="77" bestFit="1" customWidth="1"/>
    <col min="5386" max="5386" width="14.85546875" style="77" customWidth="1"/>
    <col min="5387" max="5387" width="13.42578125" style="77" customWidth="1"/>
    <col min="5388" max="5388" width="14.85546875" style="77" customWidth="1"/>
    <col min="5389" max="5389" width="16.5703125" style="77" customWidth="1"/>
    <col min="5390" max="5390" width="10.5703125" style="77" customWidth="1"/>
    <col min="5391" max="5391" width="12.42578125" style="77" bestFit="1" customWidth="1"/>
    <col min="5392" max="5625" width="9.140625" style="77"/>
    <col min="5626" max="5627" width="10" style="77" customWidth="1"/>
    <col min="5628" max="5628" width="9.140625" style="77"/>
    <col min="5629" max="5629" width="24" style="77" customWidth="1"/>
    <col min="5630" max="5630" width="12.85546875" style="77" customWidth="1"/>
    <col min="5631" max="5632" width="13.140625" style="77" customWidth="1"/>
    <col min="5633" max="5633" width="9.140625" style="77"/>
    <col min="5634" max="5634" width="12.85546875" style="77" customWidth="1"/>
    <col min="5635" max="5635" width="9.140625" style="77"/>
    <col min="5636" max="5636" width="11.5703125" style="77" customWidth="1"/>
    <col min="5637" max="5638" width="13.140625" style="77" customWidth="1"/>
    <col min="5639" max="5639" width="11.7109375" style="77" customWidth="1"/>
    <col min="5640" max="5640" width="14.85546875" style="77" customWidth="1"/>
    <col min="5641" max="5641" width="13.42578125" style="77" bestFit="1" customWidth="1"/>
    <col min="5642" max="5642" width="14.85546875" style="77" customWidth="1"/>
    <col min="5643" max="5643" width="13.42578125" style="77" customWidth="1"/>
    <col min="5644" max="5644" width="14.85546875" style="77" customWidth="1"/>
    <col min="5645" max="5645" width="16.5703125" style="77" customWidth="1"/>
    <col min="5646" max="5646" width="10.5703125" style="77" customWidth="1"/>
    <col min="5647" max="5647" width="12.42578125" style="77" bestFit="1" customWidth="1"/>
    <col min="5648" max="5881" width="9.140625" style="77"/>
    <col min="5882" max="5883" width="10" style="77" customWidth="1"/>
    <col min="5884" max="5884" width="9.140625" style="77"/>
    <col min="5885" max="5885" width="24" style="77" customWidth="1"/>
    <col min="5886" max="5886" width="12.85546875" style="77" customWidth="1"/>
    <col min="5887" max="5888" width="13.140625" style="77" customWidth="1"/>
    <col min="5889" max="5889" width="9.140625" style="77"/>
    <col min="5890" max="5890" width="12.85546875" style="77" customWidth="1"/>
    <col min="5891" max="5891" width="9.140625" style="77"/>
    <col min="5892" max="5892" width="11.5703125" style="77" customWidth="1"/>
    <col min="5893" max="5894" width="13.140625" style="77" customWidth="1"/>
    <col min="5895" max="5895" width="11.7109375" style="77" customWidth="1"/>
    <col min="5896" max="5896" width="14.85546875" style="77" customWidth="1"/>
    <col min="5897" max="5897" width="13.42578125" style="77" bestFit="1" customWidth="1"/>
    <col min="5898" max="5898" width="14.85546875" style="77" customWidth="1"/>
    <col min="5899" max="5899" width="13.42578125" style="77" customWidth="1"/>
    <col min="5900" max="5900" width="14.85546875" style="77" customWidth="1"/>
    <col min="5901" max="5901" width="16.5703125" style="77" customWidth="1"/>
    <col min="5902" max="5902" width="10.5703125" style="77" customWidth="1"/>
    <col min="5903" max="5903" width="12.42578125" style="77" bestFit="1" customWidth="1"/>
    <col min="5904" max="6137" width="9.140625" style="77"/>
    <col min="6138" max="6139" width="10" style="77" customWidth="1"/>
    <col min="6140" max="6140" width="9.140625" style="77"/>
    <col min="6141" max="6141" width="24" style="77" customWidth="1"/>
    <col min="6142" max="6142" width="12.85546875" style="77" customWidth="1"/>
    <col min="6143" max="6144" width="13.140625" style="77" customWidth="1"/>
    <col min="6145" max="6145" width="9.140625" style="77"/>
    <col min="6146" max="6146" width="12.85546875" style="77" customWidth="1"/>
    <col min="6147" max="6147" width="9.140625" style="77"/>
    <col min="6148" max="6148" width="11.5703125" style="77" customWidth="1"/>
    <col min="6149" max="6150" width="13.140625" style="77" customWidth="1"/>
    <col min="6151" max="6151" width="11.7109375" style="77" customWidth="1"/>
    <col min="6152" max="6152" width="14.85546875" style="77" customWidth="1"/>
    <col min="6153" max="6153" width="13.42578125" style="77" bestFit="1" customWidth="1"/>
    <col min="6154" max="6154" width="14.85546875" style="77" customWidth="1"/>
    <col min="6155" max="6155" width="13.42578125" style="77" customWidth="1"/>
    <col min="6156" max="6156" width="14.85546875" style="77" customWidth="1"/>
    <col min="6157" max="6157" width="16.5703125" style="77" customWidth="1"/>
    <col min="6158" max="6158" width="10.5703125" style="77" customWidth="1"/>
    <col min="6159" max="6159" width="12.42578125" style="77" bestFit="1" customWidth="1"/>
    <col min="6160" max="6393" width="9.140625" style="77"/>
    <col min="6394" max="6395" width="10" style="77" customWidth="1"/>
    <col min="6396" max="6396" width="9.140625" style="77"/>
    <col min="6397" max="6397" width="24" style="77" customWidth="1"/>
    <col min="6398" max="6398" width="12.85546875" style="77" customWidth="1"/>
    <col min="6399" max="6400" width="13.140625" style="77" customWidth="1"/>
    <col min="6401" max="6401" width="9.140625" style="77"/>
    <col min="6402" max="6402" width="12.85546875" style="77" customWidth="1"/>
    <col min="6403" max="6403" width="9.140625" style="77"/>
    <col min="6404" max="6404" width="11.5703125" style="77" customWidth="1"/>
    <col min="6405" max="6406" width="13.140625" style="77" customWidth="1"/>
    <col min="6407" max="6407" width="11.7109375" style="77" customWidth="1"/>
    <col min="6408" max="6408" width="14.85546875" style="77" customWidth="1"/>
    <col min="6409" max="6409" width="13.42578125" style="77" bestFit="1" customWidth="1"/>
    <col min="6410" max="6410" width="14.85546875" style="77" customWidth="1"/>
    <col min="6411" max="6411" width="13.42578125" style="77" customWidth="1"/>
    <col min="6412" max="6412" width="14.85546875" style="77" customWidth="1"/>
    <col min="6413" max="6413" width="16.5703125" style="77" customWidth="1"/>
    <col min="6414" max="6414" width="10.5703125" style="77" customWidth="1"/>
    <col min="6415" max="6415" width="12.42578125" style="77" bestFit="1" customWidth="1"/>
    <col min="6416" max="6649" width="9.140625" style="77"/>
    <col min="6650" max="6651" width="10" style="77" customWidth="1"/>
    <col min="6652" max="6652" width="9.140625" style="77"/>
    <col min="6653" max="6653" width="24" style="77" customWidth="1"/>
    <col min="6654" max="6654" width="12.85546875" style="77" customWidth="1"/>
    <col min="6655" max="6656" width="13.140625" style="77" customWidth="1"/>
    <col min="6657" max="6657" width="9.140625" style="77"/>
    <col min="6658" max="6658" width="12.85546875" style="77" customWidth="1"/>
    <col min="6659" max="6659" width="9.140625" style="77"/>
    <col min="6660" max="6660" width="11.5703125" style="77" customWidth="1"/>
    <col min="6661" max="6662" width="13.140625" style="77" customWidth="1"/>
    <col min="6663" max="6663" width="11.7109375" style="77" customWidth="1"/>
    <col min="6664" max="6664" width="14.85546875" style="77" customWidth="1"/>
    <col min="6665" max="6665" width="13.42578125" style="77" bestFit="1" customWidth="1"/>
    <col min="6666" max="6666" width="14.85546875" style="77" customWidth="1"/>
    <col min="6667" max="6667" width="13.42578125" style="77" customWidth="1"/>
    <col min="6668" max="6668" width="14.85546875" style="77" customWidth="1"/>
    <col min="6669" max="6669" width="16.5703125" style="77" customWidth="1"/>
    <col min="6670" max="6670" width="10.5703125" style="77" customWidth="1"/>
    <col min="6671" max="6671" width="12.42578125" style="77" bestFit="1" customWidth="1"/>
    <col min="6672" max="6905" width="9.140625" style="77"/>
    <col min="6906" max="6907" width="10" style="77" customWidth="1"/>
    <col min="6908" max="6908" width="9.140625" style="77"/>
    <col min="6909" max="6909" width="24" style="77" customWidth="1"/>
    <col min="6910" max="6910" width="12.85546875" style="77" customWidth="1"/>
    <col min="6911" max="6912" width="13.140625" style="77" customWidth="1"/>
    <col min="6913" max="6913" width="9.140625" style="77"/>
    <col min="6914" max="6914" width="12.85546875" style="77" customWidth="1"/>
    <col min="6915" max="6915" width="9.140625" style="77"/>
    <col min="6916" max="6916" width="11.5703125" style="77" customWidth="1"/>
    <col min="6917" max="6918" width="13.140625" style="77" customWidth="1"/>
    <col min="6919" max="6919" width="11.7109375" style="77" customWidth="1"/>
    <col min="6920" max="6920" width="14.85546875" style="77" customWidth="1"/>
    <col min="6921" max="6921" width="13.42578125" style="77" bestFit="1" customWidth="1"/>
    <col min="6922" max="6922" width="14.85546875" style="77" customWidth="1"/>
    <col min="6923" max="6923" width="13.42578125" style="77" customWidth="1"/>
    <col min="6924" max="6924" width="14.85546875" style="77" customWidth="1"/>
    <col min="6925" max="6925" width="16.5703125" style="77" customWidth="1"/>
    <col min="6926" max="6926" width="10.5703125" style="77" customWidth="1"/>
    <col min="6927" max="6927" width="12.42578125" style="77" bestFit="1" customWidth="1"/>
    <col min="6928" max="7161" width="9.140625" style="77"/>
    <col min="7162" max="7163" width="10" style="77" customWidth="1"/>
    <col min="7164" max="7164" width="9.140625" style="77"/>
    <col min="7165" max="7165" width="24" style="77" customWidth="1"/>
    <col min="7166" max="7166" width="12.85546875" style="77" customWidth="1"/>
    <col min="7167" max="7168" width="13.140625" style="77" customWidth="1"/>
    <col min="7169" max="7169" width="9.140625" style="77"/>
    <col min="7170" max="7170" width="12.85546875" style="77" customWidth="1"/>
    <col min="7171" max="7171" width="9.140625" style="77"/>
    <col min="7172" max="7172" width="11.5703125" style="77" customWidth="1"/>
    <col min="7173" max="7174" width="13.140625" style="77" customWidth="1"/>
    <col min="7175" max="7175" width="11.7109375" style="77" customWidth="1"/>
    <col min="7176" max="7176" width="14.85546875" style="77" customWidth="1"/>
    <col min="7177" max="7177" width="13.42578125" style="77" bestFit="1" customWidth="1"/>
    <col min="7178" max="7178" width="14.85546875" style="77" customWidth="1"/>
    <col min="7179" max="7179" width="13.42578125" style="77" customWidth="1"/>
    <col min="7180" max="7180" width="14.85546875" style="77" customWidth="1"/>
    <col min="7181" max="7181" width="16.5703125" style="77" customWidth="1"/>
    <col min="7182" max="7182" width="10.5703125" style="77" customWidth="1"/>
    <col min="7183" max="7183" width="12.42578125" style="77" bestFit="1" customWidth="1"/>
    <col min="7184" max="7417" width="9.140625" style="77"/>
    <col min="7418" max="7419" width="10" style="77" customWidth="1"/>
    <col min="7420" max="7420" width="9.140625" style="77"/>
    <col min="7421" max="7421" width="24" style="77" customWidth="1"/>
    <col min="7422" max="7422" width="12.85546875" style="77" customWidth="1"/>
    <col min="7423" max="7424" width="13.140625" style="77" customWidth="1"/>
    <col min="7425" max="7425" width="9.140625" style="77"/>
    <col min="7426" max="7426" width="12.85546875" style="77" customWidth="1"/>
    <col min="7427" max="7427" width="9.140625" style="77"/>
    <col min="7428" max="7428" width="11.5703125" style="77" customWidth="1"/>
    <col min="7429" max="7430" width="13.140625" style="77" customWidth="1"/>
    <col min="7431" max="7431" width="11.7109375" style="77" customWidth="1"/>
    <col min="7432" max="7432" width="14.85546875" style="77" customWidth="1"/>
    <col min="7433" max="7433" width="13.42578125" style="77" bestFit="1" customWidth="1"/>
    <col min="7434" max="7434" width="14.85546875" style="77" customWidth="1"/>
    <col min="7435" max="7435" width="13.42578125" style="77" customWidth="1"/>
    <col min="7436" max="7436" width="14.85546875" style="77" customWidth="1"/>
    <col min="7437" max="7437" width="16.5703125" style="77" customWidth="1"/>
    <col min="7438" max="7438" width="10.5703125" style="77" customWidth="1"/>
    <col min="7439" max="7439" width="12.42578125" style="77" bestFit="1" customWidth="1"/>
    <col min="7440" max="7673" width="9.140625" style="77"/>
    <col min="7674" max="7675" width="10" style="77" customWidth="1"/>
    <col min="7676" max="7676" width="9.140625" style="77"/>
    <col min="7677" max="7677" width="24" style="77" customWidth="1"/>
    <col min="7678" max="7678" width="12.85546875" style="77" customWidth="1"/>
    <col min="7679" max="7680" width="13.140625" style="77" customWidth="1"/>
    <col min="7681" max="7681" width="9.140625" style="77"/>
    <col min="7682" max="7682" width="12.85546875" style="77" customWidth="1"/>
    <col min="7683" max="7683" width="9.140625" style="77"/>
    <col min="7684" max="7684" width="11.5703125" style="77" customWidth="1"/>
    <col min="7685" max="7686" width="13.140625" style="77" customWidth="1"/>
    <col min="7687" max="7687" width="11.7109375" style="77" customWidth="1"/>
    <col min="7688" max="7688" width="14.85546875" style="77" customWidth="1"/>
    <col min="7689" max="7689" width="13.42578125" style="77" bestFit="1" customWidth="1"/>
    <col min="7690" max="7690" width="14.85546875" style="77" customWidth="1"/>
    <col min="7691" max="7691" width="13.42578125" style="77" customWidth="1"/>
    <col min="7692" max="7692" width="14.85546875" style="77" customWidth="1"/>
    <col min="7693" max="7693" width="16.5703125" style="77" customWidth="1"/>
    <col min="7694" max="7694" width="10.5703125" style="77" customWidth="1"/>
    <col min="7695" max="7695" width="12.42578125" style="77" bestFit="1" customWidth="1"/>
    <col min="7696" max="7929" width="9.140625" style="77"/>
    <col min="7930" max="7931" width="10" style="77" customWidth="1"/>
    <col min="7932" max="7932" width="9.140625" style="77"/>
    <col min="7933" max="7933" width="24" style="77" customWidth="1"/>
    <col min="7934" max="7934" width="12.85546875" style="77" customWidth="1"/>
    <col min="7935" max="7936" width="13.140625" style="77" customWidth="1"/>
    <col min="7937" max="7937" width="9.140625" style="77"/>
    <col min="7938" max="7938" width="12.85546875" style="77" customWidth="1"/>
    <col min="7939" max="7939" width="9.140625" style="77"/>
    <col min="7940" max="7940" width="11.5703125" style="77" customWidth="1"/>
    <col min="7941" max="7942" width="13.140625" style="77" customWidth="1"/>
    <col min="7943" max="7943" width="11.7109375" style="77" customWidth="1"/>
    <col min="7944" max="7944" width="14.85546875" style="77" customWidth="1"/>
    <col min="7945" max="7945" width="13.42578125" style="77" bestFit="1" customWidth="1"/>
    <col min="7946" max="7946" width="14.85546875" style="77" customWidth="1"/>
    <col min="7947" max="7947" width="13.42578125" style="77" customWidth="1"/>
    <col min="7948" max="7948" width="14.85546875" style="77" customWidth="1"/>
    <col min="7949" max="7949" width="16.5703125" style="77" customWidth="1"/>
    <col min="7950" max="7950" width="10.5703125" style="77" customWidth="1"/>
    <col min="7951" max="7951" width="12.42578125" style="77" bestFit="1" customWidth="1"/>
    <col min="7952" max="8185" width="9.140625" style="77"/>
    <col min="8186" max="8187" width="10" style="77" customWidth="1"/>
    <col min="8188" max="8188" width="9.140625" style="77"/>
    <col min="8189" max="8189" width="24" style="77" customWidth="1"/>
    <col min="8190" max="8190" width="12.85546875" style="77" customWidth="1"/>
    <col min="8191" max="8192" width="13.140625" style="77" customWidth="1"/>
    <col min="8193" max="8193" width="9.140625" style="77"/>
    <col min="8194" max="8194" width="12.85546875" style="77" customWidth="1"/>
    <col min="8195" max="8195" width="9.140625" style="77"/>
    <col min="8196" max="8196" width="11.5703125" style="77" customWidth="1"/>
    <col min="8197" max="8198" width="13.140625" style="77" customWidth="1"/>
    <col min="8199" max="8199" width="11.7109375" style="77" customWidth="1"/>
    <col min="8200" max="8200" width="14.85546875" style="77" customWidth="1"/>
    <col min="8201" max="8201" width="13.42578125" style="77" bestFit="1" customWidth="1"/>
    <col min="8202" max="8202" width="14.85546875" style="77" customWidth="1"/>
    <col min="8203" max="8203" width="13.42578125" style="77" customWidth="1"/>
    <col min="8204" max="8204" width="14.85546875" style="77" customWidth="1"/>
    <col min="8205" max="8205" width="16.5703125" style="77" customWidth="1"/>
    <col min="8206" max="8206" width="10.5703125" style="77" customWidth="1"/>
    <col min="8207" max="8207" width="12.42578125" style="77" bestFit="1" customWidth="1"/>
    <col min="8208" max="8441" width="9.140625" style="77"/>
    <col min="8442" max="8443" width="10" style="77" customWidth="1"/>
    <col min="8444" max="8444" width="9.140625" style="77"/>
    <col min="8445" max="8445" width="24" style="77" customWidth="1"/>
    <col min="8446" max="8446" width="12.85546875" style="77" customWidth="1"/>
    <col min="8447" max="8448" width="13.140625" style="77" customWidth="1"/>
    <col min="8449" max="8449" width="9.140625" style="77"/>
    <col min="8450" max="8450" width="12.85546875" style="77" customWidth="1"/>
    <col min="8451" max="8451" width="9.140625" style="77"/>
    <col min="8452" max="8452" width="11.5703125" style="77" customWidth="1"/>
    <col min="8453" max="8454" width="13.140625" style="77" customWidth="1"/>
    <col min="8455" max="8455" width="11.7109375" style="77" customWidth="1"/>
    <col min="8456" max="8456" width="14.85546875" style="77" customWidth="1"/>
    <col min="8457" max="8457" width="13.42578125" style="77" bestFit="1" customWidth="1"/>
    <col min="8458" max="8458" width="14.85546875" style="77" customWidth="1"/>
    <col min="8459" max="8459" width="13.42578125" style="77" customWidth="1"/>
    <col min="8460" max="8460" width="14.85546875" style="77" customWidth="1"/>
    <col min="8461" max="8461" width="16.5703125" style="77" customWidth="1"/>
    <col min="8462" max="8462" width="10.5703125" style="77" customWidth="1"/>
    <col min="8463" max="8463" width="12.42578125" style="77" bestFit="1" customWidth="1"/>
    <col min="8464" max="8697" width="9.140625" style="77"/>
    <col min="8698" max="8699" width="10" style="77" customWidth="1"/>
    <col min="8700" max="8700" width="9.140625" style="77"/>
    <col min="8701" max="8701" width="24" style="77" customWidth="1"/>
    <col min="8702" max="8702" width="12.85546875" style="77" customWidth="1"/>
    <col min="8703" max="8704" width="13.140625" style="77" customWidth="1"/>
    <col min="8705" max="8705" width="9.140625" style="77"/>
    <col min="8706" max="8706" width="12.85546875" style="77" customWidth="1"/>
    <col min="8707" max="8707" width="9.140625" style="77"/>
    <col min="8708" max="8708" width="11.5703125" style="77" customWidth="1"/>
    <col min="8709" max="8710" width="13.140625" style="77" customWidth="1"/>
    <col min="8711" max="8711" width="11.7109375" style="77" customWidth="1"/>
    <col min="8712" max="8712" width="14.85546875" style="77" customWidth="1"/>
    <col min="8713" max="8713" width="13.42578125" style="77" bestFit="1" customWidth="1"/>
    <col min="8714" max="8714" width="14.85546875" style="77" customWidth="1"/>
    <col min="8715" max="8715" width="13.42578125" style="77" customWidth="1"/>
    <col min="8716" max="8716" width="14.85546875" style="77" customWidth="1"/>
    <col min="8717" max="8717" width="16.5703125" style="77" customWidth="1"/>
    <col min="8718" max="8718" width="10.5703125" style="77" customWidth="1"/>
    <col min="8719" max="8719" width="12.42578125" style="77" bestFit="1" customWidth="1"/>
    <col min="8720" max="8953" width="9.140625" style="77"/>
    <col min="8954" max="8955" width="10" style="77" customWidth="1"/>
    <col min="8956" max="8956" width="9.140625" style="77"/>
    <col min="8957" max="8957" width="24" style="77" customWidth="1"/>
    <col min="8958" max="8958" width="12.85546875" style="77" customWidth="1"/>
    <col min="8959" max="8960" width="13.140625" style="77" customWidth="1"/>
    <col min="8961" max="8961" width="9.140625" style="77"/>
    <col min="8962" max="8962" width="12.85546875" style="77" customWidth="1"/>
    <col min="8963" max="8963" width="9.140625" style="77"/>
    <col min="8964" max="8964" width="11.5703125" style="77" customWidth="1"/>
    <col min="8965" max="8966" width="13.140625" style="77" customWidth="1"/>
    <col min="8967" max="8967" width="11.7109375" style="77" customWidth="1"/>
    <col min="8968" max="8968" width="14.85546875" style="77" customWidth="1"/>
    <col min="8969" max="8969" width="13.42578125" style="77" bestFit="1" customWidth="1"/>
    <col min="8970" max="8970" width="14.85546875" style="77" customWidth="1"/>
    <col min="8971" max="8971" width="13.42578125" style="77" customWidth="1"/>
    <col min="8972" max="8972" width="14.85546875" style="77" customWidth="1"/>
    <col min="8973" max="8973" width="16.5703125" style="77" customWidth="1"/>
    <col min="8974" max="8974" width="10.5703125" style="77" customWidth="1"/>
    <col min="8975" max="8975" width="12.42578125" style="77" bestFit="1" customWidth="1"/>
    <col min="8976" max="9209" width="9.140625" style="77"/>
    <col min="9210" max="9211" width="10" style="77" customWidth="1"/>
    <col min="9212" max="9212" width="9.140625" style="77"/>
    <col min="9213" max="9213" width="24" style="77" customWidth="1"/>
    <col min="9214" max="9214" width="12.85546875" style="77" customWidth="1"/>
    <col min="9215" max="9216" width="13.140625" style="77" customWidth="1"/>
    <col min="9217" max="9217" width="9.140625" style="77"/>
    <col min="9218" max="9218" width="12.85546875" style="77" customWidth="1"/>
    <col min="9219" max="9219" width="9.140625" style="77"/>
    <col min="9220" max="9220" width="11.5703125" style="77" customWidth="1"/>
    <col min="9221" max="9222" width="13.140625" style="77" customWidth="1"/>
    <col min="9223" max="9223" width="11.7109375" style="77" customWidth="1"/>
    <col min="9224" max="9224" width="14.85546875" style="77" customWidth="1"/>
    <col min="9225" max="9225" width="13.42578125" style="77" bestFit="1" customWidth="1"/>
    <col min="9226" max="9226" width="14.85546875" style="77" customWidth="1"/>
    <col min="9227" max="9227" width="13.42578125" style="77" customWidth="1"/>
    <col min="9228" max="9228" width="14.85546875" style="77" customWidth="1"/>
    <col min="9229" max="9229" width="16.5703125" style="77" customWidth="1"/>
    <col min="9230" max="9230" width="10.5703125" style="77" customWidth="1"/>
    <col min="9231" max="9231" width="12.42578125" style="77" bestFit="1" customWidth="1"/>
    <col min="9232" max="9465" width="9.140625" style="77"/>
    <col min="9466" max="9467" width="10" style="77" customWidth="1"/>
    <col min="9468" max="9468" width="9.140625" style="77"/>
    <col min="9469" max="9469" width="24" style="77" customWidth="1"/>
    <col min="9470" max="9470" width="12.85546875" style="77" customWidth="1"/>
    <col min="9471" max="9472" width="13.140625" style="77" customWidth="1"/>
    <col min="9473" max="9473" width="9.140625" style="77"/>
    <col min="9474" max="9474" width="12.85546875" style="77" customWidth="1"/>
    <col min="9475" max="9475" width="9.140625" style="77"/>
    <col min="9476" max="9476" width="11.5703125" style="77" customWidth="1"/>
    <col min="9477" max="9478" width="13.140625" style="77" customWidth="1"/>
    <col min="9479" max="9479" width="11.7109375" style="77" customWidth="1"/>
    <col min="9480" max="9480" width="14.85546875" style="77" customWidth="1"/>
    <col min="9481" max="9481" width="13.42578125" style="77" bestFit="1" customWidth="1"/>
    <col min="9482" max="9482" width="14.85546875" style="77" customWidth="1"/>
    <col min="9483" max="9483" width="13.42578125" style="77" customWidth="1"/>
    <col min="9484" max="9484" width="14.85546875" style="77" customWidth="1"/>
    <col min="9485" max="9485" width="16.5703125" style="77" customWidth="1"/>
    <col min="9486" max="9486" width="10.5703125" style="77" customWidth="1"/>
    <col min="9487" max="9487" width="12.42578125" style="77" bestFit="1" customWidth="1"/>
    <col min="9488" max="9721" width="9.140625" style="77"/>
    <col min="9722" max="9723" width="10" style="77" customWidth="1"/>
    <col min="9724" max="9724" width="9.140625" style="77"/>
    <col min="9725" max="9725" width="24" style="77" customWidth="1"/>
    <col min="9726" max="9726" width="12.85546875" style="77" customWidth="1"/>
    <col min="9727" max="9728" width="13.140625" style="77" customWidth="1"/>
    <col min="9729" max="9729" width="9.140625" style="77"/>
    <col min="9730" max="9730" width="12.85546875" style="77" customWidth="1"/>
    <col min="9731" max="9731" width="9.140625" style="77"/>
    <col min="9732" max="9732" width="11.5703125" style="77" customWidth="1"/>
    <col min="9733" max="9734" width="13.140625" style="77" customWidth="1"/>
    <col min="9735" max="9735" width="11.7109375" style="77" customWidth="1"/>
    <col min="9736" max="9736" width="14.85546875" style="77" customWidth="1"/>
    <col min="9737" max="9737" width="13.42578125" style="77" bestFit="1" customWidth="1"/>
    <col min="9738" max="9738" width="14.85546875" style="77" customWidth="1"/>
    <col min="9739" max="9739" width="13.42578125" style="77" customWidth="1"/>
    <col min="9740" max="9740" width="14.85546875" style="77" customWidth="1"/>
    <col min="9741" max="9741" width="16.5703125" style="77" customWidth="1"/>
    <col min="9742" max="9742" width="10.5703125" style="77" customWidth="1"/>
    <col min="9743" max="9743" width="12.42578125" style="77" bestFit="1" customWidth="1"/>
    <col min="9744" max="9977" width="9.140625" style="77"/>
    <col min="9978" max="9979" width="10" style="77" customWidth="1"/>
    <col min="9980" max="9980" width="9.140625" style="77"/>
    <col min="9981" max="9981" width="24" style="77" customWidth="1"/>
    <col min="9982" max="9982" width="12.85546875" style="77" customWidth="1"/>
    <col min="9983" max="9984" width="13.140625" style="77" customWidth="1"/>
    <col min="9985" max="9985" width="9.140625" style="77"/>
    <col min="9986" max="9986" width="12.85546875" style="77" customWidth="1"/>
    <col min="9987" max="9987" width="9.140625" style="77"/>
    <col min="9988" max="9988" width="11.5703125" style="77" customWidth="1"/>
    <col min="9989" max="9990" width="13.140625" style="77" customWidth="1"/>
    <col min="9991" max="9991" width="11.7109375" style="77" customWidth="1"/>
    <col min="9992" max="9992" width="14.85546875" style="77" customWidth="1"/>
    <col min="9993" max="9993" width="13.42578125" style="77" bestFit="1" customWidth="1"/>
    <col min="9994" max="9994" width="14.85546875" style="77" customWidth="1"/>
    <col min="9995" max="9995" width="13.42578125" style="77" customWidth="1"/>
    <col min="9996" max="9996" width="14.85546875" style="77" customWidth="1"/>
    <col min="9997" max="9997" width="16.5703125" style="77" customWidth="1"/>
    <col min="9998" max="9998" width="10.5703125" style="77" customWidth="1"/>
    <col min="9999" max="9999" width="12.42578125" style="77" bestFit="1" customWidth="1"/>
    <col min="10000" max="10233" width="9.140625" style="77"/>
    <col min="10234" max="10235" width="10" style="77" customWidth="1"/>
    <col min="10236" max="10236" width="9.140625" style="77"/>
    <col min="10237" max="10237" width="24" style="77" customWidth="1"/>
    <col min="10238" max="10238" width="12.85546875" style="77" customWidth="1"/>
    <col min="10239" max="10240" width="13.140625" style="77" customWidth="1"/>
    <col min="10241" max="10241" width="9.140625" style="77"/>
    <col min="10242" max="10242" width="12.85546875" style="77" customWidth="1"/>
    <col min="10243" max="10243" width="9.140625" style="77"/>
    <col min="10244" max="10244" width="11.5703125" style="77" customWidth="1"/>
    <col min="10245" max="10246" width="13.140625" style="77" customWidth="1"/>
    <col min="10247" max="10247" width="11.7109375" style="77" customWidth="1"/>
    <col min="10248" max="10248" width="14.85546875" style="77" customWidth="1"/>
    <col min="10249" max="10249" width="13.42578125" style="77" bestFit="1" customWidth="1"/>
    <col min="10250" max="10250" width="14.85546875" style="77" customWidth="1"/>
    <col min="10251" max="10251" width="13.42578125" style="77" customWidth="1"/>
    <col min="10252" max="10252" width="14.85546875" style="77" customWidth="1"/>
    <col min="10253" max="10253" width="16.5703125" style="77" customWidth="1"/>
    <col min="10254" max="10254" width="10.5703125" style="77" customWidth="1"/>
    <col min="10255" max="10255" width="12.42578125" style="77" bestFit="1" customWidth="1"/>
    <col min="10256" max="10489" width="9.140625" style="77"/>
    <col min="10490" max="10491" width="10" style="77" customWidth="1"/>
    <col min="10492" max="10492" width="9.140625" style="77"/>
    <col min="10493" max="10493" width="24" style="77" customWidth="1"/>
    <col min="10494" max="10494" width="12.85546875" style="77" customWidth="1"/>
    <col min="10495" max="10496" width="13.140625" style="77" customWidth="1"/>
    <col min="10497" max="10497" width="9.140625" style="77"/>
    <col min="10498" max="10498" width="12.85546875" style="77" customWidth="1"/>
    <col min="10499" max="10499" width="9.140625" style="77"/>
    <col min="10500" max="10500" width="11.5703125" style="77" customWidth="1"/>
    <col min="10501" max="10502" width="13.140625" style="77" customWidth="1"/>
    <col min="10503" max="10503" width="11.7109375" style="77" customWidth="1"/>
    <col min="10504" max="10504" width="14.85546875" style="77" customWidth="1"/>
    <col min="10505" max="10505" width="13.42578125" style="77" bestFit="1" customWidth="1"/>
    <col min="10506" max="10506" width="14.85546875" style="77" customWidth="1"/>
    <col min="10507" max="10507" width="13.42578125" style="77" customWidth="1"/>
    <col min="10508" max="10508" width="14.85546875" style="77" customWidth="1"/>
    <col min="10509" max="10509" width="16.5703125" style="77" customWidth="1"/>
    <col min="10510" max="10510" width="10.5703125" style="77" customWidth="1"/>
    <col min="10511" max="10511" width="12.42578125" style="77" bestFit="1" customWidth="1"/>
    <col min="10512" max="10745" width="9.140625" style="77"/>
    <col min="10746" max="10747" width="10" style="77" customWidth="1"/>
    <col min="10748" max="10748" width="9.140625" style="77"/>
    <col min="10749" max="10749" width="24" style="77" customWidth="1"/>
    <col min="10750" max="10750" width="12.85546875" style="77" customWidth="1"/>
    <col min="10751" max="10752" width="13.140625" style="77" customWidth="1"/>
    <col min="10753" max="10753" width="9.140625" style="77"/>
    <col min="10754" max="10754" width="12.85546875" style="77" customWidth="1"/>
    <col min="10755" max="10755" width="9.140625" style="77"/>
    <col min="10756" max="10756" width="11.5703125" style="77" customWidth="1"/>
    <col min="10757" max="10758" width="13.140625" style="77" customWidth="1"/>
    <col min="10759" max="10759" width="11.7109375" style="77" customWidth="1"/>
    <col min="10760" max="10760" width="14.85546875" style="77" customWidth="1"/>
    <col min="10761" max="10761" width="13.42578125" style="77" bestFit="1" customWidth="1"/>
    <col min="10762" max="10762" width="14.85546875" style="77" customWidth="1"/>
    <col min="10763" max="10763" width="13.42578125" style="77" customWidth="1"/>
    <col min="10764" max="10764" width="14.85546875" style="77" customWidth="1"/>
    <col min="10765" max="10765" width="16.5703125" style="77" customWidth="1"/>
    <col min="10766" max="10766" width="10.5703125" style="77" customWidth="1"/>
    <col min="10767" max="10767" width="12.42578125" style="77" bestFit="1" customWidth="1"/>
    <col min="10768" max="11001" width="9.140625" style="77"/>
    <col min="11002" max="11003" width="10" style="77" customWidth="1"/>
    <col min="11004" max="11004" width="9.140625" style="77"/>
    <col min="11005" max="11005" width="24" style="77" customWidth="1"/>
    <col min="11006" max="11006" width="12.85546875" style="77" customWidth="1"/>
    <col min="11007" max="11008" width="13.140625" style="77" customWidth="1"/>
    <col min="11009" max="11009" width="9.140625" style="77"/>
    <col min="11010" max="11010" width="12.85546875" style="77" customWidth="1"/>
    <col min="11011" max="11011" width="9.140625" style="77"/>
    <col min="11012" max="11012" width="11.5703125" style="77" customWidth="1"/>
    <col min="11013" max="11014" width="13.140625" style="77" customWidth="1"/>
    <col min="11015" max="11015" width="11.7109375" style="77" customWidth="1"/>
    <col min="11016" max="11016" width="14.85546875" style="77" customWidth="1"/>
    <col min="11017" max="11017" width="13.42578125" style="77" bestFit="1" customWidth="1"/>
    <col min="11018" max="11018" width="14.85546875" style="77" customWidth="1"/>
    <col min="11019" max="11019" width="13.42578125" style="77" customWidth="1"/>
    <col min="11020" max="11020" width="14.85546875" style="77" customWidth="1"/>
    <col min="11021" max="11021" width="16.5703125" style="77" customWidth="1"/>
    <col min="11022" max="11022" width="10.5703125" style="77" customWidth="1"/>
    <col min="11023" max="11023" width="12.42578125" style="77" bestFit="1" customWidth="1"/>
    <col min="11024" max="11257" width="9.140625" style="77"/>
    <col min="11258" max="11259" width="10" style="77" customWidth="1"/>
    <col min="11260" max="11260" width="9.140625" style="77"/>
    <col min="11261" max="11261" width="24" style="77" customWidth="1"/>
    <col min="11262" max="11262" width="12.85546875" style="77" customWidth="1"/>
    <col min="11263" max="11264" width="13.140625" style="77" customWidth="1"/>
    <col min="11265" max="11265" width="9.140625" style="77"/>
    <col min="11266" max="11266" width="12.85546875" style="77" customWidth="1"/>
    <col min="11267" max="11267" width="9.140625" style="77"/>
    <col min="11268" max="11268" width="11.5703125" style="77" customWidth="1"/>
    <col min="11269" max="11270" width="13.140625" style="77" customWidth="1"/>
    <col min="11271" max="11271" width="11.7109375" style="77" customWidth="1"/>
    <col min="11272" max="11272" width="14.85546875" style="77" customWidth="1"/>
    <col min="11273" max="11273" width="13.42578125" style="77" bestFit="1" customWidth="1"/>
    <col min="11274" max="11274" width="14.85546875" style="77" customWidth="1"/>
    <col min="11275" max="11275" width="13.42578125" style="77" customWidth="1"/>
    <col min="11276" max="11276" width="14.85546875" style="77" customWidth="1"/>
    <col min="11277" max="11277" width="16.5703125" style="77" customWidth="1"/>
    <col min="11278" max="11278" width="10.5703125" style="77" customWidth="1"/>
    <col min="11279" max="11279" width="12.42578125" style="77" bestFit="1" customWidth="1"/>
    <col min="11280" max="11513" width="9.140625" style="77"/>
    <col min="11514" max="11515" width="10" style="77" customWidth="1"/>
    <col min="11516" max="11516" width="9.140625" style="77"/>
    <col min="11517" max="11517" width="24" style="77" customWidth="1"/>
    <col min="11518" max="11518" width="12.85546875" style="77" customWidth="1"/>
    <col min="11519" max="11520" width="13.140625" style="77" customWidth="1"/>
    <col min="11521" max="11521" width="9.140625" style="77"/>
    <col min="11522" max="11522" width="12.85546875" style="77" customWidth="1"/>
    <col min="11523" max="11523" width="9.140625" style="77"/>
    <col min="11524" max="11524" width="11.5703125" style="77" customWidth="1"/>
    <col min="11525" max="11526" width="13.140625" style="77" customWidth="1"/>
    <col min="11527" max="11527" width="11.7109375" style="77" customWidth="1"/>
    <col min="11528" max="11528" width="14.85546875" style="77" customWidth="1"/>
    <col min="11529" max="11529" width="13.42578125" style="77" bestFit="1" customWidth="1"/>
    <col min="11530" max="11530" width="14.85546875" style="77" customWidth="1"/>
    <col min="11531" max="11531" width="13.42578125" style="77" customWidth="1"/>
    <col min="11532" max="11532" width="14.85546875" style="77" customWidth="1"/>
    <col min="11533" max="11533" width="16.5703125" style="77" customWidth="1"/>
    <col min="11534" max="11534" width="10.5703125" style="77" customWidth="1"/>
    <col min="11535" max="11535" width="12.42578125" style="77" bestFit="1" customWidth="1"/>
    <col min="11536" max="11769" width="9.140625" style="77"/>
    <col min="11770" max="11771" width="10" style="77" customWidth="1"/>
    <col min="11772" max="11772" width="9.140625" style="77"/>
    <col min="11773" max="11773" width="24" style="77" customWidth="1"/>
    <col min="11774" max="11774" width="12.85546875" style="77" customWidth="1"/>
    <col min="11775" max="11776" width="13.140625" style="77" customWidth="1"/>
    <col min="11777" max="11777" width="9.140625" style="77"/>
    <col min="11778" max="11778" width="12.85546875" style="77" customWidth="1"/>
    <col min="11779" max="11779" width="9.140625" style="77"/>
    <col min="11780" max="11780" width="11.5703125" style="77" customWidth="1"/>
    <col min="11781" max="11782" width="13.140625" style="77" customWidth="1"/>
    <col min="11783" max="11783" width="11.7109375" style="77" customWidth="1"/>
    <col min="11784" max="11784" width="14.85546875" style="77" customWidth="1"/>
    <col min="11785" max="11785" width="13.42578125" style="77" bestFit="1" customWidth="1"/>
    <col min="11786" max="11786" width="14.85546875" style="77" customWidth="1"/>
    <col min="11787" max="11787" width="13.42578125" style="77" customWidth="1"/>
    <col min="11788" max="11788" width="14.85546875" style="77" customWidth="1"/>
    <col min="11789" max="11789" width="16.5703125" style="77" customWidth="1"/>
    <col min="11790" max="11790" width="10.5703125" style="77" customWidth="1"/>
    <col min="11791" max="11791" width="12.42578125" style="77" bestFit="1" customWidth="1"/>
    <col min="11792" max="12025" width="9.140625" style="77"/>
    <col min="12026" max="12027" width="10" style="77" customWidth="1"/>
    <col min="12028" max="12028" width="9.140625" style="77"/>
    <col min="12029" max="12029" width="24" style="77" customWidth="1"/>
    <col min="12030" max="12030" width="12.85546875" style="77" customWidth="1"/>
    <col min="12031" max="12032" width="13.140625" style="77" customWidth="1"/>
    <col min="12033" max="12033" width="9.140625" style="77"/>
    <col min="12034" max="12034" width="12.85546875" style="77" customWidth="1"/>
    <col min="12035" max="12035" width="9.140625" style="77"/>
    <col min="12036" max="12036" width="11.5703125" style="77" customWidth="1"/>
    <col min="12037" max="12038" width="13.140625" style="77" customWidth="1"/>
    <col min="12039" max="12039" width="11.7109375" style="77" customWidth="1"/>
    <col min="12040" max="12040" width="14.85546875" style="77" customWidth="1"/>
    <col min="12041" max="12041" width="13.42578125" style="77" bestFit="1" customWidth="1"/>
    <col min="12042" max="12042" width="14.85546875" style="77" customWidth="1"/>
    <col min="12043" max="12043" width="13.42578125" style="77" customWidth="1"/>
    <col min="12044" max="12044" width="14.85546875" style="77" customWidth="1"/>
    <col min="12045" max="12045" width="16.5703125" style="77" customWidth="1"/>
    <col min="12046" max="12046" width="10.5703125" style="77" customWidth="1"/>
    <col min="12047" max="12047" width="12.42578125" style="77" bestFit="1" customWidth="1"/>
    <col min="12048" max="12281" width="9.140625" style="77"/>
    <col min="12282" max="12283" width="10" style="77" customWidth="1"/>
    <col min="12284" max="12284" width="9.140625" style="77"/>
    <col min="12285" max="12285" width="24" style="77" customWidth="1"/>
    <col min="12286" max="12286" width="12.85546875" style="77" customWidth="1"/>
    <col min="12287" max="12288" width="13.140625" style="77" customWidth="1"/>
    <col min="12289" max="12289" width="9.140625" style="77"/>
    <col min="12290" max="12290" width="12.85546875" style="77" customWidth="1"/>
    <col min="12291" max="12291" width="9.140625" style="77"/>
    <col min="12292" max="12292" width="11.5703125" style="77" customWidth="1"/>
    <col min="12293" max="12294" width="13.140625" style="77" customWidth="1"/>
    <col min="12295" max="12295" width="11.7109375" style="77" customWidth="1"/>
    <col min="12296" max="12296" width="14.85546875" style="77" customWidth="1"/>
    <col min="12297" max="12297" width="13.42578125" style="77" bestFit="1" customWidth="1"/>
    <col min="12298" max="12298" width="14.85546875" style="77" customWidth="1"/>
    <col min="12299" max="12299" width="13.42578125" style="77" customWidth="1"/>
    <col min="12300" max="12300" width="14.85546875" style="77" customWidth="1"/>
    <col min="12301" max="12301" width="16.5703125" style="77" customWidth="1"/>
    <col min="12302" max="12302" width="10.5703125" style="77" customWidth="1"/>
    <col min="12303" max="12303" width="12.42578125" style="77" bestFit="1" customWidth="1"/>
    <col min="12304" max="12537" width="9.140625" style="77"/>
    <col min="12538" max="12539" width="10" style="77" customWidth="1"/>
    <col min="12540" max="12540" width="9.140625" style="77"/>
    <col min="12541" max="12541" width="24" style="77" customWidth="1"/>
    <col min="12542" max="12542" width="12.85546875" style="77" customWidth="1"/>
    <col min="12543" max="12544" width="13.140625" style="77" customWidth="1"/>
    <col min="12545" max="12545" width="9.140625" style="77"/>
    <col min="12546" max="12546" width="12.85546875" style="77" customWidth="1"/>
    <col min="12547" max="12547" width="9.140625" style="77"/>
    <col min="12548" max="12548" width="11.5703125" style="77" customWidth="1"/>
    <col min="12549" max="12550" width="13.140625" style="77" customWidth="1"/>
    <col min="12551" max="12551" width="11.7109375" style="77" customWidth="1"/>
    <col min="12552" max="12552" width="14.85546875" style="77" customWidth="1"/>
    <col min="12553" max="12553" width="13.42578125" style="77" bestFit="1" customWidth="1"/>
    <col min="12554" max="12554" width="14.85546875" style="77" customWidth="1"/>
    <col min="12555" max="12555" width="13.42578125" style="77" customWidth="1"/>
    <col min="12556" max="12556" width="14.85546875" style="77" customWidth="1"/>
    <col min="12557" max="12557" width="16.5703125" style="77" customWidth="1"/>
    <col min="12558" max="12558" width="10.5703125" style="77" customWidth="1"/>
    <col min="12559" max="12559" width="12.42578125" style="77" bestFit="1" customWidth="1"/>
    <col min="12560" max="12793" width="9.140625" style="77"/>
    <col min="12794" max="12795" width="10" style="77" customWidth="1"/>
    <col min="12796" max="12796" width="9.140625" style="77"/>
    <col min="12797" max="12797" width="24" style="77" customWidth="1"/>
    <col min="12798" max="12798" width="12.85546875" style="77" customWidth="1"/>
    <col min="12799" max="12800" width="13.140625" style="77" customWidth="1"/>
    <col min="12801" max="12801" width="9.140625" style="77"/>
    <col min="12802" max="12802" width="12.85546875" style="77" customWidth="1"/>
    <col min="12803" max="12803" width="9.140625" style="77"/>
    <col min="12804" max="12804" width="11.5703125" style="77" customWidth="1"/>
    <col min="12805" max="12806" width="13.140625" style="77" customWidth="1"/>
    <col min="12807" max="12807" width="11.7109375" style="77" customWidth="1"/>
    <col min="12808" max="12808" width="14.85546875" style="77" customWidth="1"/>
    <col min="12809" max="12809" width="13.42578125" style="77" bestFit="1" customWidth="1"/>
    <col min="12810" max="12810" width="14.85546875" style="77" customWidth="1"/>
    <col min="12811" max="12811" width="13.42578125" style="77" customWidth="1"/>
    <col min="12812" max="12812" width="14.85546875" style="77" customWidth="1"/>
    <col min="12813" max="12813" width="16.5703125" style="77" customWidth="1"/>
    <col min="12814" max="12814" width="10.5703125" style="77" customWidth="1"/>
    <col min="12815" max="12815" width="12.42578125" style="77" bestFit="1" customWidth="1"/>
    <col min="12816" max="13049" width="9.140625" style="77"/>
    <col min="13050" max="13051" width="10" style="77" customWidth="1"/>
    <col min="13052" max="13052" width="9.140625" style="77"/>
    <col min="13053" max="13053" width="24" style="77" customWidth="1"/>
    <col min="13054" max="13054" width="12.85546875" style="77" customWidth="1"/>
    <col min="13055" max="13056" width="13.140625" style="77" customWidth="1"/>
    <col min="13057" max="13057" width="9.140625" style="77"/>
    <col min="13058" max="13058" width="12.85546875" style="77" customWidth="1"/>
    <col min="13059" max="13059" width="9.140625" style="77"/>
    <col min="13060" max="13060" width="11.5703125" style="77" customWidth="1"/>
    <col min="13061" max="13062" width="13.140625" style="77" customWidth="1"/>
    <col min="13063" max="13063" width="11.7109375" style="77" customWidth="1"/>
    <col min="13064" max="13064" width="14.85546875" style="77" customWidth="1"/>
    <col min="13065" max="13065" width="13.42578125" style="77" bestFit="1" customWidth="1"/>
    <col min="13066" max="13066" width="14.85546875" style="77" customWidth="1"/>
    <col min="13067" max="13067" width="13.42578125" style="77" customWidth="1"/>
    <col min="13068" max="13068" width="14.85546875" style="77" customWidth="1"/>
    <col min="13069" max="13069" width="16.5703125" style="77" customWidth="1"/>
    <col min="13070" max="13070" width="10.5703125" style="77" customWidth="1"/>
    <col min="13071" max="13071" width="12.42578125" style="77" bestFit="1" customWidth="1"/>
    <col min="13072" max="13305" width="9.140625" style="77"/>
    <col min="13306" max="13307" width="10" style="77" customWidth="1"/>
    <col min="13308" max="13308" width="9.140625" style="77"/>
    <col min="13309" max="13309" width="24" style="77" customWidth="1"/>
    <col min="13310" max="13310" width="12.85546875" style="77" customWidth="1"/>
    <col min="13311" max="13312" width="13.140625" style="77" customWidth="1"/>
    <col min="13313" max="13313" width="9.140625" style="77"/>
    <col min="13314" max="13314" width="12.85546875" style="77" customWidth="1"/>
    <col min="13315" max="13315" width="9.140625" style="77"/>
    <col min="13316" max="13316" width="11.5703125" style="77" customWidth="1"/>
    <col min="13317" max="13318" width="13.140625" style="77" customWidth="1"/>
    <col min="13319" max="13319" width="11.7109375" style="77" customWidth="1"/>
    <col min="13320" max="13320" width="14.85546875" style="77" customWidth="1"/>
    <col min="13321" max="13321" width="13.42578125" style="77" bestFit="1" customWidth="1"/>
    <col min="13322" max="13322" width="14.85546875" style="77" customWidth="1"/>
    <col min="13323" max="13323" width="13.42578125" style="77" customWidth="1"/>
    <col min="13324" max="13324" width="14.85546875" style="77" customWidth="1"/>
    <col min="13325" max="13325" width="16.5703125" style="77" customWidth="1"/>
    <col min="13326" max="13326" width="10.5703125" style="77" customWidth="1"/>
    <col min="13327" max="13327" width="12.42578125" style="77" bestFit="1" customWidth="1"/>
    <col min="13328" max="13561" width="9.140625" style="77"/>
    <col min="13562" max="13563" width="10" style="77" customWidth="1"/>
    <col min="13564" max="13564" width="9.140625" style="77"/>
    <col min="13565" max="13565" width="24" style="77" customWidth="1"/>
    <col min="13566" max="13566" width="12.85546875" style="77" customWidth="1"/>
    <col min="13567" max="13568" width="13.140625" style="77" customWidth="1"/>
    <col min="13569" max="13569" width="9.140625" style="77"/>
    <col min="13570" max="13570" width="12.85546875" style="77" customWidth="1"/>
    <col min="13571" max="13571" width="9.140625" style="77"/>
    <col min="13572" max="13572" width="11.5703125" style="77" customWidth="1"/>
    <col min="13573" max="13574" width="13.140625" style="77" customWidth="1"/>
    <col min="13575" max="13575" width="11.7109375" style="77" customWidth="1"/>
    <col min="13576" max="13576" width="14.85546875" style="77" customWidth="1"/>
    <col min="13577" max="13577" width="13.42578125" style="77" bestFit="1" customWidth="1"/>
    <col min="13578" max="13578" width="14.85546875" style="77" customWidth="1"/>
    <col min="13579" max="13579" width="13.42578125" style="77" customWidth="1"/>
    <col min="13580" max="13580" width="14.85546875" style="77" customWidth="1"/>
    <col min="13581" max="13581" width="16.5703125" style="77" customWidth="1"/>
    <col min="13582" max="13582" width="10.5703125" style="77" customWidth="1"/>
    <col min="13583" max="13583" width="12.42578125" style="77" bestFit="1" customWidth="1"/>
    <col min="13584" max="13817" width="9.140625" style="77"/>
    <col min="13818" max="13819" width="10" style="77" customWidth="1"/>
    <col min="13820" max="13820" width="9.140625" style="77"/>
    <col min="13821" max="13821" width="24" style="77" customWidth="1"/>
    <col min="13822" max="13822" width="12.85546875" style="77" customWidth="1"/>
    <col min="13823" max="13824" width="13.140625" style="77" customWidth="1"/>
    <col min="13825" max="13825" width="9.140625" style="77"/>
    <col min="13826" max="13826" width="12.85546875" style="77" customWidth="1"/>
    <col min="13827" max="13827" width="9.140625" style="77"/>
    <col min="13828" max="13828" width="11.5703125" style="77" customWidth="1"/>
    <col min="13829" max="13830" width="13.140625" style="77" customWidth="1"/>
    <col min="13831" max="13831" width="11.7109375" style="77" customWidth="1"/>
    <col min="13832" max="13832" width="14.85546875" style="77" customWidth="1"/>
    <col min="13833" max="13833" width="13.42578125" style="77" bestFit="1" customWidth="1"/>
    <col min="13834" max="13834" width="14.85546875" style="77" customWidth="1"/>
    <col min="13835" max="13835" width="13.42578125" style="77" customWidth="1"/>
    <col min="13836" max="13836" width="14.85546875" style="77" customWidth="1"/>
    <col min="13837" max="13837" width="16.5703125" style="77" customWidth="1"/>
    <col min="13838" max="13838" width="10.5703125" style="77" customWidth="1"/>
    <col min="13839" max="13839" width="12.42578125" style="77" bestFit="1" customWidth="1"/>
    <col min="13840" max="14073" width="9.140625" style="77"/>
    <col min="14074" max="14075" width="10" style="77" customWidth="1"/>
    <col min="14076" max="14076" width="9.140625" style="77"/>
    <col min="14077" max="14077" width="24" style="77" customWidth="1"/>
    <col min="14078" max="14078" width="12.85546875" style="77" customWidth="1"/>
    <col min="14079" max="14080" width="13.140625" style="77" customWidth="1"/>
    <col min="14081" max="14081" width="9.140625" style="77"/>
    <col min="14082" max="14082" width="12.85546875" style="77" customWidth="1"/>
    <col min="14083" max="14083" width="9.140625" style="77"/>
    <col min="14084" max="14084" width="11.5703125" style="77" customWidth="1"/>
    <col min="14085" max="14086" width="13.140625" style="77" customWidth="1"/>
    <col min="14087" max="14087" width="11.7109375" style="77" customWidth="1"/>
    <col min="14088" max="14088" width="14.85546875" style="77" customWidth="1"/>
    <col min="14089" max="14089" width="13.42578125" style="77" bestFit="1" customWidth="1"/>
    <col min="14090" max="14090" width="14.85546875" style="77" customWidth="1"/>
    <col min="14091" max="14091" width="13.42578125" style="77" customWidth="1"/>
    <col min="14092" max="14092" width="14.85546875" style="77" customWidth="1"/>
    <col min="14093" max="14093" width="16.5703125" style="77" customWidth="1"/>
    <col min="14094" max="14094" width="10.5703125" style="77" customWidth="1"/>
    <col min="14095" max="14095" width="12.42578125" style="77" bestFit="1" customWidth="1"/>
    <col min="14096" max="14329" width="9.140625" style="77"/>
    <col min="14330" max="14331" width="10" style="77" customWidth="1"/>
    <col min="14332" max="14332" width="9.140625" style="77"/>
    <col min="14333" max="14333" width="24" style="77" customWidth="1"/>
    <col min="14334" max="14334" width="12.85546875" style="77" customWidth="1"/>
    <col min="14335" max="14336" width="13.140625" style="77" customWidth="1"/>
    <col min="14337" max="14337" width="9.140625" style="77"/>
    <col min="14338" max="14338" width="12.85546875" style="77" customWidth="1"/>
    <col min="14339" max="14339" width="9.140625" style="77"/>
    <col min="14340" max="14340" width="11.5703125" style="77" customWidth="1"/>
    <col min="14341" max="14342" width="13.140625" style="77" customWidth="1"/>
    <col min="14343" max="14343" width="11.7109375" style="77" customWidth="1"/>
    <col min="14344" max="14344" width="14.85546875" style="77" customWidth="1"/>
    <col min="14345" max="14345" width="13.42578125" style="77" bestFit="1" customWidth="1"/>
    <col min="14346" max="14346" width="14.85546875" style="77" customWidth="1"/>
    <col min="14347" max="14347" width="13.42578125" style="77" customWidth="1"/>
    <col min="14348" max="14348" width="14.85546875" style="77" customWidth="1"/>
    <col min="14349" max="14349" width="16.5703125" style="77" customWidth="1"/>
    <col min="14350" max="14350" width="10.5703125" style="77" customWidth="1"/>
    <col min="14351" max="14351" width="12.42578125" style="77" bestFit="1" customWidth="1"/>
    <col min="14352" max="14585" width="9.140625" style="77"/>
    <col min="14586" max="14587" width="10" style="77" customWidth="1"/>
    <col min="14588" max="14588" width="9.140625" style="77"/>
    <col min="14589" max="14589" width="24" style="77" customWidth="1"/>
    <col min="14590" max="14590" width="12.85546875" style="77" customWidth="1"/>
    <col min="14591" max="14592" width="13.140625" style="77" customWidth="1"/>
    <col min="14593" max="14593" width="9.140625" style="77"/>
    <col min="14594" max="14594" width="12.85546875" style="77" customWidth="1"/>
    <col min="14595" max="14595" width="9.140625" style="77"/>
    <col min="14596" max="14596" width="11.5703125" style="77" customWidth="1"/>
    <col min="14597" max="14598" width="13.140625" style="77" customWidth="1"/>
    <col min="14599" max="14599" width="11.7109375" style="77" customWidth="1"/>
    <col min="14600" max="14600" width="14.85546875" style="77" customWidth="1"/>
    <col min="14601" max="14601" width="13.42578125" style="77" bestFit="1" customWidth="1"/>
    <col min="14602" max="14602" width="14.85546875" style="77" customWidth="1"/>
    <col min="14603" max="14603" width="13.42578125" style="77" customWidth="1"/>
    <col min="14604" max="14604" width="14.85546875" style="77" customWidth="1"/>
    <col min="14605" max="14605" width="16.5703125" style="77" customWidth="1"/>
    <col min="14606" max="14606" width="10.5703125" style="77" customWidth="1"/>
    <col min="14607" max="14607" width="12.42578125" style="77" bestFit="1" customWidth="1"/>
    <col min="14608" max="14841" width="9.140625" style="77"/>
    <col min="14842" max="14843" width="10" style="77" customWidth="1"/>
    <col min="14844" max="14844" width="9.140625" style="77"/>
    <col min="14845" max="14845" width="24" style="77" customWidth="1"/>
    <col min="14846" max="14846" width="12.85546875" style="77" customWidth="1"/>
    <col min="14847" max="14848" width="13.140625" style="77" customWidth="1"/>
    <col min="14849" max="14849" width="9.140625" style="77"/>
    <col min="14850" max="14850" width="12.85546875" style="77" customWidth="1"/>
    <col min="14851" max="14851" width="9.140625" style="77"/>
    <col min="14852" max="14852" width="11.5703125" style="77" customWidth="1"/>
    <col min="14853" max="14854" width="13.140625" style="77" customWidth="1"/>
    <col min="14855" max="14855" width="11.7109375" style="77" customWidth="1"/>
    <col min="14856" max="14856" width="14.85546875" style="77" customWidth="1"/>
    <col min="14857" max="14857" width="13.42578125" style="77" bestFit="1" customWidth="1"/>
    <col min="14858" max="14858" width="14.85546875" style="77" customWidth="1"/>
    <col min="14859" max="14859" width="13.42578125" style="77" customWidth="1"/>
    <col min="14860" max="14860" width="14.85546875" style="77" customWidth="1"/>
    <col min="14861" max="14861" width="16.5703125" style="77" customWidth="1"/>
    <col min="14862" max="14862" width="10.5703125" style="77" customWidth="1"/>
    <col min="14863" max="14863" width="12.42578125" style="77" bestFit="1" customWidth="1"/>
    <col min="14864" max="15097" width="9.140625" style="77"/>
    <col min="15098" max="15099" width="10" style="77" customWidth="1"/>
    <col min="15100" max="15100" width="9.140625" style="77"/>
    <col min="15101" max="15101" width="24" style="77" customWidth="1"/>
    <col min="15102" max="15102" width="12.85546875" style="77" customWidth="1"/>
    <col min="15103" max="15104" width="13.140625" style="77" customWidth="1"/>
    <col min="15105" max="15105" width="9.140625" style="77"/>
    <col min="15106" max="15106" width="12.85546875" style="77" customWidth="1"/>
    <col min="15107" max="15107" width="9.140625" style="77"/>
    <col min="15108" max="15108" width="11.5703125" style="77" customWidth="1"/>
    <col min="15109" max="15110" width="13.140625" style="77" customWidth="1"/>
    <col min="15111" max="15111" width="11.7109375" style="77" customWidth="1"/>
    <col min="15112" max="15112" width="14.85546875" style="77" customWidth="1"/>
    <col min="15113" max="15113" width="13.42578125" style="77" bestFit="1" customWidth="1"/>
    <col min="15114" max="15114" width="14.85546875" style="77" customWidth="1"/>
    <col min="15115" max="15115" width="13.42578125" style="77" customWidth="1"/>
    <col min="15116" max="15116" width="14.85546875" style="77" customWidth="1"/>
    <col min="15117" max="15117" width="16.5703125" style="77" customWidth="1"/>
    <col min="15118" max="15118" width="10.5703125" style="77" customWidth="1"/>
    <col min="15119" max="15119" width="12.42578125" style="77" bestFit="1" customWidth="1"/>
    <col min="15120" max="15353" width="9.140625" style="77"/>
    <col min="15354" max="15355" width="10" style="77" customWidth="1"/>
    <col min="15356" max="15356" width="9.140625" style="77"/>
    <col min="15357" max="15357" width="24" style="77" customWidth="1"/>
    <col min="15358" max="15358" width="12.85546875" style="77" customWidth="1"/>
    <col min="15359" max="15360" width="13.140625" style="77" customWidth="1"/>
    <col min="15361" max="15361" width="9.140625" style="77"/>
    <col min="15362" max="15362" width="12.85546875" style="77" customWidth="1"/>
    <col min="15363" max="15363" width="9.140625" style="77"/>
    <col min="15364" max="15364" width="11.5703125" style="77" customWidth="1"/>
    <col min="15365" max="15366" width="13.140625" style="77" customWidth="1"/>
    <col min="15367" max="15367" width="11.7109375" style="77" customWidth="1"/>
    <col min="15368" max="15368" width="14.85546875" style="77" customWidth="1"/>
    <col min="15369" max="15369" width="13.42578125" style="77" bestFit="1" customWidth="1"/>
    <col min="15370" max="15370" width="14.85546875" style="77" customWidth="1"/>
    <col min="15371" max="15371" width="13.42578125" style="77" customWidth="1"/>
    <col min="15372" max="15372" width="14.85546875" style="77" customWidth="1"/>
    <col min="15373" max="15373" width="16.5703125" style="77" customWidth="1"/>
    <col min="15374" max="15374" width="10.5703125" style="77" customWidth="1"/>
    <col min="15375" max="15375" width="12.42578125" style="77" bestFit="1" customWidth="1"/>
    <col min="15376" max="15609" width="9.140625" style="77"/>
    <col min="15610" max="15611" width="10" style="77" customWidth="1"/>
    <col min="15612" max="15612" width="9.140625" style="77"/>
    <col min="15613" max="15613" width="24" style="77" customWidth="1"/>
    <col min="15614" max="15614" width="12.85546875" style="77" customWidth="1"/>
    <col min="15615" max="15616" width="13.140625" style="77" customWidth="1"/>
    <col min="15617" max="15617" width="9.140625" style="77"/>
    <col min="15618" max="15618" width="12.85546875" style="77" customWidth="1"/>
    <col min="15619" max="15619" width="9.140625" style="77"/>
    <col min="15620" max="15620" width="11.5703125" style="77" customWidth="1"/>
    <col min="15621" max="15622" width="13.140625" style="77" customWidth="1"/>
    <col min="15623" max="15623" width="11.7109375" style="77" customWidth="1"/>
    <col min="15624" max="15624" width="14.85546875" style="77" customWidth="1"/>
    <col min="15625" max="15625" width="13.42578125" style="77" bestFit="1" customWidth="1"/>
    <col min="15626" max="15626" width="14.85546875" style="77" customWidth="1"/>
    <col min="15627" max="15627" width="13.42578125" style="77" customWidth="1"/>
    <col min="15628" max="15628" width="14.85546875" style="77" customWidth="1"/>
    <col min="15629" max="15629" width="16.5703125" style="77" customWidth="1"/>
    <col min="15630" max="15630" width="10.5703125" style="77" customWidth="1"/>
    <col min="15631" max="15631" width="12.42578125" style="77" bestFit="1" customWidth="1"/>
    <col min="15632" max="15865" width="9.140625" style="77"/>
    <col min="15866" max="15867" width="10" style="77" customWidth="1"/>
    <col min="15868" max="15868" width="9.140625" style="77"/>
    <col min="15869" max="15869" width="24" style="77" customWidth="1"/>
    <col min="15870" max="15870" width="12.85546875" style="77" customWidth="1"/>
    <col min="15871" max="15872" width="13.140625" style="77" customWidth="1"/>
    <col min="15873" max="15873" width="9.140625" style="77"/>
    <col min="15874" max="15874" width="12.85546875" style="77" customWidth="1"/>
    <col min="15875" max="15875" width="9.140625" style="77"/>
    <col min="15876" max="15876" width="11.5703125" style="77" customWidth="1"/>
    <col min="15877" max="15878" width="13.140625" style="77" customWidth="1"/>
    <col min="15879" max="15879" width="11.7109375" style="77" customWidth="1"/>
    <col min="15880" max="15880" width="14.85546875" style="77" customWidth="1"/>
    <col min="15881" max="15881" width="13.42578125" style="77" bestFit="1" customWidth="1"/>
    <col min="15882" max="15882" width="14.85546875" style="77" customWidth="1"/>
    <col min="15883" max="15883" width="13.42578125" style="77" customWidth="1"/>
    <col min="15884" max="15884" width="14.85546875" style="77" customWidth="1"/>
    <col min="15885" max="15885" width="16.5703125" style="77" customWidth="1"/>
    <col min="15886" max="15886" width="10.5703125" style="77" customWidth="1"/>
    <col min="15887" max="15887" width="12.42578125" style="77" bestFit="1" customWidth="1"/>
    <col min="15888" max="16121" width="9.140625" style="77"/>
    <col min="16122" max="16123" width="10" style="77" customWidth="1"/>
    <col min="16124" max="16124" width="9.140625" style="77"/>
    <col min="16125" max="16125" width="24" style="77" customWidth="1"/>
    <col min="16126" max="16126" width="12.85546875" style="77" customWidth="1"/>
    <col min="16127" max="16128" width="13.140625" style="77" customWidth="1"/>
    <col min="16129" max="16129" width="9.140625" style="77"/>
    <col min="16130" max="16130" width="12.85546875" style="77" customWidth="1"/>
    <col min="16131" max="16131" width="9.140625" style="77"/>
    <col min="16132" max="16132" width="11.5703125" style="77" customWidth="1"/>
    <col min="16133" max="16134" width="13.140625" style="77" customWidth="1"/>
    <col min="16135" max="16135" width="11.7109375" style="77" customWidth="1"/>
    <col min="16136" max="16136" width="14.85546875" style="77" customWidth="1"/>
    <col min="16137" max="16137" width="13.42578125" style="77" bestFit="1" customWidth="1"/>
    <col min="16138" max="16138" width="14.85546875" style="77" customWidth="1"/>
    <col min="16139" max="16139" width="13.42578125" style="77" customWidth="1"/>
    <col min="16140" max="16140" width="14.85546875" style="77" customWidth="1"/>
    <col min="16141" max="16141" width="16.5703125" style="77" customWidth="1"/>
    <col min="16142" max="16142" width="10.5703125" style="77" customWidth="1"/>
    <col min="16143" max="16143" width="12.42578125" style="77" bestFit="1" customWidth="1"/>
    <col min="16144" max="16384" width="9.140625" style="77"/>
  </cols>
  <sheetData>
    <row r="1" spans="1:22" x14ac:dyDescent="0.2">
      <c r="A1" s="75" t="s">
        <v>102</v>
      </c>
      <c r="B1" s="76"/>
    </row>
    <row r="2" spans="1:22" x14ac:dyDescent="0.2">
      <c r="A2" s="76" t="s">
        <v>126</v>
      </c>
      <c r="B2" s="76"/>
      <c r="J2" s="97" t="s">
        <v>103</v>
      </c>
      <c r="M2" s="155" t="s">
        <v>104</v>
      </c>
    </row>
    <row r="3" spans="1:22" x14ac:dyDescent="0.2">
      <c r="A3" s="76" t="s">
        <v>156</v>
      </c>
      <c r="B3" s="76"/>
      <c r="J3" s="97"/>
    </row>
    <row r="4" spans="1:22" x14ac:dyDescent="0.2">
      <c r="A4" s="192" t="s">
        <v>113</v>
      </c>
      <c r="B4" s="371" t="s">
        <v>159</v>
      </c>
      <c r="J4" s="192" t="s">
        <v>92</v>
      </c>
      <c r="M4" s="155" t="s">
        <v>163</v>
      </c>
    </row>
    <row r="5" spans="1:22" x14ac:dyDescent="0.2">
      <c r="A5" s="76"/>
      <c r="B5" s="76"/>
    </row>
    <row r="6" spans="1:22" x14ac:dyDescent="0.2">
      <c r="A6" s="76" t="s">
        <v>1</v>
      </c>
      <c r="B6" s="188">
        <v>2012</v>
      </c>
    </row>
    <row r="8" spans="1:22" s="93" customFormat="1" ht="51" x14ac:dyDescent="0.2">
      <c r="A8" s="232" t="s">
        <v>5</v>
      </c>
      <c r="B8" s="186" t="s">
        <v>7</v>
      </c>
      <c r="C8" s="168" t="s">
        <v>106</v>
      </c>
      <c r="D8" s="186" t="s">
        <v>9</v>
      </c>
      <c r="E8" s="168" t="s">
        <v>107</v>
      </c>
      <c r="F8" s="168" t="s">
        <v>105</v>
      </c>
      <c r="G8" s="169" t="s">
        <v>13</v>
      </c>
      <c r="H8" s="186" t="s">
        <v>108</v>
      </c>
      <c r="I8" s="186" t="s">
        <v>15</v>
      </c>
      <c r="J8" s="170" t="s">
        <v>111</v>
      </c>
      <c r="K8" s="187" t="s">
        <v>110</v>
      </c>
      <c r="L8" s="187" t="s">
        <v>109</v>
      </c>
      <c r="M8" s="187" t="s">
        <v>112</v>
      </c>
      <c r="N8" s="168" t="s">
        <v>101</v>
      </c>
      <c r="O8" s="83"/>
      <c r="P8" s="83"/>
      <c r="Q8" s="83"/>
      <c r="R8" s="83"/>
      <c r="S8" s="83"/>
      <c r="T8" s="83"/>
      <c r="U8" s="83"/>
      <c r="V8" s="83"/>
    </row>
    <row r="9" spans="1:22" x14ac:dyDescent="0.2">
      <c r="A9" s="203" t="s">
        <v>162</v>
      </c>
      <c r="B9" s="205"/>
      <c r="C9" s="206"/>
      <c r="D9" s="206">
        <v>25</v>
      </c>
      <c r="E9" s="206">
        <f>+C9+D9</f>
        <v>25</v>
      </c>
      <c r="F9" s="207">
        <f t="shared" ref="F9:F27" si="0">IF(D9&gt;0,1/D9,0)</f>
        <v>0.04</v>
      </c>
      <c r="G9" s="222">
        <v>737952.52</v>
      </c>
      <c r="H9" s="209">
        <f t="shared" ref="H9:H30" si="1">IF(+G9&gt;0,IF(+$B$6-C9+1&gt;D9,D9,+$B$6-C9+1),0)</f>
        <v>25</v>
      </c>
      <c r="I9" s="209">
        <f t="shared" ref="I9:I42" si="2">IF(E9&gt;=$B$6,+D9-H9,0)</f>
        <v>0</v>
      </c>
      <c r="J9" s="208">
        <f t="shared" ref="J9:J42" si="3">+G9*F9</f>
        <v>29518.1008</v>
      </c>
      <c r="K9" s="222">
        <f t="shared" ref="K9:K30" si="4">IF(E9&gt;=$B$6,+J9,0)</f>
        <v>0</v>
      </c>
      <c r="L9" s="222">
        <f t="shared" ref="L9:L42" si="5">+J9*H9</f>
        <v>737952.52</v>
      </c>
      <c r="M9" s="222">
        <f t="shared" ref="M9:M42" si="6">+G9-L9</f>
        <v>0</v>
      </c>
      <c r="N9" s="206"/>
    </row>
    <row r="10" spans="1:22" x14ac:dyDescent="0.2">
      <c r="A10" s="203" t="s">
        <v>162</v>
      </c>
      <c r="B10" s="205">
        <v>29951</v>
      </c>
      <c r="C10" s="206">
        <v>1981</v>
      </c>
      <c r="D10" s="206">
        <v>25</v>
      </c>
      <c r="E10" s="206">
        <f>+C10+D10-1</f>
        <v>2005</v>
      </c>
      <c r="F10" s="207">
        <f t="shared" si="0"/>
        <v>0.04</v>
      </c>
      <c r="G10" s="220">
        <v>12138.28</v>
      </c>
      <c r="H10" s="209">
        <f t="shared" si="1"/>
        <v>25</v>
      </c>
      <c r="I10" s="209">
        <f t="shared" si="2"/>
        <v>0</v>
      </c>
      <c r="J10" s="220">
        <f t="shared" si="3"/>
        <v>485.53120000000001</v>
      </c>
      <c r="K10" s="220">
        <f t="shared" si="4"/>
        <v>0</v>
      </c>
      <c r="L10" s="220">
        <f t="shared" si="5"/>
        <v>12138.28</v>
      </c>
      <c r="M10" s="220">
        <f t="shared" si="6"/>
        <v>0</v>
      </c>
      <c r="N10" s="206"/>
    </row>
    <row r="11" spans="1:22" x14ac:dyDescent="0.2">
      <c r="A11" s="203" t="s">
        <v>162</v>
      </c>
      <c r="B11" s="205">
        <v>30316</v>
      </c>
      <c r="C11" s="206">
        <v>1982</v>
      </c>
      <c r="D11" s="206">
        <v>25</v>
      </c>
      <c r="E11" s="206">
        <f t="shared" ref="E11:E27" si="7">+C11+D11-1</f>
        <v>2006</v>
      </c>
      <c r="F11" s="207">
        <f t="shared" si="0"/>
        <v>0.04</v>
      </c>
      <c r="G11" s="220">
        <v>22584.09</v>
      </c>
      <c r="H11" s="209">
        <f t="shared" si="1"/>
        <v>25</v>
      </c>
      <c r="I11" s="209">
        <f t="shared" si="2"/>
        <v>0</v>
      </c>
      <c r="J11" s="220">
        <f t="shared" si="3"/>
        <v>903.36360000000002</v>
      </c>
      <c r="K11" s="220">
        <f t="shared" si="4"/>
        <v>0</v>
      </c>
      <c r="L11" s="220">
        <f t="shared" si="5"/>
        <v>22584.09</v>
      </c>
      <c r="M11" s="220">
        <f t="shared" si="6"/>
        <v>0</v>
      </c>
      <c r="N11" s="206"/>
    </row>
    <row r="12" spans="1:22" x14ac:dyDescent="0.2">
      <c r="A12" s="203" t="s">
        <v>162</v>
      </c>
      <c r="B12" s="205">
        <v>30681</v>
      </c>
      <c r="C12" s="206">
        <v>1983</v>
      </c>
      <c r="D12" s="206">
        <v>25</v>
      </c>
      <c r="E12" s="206">
        <f t="shared" si="7"/>
        <v>2007</v>
      </c>
      <c r="F12" s="207">
        <f t="shared" si="0"/>
        <v>0.04</v>
      </c>
      <c r="G12" s="220">
        <v>24201.82</v>
      </c>
      <c r="H12" s="209">
        <f t="shared" si="1"/>
        <v>25</v>
      </c>
      <c r="I12" s="209">
        <f t="shared" si="2"/>
        <v>0</v>
      </c>
      <c r="J12" s="220">
        <f t="shared" si="3"/>
        <v>968.07280000000003</v>
      </c>
      <c r="K12" s="220">
        <f t="shared" si="4"/>
        <v>0</v>
      </c>
      <c r="L12" s="220">
        <f t="shared" si="5"/>
        <v>24201.82</v>
      </c>
      <c r="M12" s="220">
        <f t="shared" si="6"/>
        <v>0</v>
      </c>
      <c r="N12" s="206"/>
    </row>
    <row r="13" spans="1:22" x14ac:dyDescent="0.2">
      <c r="A13" s="203" t="s">
        <v>162</v>
      </c>
      <c r="B13" s="205">
        <v>31047</v>
      </c>
      <c r="C13" s="206">
        <v>1984</v>
      </c>
      <c r="D13" s="206">
        <v>25</v>
      </c>
      <c r="E13" s="206">
        <f t="shared" si="7"/>
        <v>2008</v>
      </c>
      <c r="F13" s="207">
        <f t="shared" si="0"/>
        <v>0.04</v>
      </c>
      <c r="G13" s="220">
        <v>36799.57</v>
      </c>
      <c r="H13" s="209">
        <f t="shared" si="1"/>
        <v>25</v>
      </c>
      <c r="I13" s="209">
        <f t="shared" si="2"/>
        <v>0</v>
      </c>
      <c r="J13" s="220">
        <f t="shared" si="3"/>
        <v>1471.9828</v>
      </c>
      <c r="K13" s="220">
        <f t="shared" si="4"/>
        <v>0</v>
      </c>
      <c r="L13" s="220">
        <f t="shared" si="5"/>
        <v>36799.57</v>
      </c>
      <c r="M13" s="220">
        <f t="shared" si="6"/>
        <v>0</v>
      </c>
      <c r="N13" s="206"/>
    </row>
    <row r="14" spans="1:22" x14ac:dyDescent="0.2">
      <c r="A14" s="203" t="s">
        <v>162</v>
      </c>
      <c r="B14" s="205">
        <v>31412</v>
      </c>
      <c r="C14" s="206">
        <v>1985</v>
      </c>
      <c r="D14" s="206">
        <v>25</v>
      </c>
      <c r="E14" s="206">
        <f t="shared" si="7"/>
        <v>2009</v>
      </c>
      <c r="F14" s="207">
        <f t="shared" si="0"/>
        <v>0.04</v>
      </c>
      <c r="G14" s="220">
        <v>47881.65</v>
      </c>
      <c r="H14" s="209">
        <f t="shared" si="1"/>
        <v>25</v>
      </c>
      <c r="I14" s="209">
        <f t="shared" si="2"/>
        <v>0</v>
      </c>
      <c r="J14" s="220">
        <f t="shared" si="3"/>
        <v>1915.2660000000001</v>
      </c>
      <c r="K14" s="220">
        <f t="shared" si="4"/>
        <v>0</v>
      </c>
      <c r="L14" s="220">
        <f t="shared" si="5"/>
        <v>47881.65</v>
      </c>
      <c r="M14" s="220">
        <f t="shared" si="6"/>
        <v>0</v>
      </c>
      <c r="N14" s="206"/>
      <c r="R14" s="77" t="s">
        <v>308</v>
      </c>
    </row>
    <row r="15" spans="1:22" x14ac:dyDescent="0.2">
      <c r="A15" s="203" t="s">
        <v>162</v>
      </c>
      <c r="B15" s="205">
        <v>31777</v>
      </c>
      <c r="C15" s="206">
        <v>1986</v>
      </c>
      <c r="D15" s="206">
        <v>25</v>
      </c>
      <c r="E15" s="206">
        <f t="shared" si="7"/>
        <v>2010</v>
      </c>
      <c r="F15" s="207">
        <f t="shared" si="0"/>
        <v>0.04</v>
      </c>
      <c r="G15" s="220">
        <v>79726.179999999993</v>
      </c>
      <c r="H15" s="209">
        <f t="shared" si="1"/>
        <v>25</v>
      </c>
      <c r="I15" s="209">
        <f t="shared" si="2"/>
        <v>0</v>
      </c>
      <c r="J15" s="220">
        <f t="shared" si="3"/>
        <v>3189.0472</v>
      </c>
      <c r="K15" s="220">
        <f t="shared" si="4"/>
        <v>0</v>
      </c>
      <c r="L15" s="220">
        <f t="shared" si="5"/>
        <v>79726.179999999993</v>
      </c>
      <c r="M15" s="220">
        <f t="shared" si="6"/>
        <v>0</v>
      </c>
      <c r="N15" s="206"/>
      <c r="R15" s="77">
        <v>-383394</v>
      </c>
    </row>
    <row r="16" spans="1:22" x14ac:dyDescent="0.2">
      <c r="A16" s="203" t="s">
        <v>162</v>
      </c>
      <c r="B16" s="205">
        <v>32142</v>
      </c>
      <c r="C16" s="206">
        <v>1987</v>
      </c>
      <c r="D16" s="206">
        <v>25</v>
      </c>
      <c r="E16" s="206">
        <f t="shared" si="7"/>
        <v>2011</v>
      </c>
      <c r="F16" s="207">
        <f t="shared" si="0"/>
        <v>0.04</v>
      </c>
      <c r="G16" s="220">
        <v>170625.6</v>
      </c>
      <c r="H16" s="209">
        <f t="shared" si="1"/>
        <v>25</v>
      </c>
      <c r="I16" s="209">
        <f t="shared" si="2"/>
        <v>0</v>
      </c>
      <c r="J16" s="220">
        <f t="shared" si="3"/>
        <v>6825.0240000000003</v>
      </c>
      <c r="K16" s="220">
        <f t="shared" si="4"/>
        <v>0</v>
      </c>
      <c r="L16" s="220">
        <f t="shared" si="5"/>
        <v>170625.6</v>
      </c>
      <c r="M16" s="220">
        <f t="shared" si="6"/>
        <v>0</v>
      </c>
      <c r="N16" s="206"/>
      <c r="P16" s="77">
        <v>40</v>
      </c>
      <c r="R16" s="252">
        <f>+R15+M44</f>
        <v>2378222.7588</v>
      </c>
    </row>
    <row r="17" spans="1:18" x14ac:dyDescent="0.2">
      <c r="A17" s="203" t="s">
        <v>162</v>
      </c>
      <c r="B17" s="205">
        <v>32508</v>
      </c>
      <c r="C17" s="206">
        <v>1988</v>
      </c>
      <c r="D17" s="206">
        <v>25</v>
      </c>
      <c r="E17" s="206">
        <f t="shared" si="7"/>
        <v>2012</v>
      </c>
      <c r="F17" s="207">
        <f t="shared" si="0"/>
        <v>0.04</v>
      </c>
      <c r="G17" s="220">
        <v>90965.34</v>
      </c>
      <c r="H17" s="209">
        <f t="shared" si="1"/>
        <v>25</v>
      </c>
      <c r="I17" s="209">
        <f t="shared" si="2"/>
        <v>0</v>
      </c>
      <c r="J17" s="220">
        <f t="shared" si="3"/>
        <v>3638.6136000000001</v>
      </c>
      <c r="K17" s="220">
        <f t="shared" si="4"/>
        <v>3638.6136000000001</v>
      </c>
      <c r="L17" s="220">
        <f t="shared" si="5"/>
        <v>90965.34</v>
      </c>
      <c r="M17" s="220">
        <f t="shared" si="6"/>
        <v>0</v>
      </c>
      <c r="N17" s="206"/>
      <c r="O17" s="398">
        <f>+M17/$M$44</f>
        <v>0</v>
      </c>
      <c r="P17" s="88">
        <f>+$P$16-H17</f>
        <v>15</v>
      </c>
      <c r="Q17" s="77">
        <f>+O17*P17</f>
        <v>0</v>
      </c>
      <c r="R17" s="395">
        <f>+O17*$R$16</f>
        <v>0</v>
      </c>
    </row>
    <row r="18" spans="1:18" x14ac:dyDescent="0.2">
      <c r="A18" s="203" t="s">
        <v>162</v>
      </c>
      <c r="B18" s="205">
        <v>32873</v>
      </c>
      <c r="C18" s="206">
        <v>1989</v>
      </c>
      <c r="D18" s="206">
        <v>25</v>
      </c>
      <c r="E18" s="206">
        <f t="shared" si="7"/>
        <v>2013</v>
      </c>
      <c r="F18" s="207">
        <f t="shared" si="0"/>
        <v>0.04</v>
      </c>
      <c r="G18" s="220">
        <v>130014.13</v>
      </c>
      <c r="H18" s="209">
        <f t="shared" si="1"/>
        <v>24</v>
      </c>
      <c r="I18" s="209">
        <f t="shared" si="2"/>
        <v>1</v>
      </c>
      <c r="J18" s="220">
        <f t="shared" si="3"/>
        <v>5200.5652</v>
      </c>
      <c r="K18" s="220">
        <f t="shared" si="4"/>
        <v>5200.5652</v>
      </c>
      <c r="L18" s="220">
        <f t="shared" si="5"/>
        <v>124813.56479999999</v>
      </c>
      <c r="M18" s="220">
        <f t="shared" si="6"/>
        <v>5200.5652000000118</v>
      </c>
      <c r="N18" s="206"/>
      <c r="O18" s="398">
        <f t="shared" ref="O18:O42" si="8">+M18/$M$44</f>
        <v>1.8831596322799705E-3</v>
      </c>
      <c r="P18" s="88">
        <f t="shared" ref="P18:P42" si="9">+$P$16-H18</f>
        <v>16</v>
      </c>
      <c r="Q18" s="77">
        <f t="shared" ref="Q18:Q42" si="10">+O18*P18</f>
        <v>3.0130554116479528E-2</v>
      </c>
      <c r="R18" s="395">
        <f t="shared" ref="R18:R42" si="11">+O18*$R$16</f>
        <v>4478.5730959416651</v>
      </c>
    </row>
    <row r="19" spans="1:18" x14ac:dyDescent="0.2">
      <c r="A19" s="203" t="s">
        <v>162</v>
      </c>
      <c r="B19" s="205">
        <v>33238</v>
      </c>
      <c r="C19" s="206">
        <v>1990</v>
      </c>
      <c r="D19" s="206">
        <v>25</v>
      </c>
      <c r="E19" s="206">
        <f t="shared" si="7"/>
        <v>2014</v>
      </c>
      <c r="F19" s="207">
        <f t="shared" si="0"/>
        <v>0.04</v>
      </c>
      <c r="G19" s="220">
        <v>267302.17</v>
      </c>
      <c r="H19" s="209">
        <f t="shared" si="1"/>
        <v>23</v>
      </c>
      <c r="I19" s="209">
        <f t="shared" si="2"/>
        <v>2</v>
      </c>
      <c r="J19" s="220">
        <f t="shared" si="3"/>
        <v>10692.086799999999</v>
      </c>
      <c r="K19" s="220">
        <f t="shared" si="4"/>
        <v>10692.086799999999</v>
      </c>
      <c r="L19" s="220">
        <f t="shared" si="5"/>
        <v>245917.99639999997</v>
      </c>
      <c r="M19" s="220">
        <f t="shared" si="6"/>
        <v>21384.173600000009</v>
      </c>
      <c r="N19" s="206"/>
      <c r="O19" s="398">
        <f t="shared" si="8"/>
        <v>7.7433530673141028E-3</v>
      </c>
      <c r="P19" s="88">
        <f t="shared" si="9"/>
        <v>17</v>
      </c>
      <c r="Q19" s="77">
        <f t="shared" si="10"/>
        <v>0.13163700214433974</v>
      </c>
      <c r="R19" s="395">
        <f t="shared" si="11"/>
        <v>18415.418494110188</v>
      </c>
    </row>
    <row r="20" spans="1:18" x14ac:dyDescent="0.2">
      <c r="A20" s="203" t="s">
        <v>162</v>
      </c>
      <c r="B20" s="205">
        <v>33603</v>
      </c>
      <c r="C20" s="206">
        <v>1991</v>
      </c>
      <c r="D20" s="206">
        <v>25</v>
      </c>
      <c r="E20" s="206">
        <f t="shared" si="7"/>
        <v>2015</v>
      </c>
      <c r="F20" s="207">
        <f t="shared" si="0"/>
        <v>0.04</v>
      </c>
      <c r="G20" s="220">
        <v>302513.88</v>
      </c>
      <c r="H20" s="209">
        <f t="shared" si="1"/>
        <v>22</v>
      </c>
      <c r="I20" s="209">
        <f t="shared" si="2"/>
        <v>3</v>
      </c>
      <c r="J20" s="220">
        <f t="shared" si="3"/>
        <v>12100.555200000001</v>
      </c>
      <c r="K20" s="220">
        <f t="shared" si="4"/>
        <v>12100.555200000001</v>
      </c>
      <c r="L20" s="220">
        <f t="shared" si="5"/>
        <v>266212.2144</v>
      </c>
      <c r="M20" s="220">
        <f t="shared" si="6"/>
        <v>36301.665600000008</v>
      </c>
      <c r="N20" s="206"/>
      <c r="O20" s="398">
        <f t="shared" si="8"/>
        <v>1.314507723938281E-2</v>
      </c>
      <c r="P20" s="88">
        <f t="shared" si="9"/>
        <v>18</v>
      </c>
      <c r="Q20" s="77">
        <f t="shared" si="10"/>
        <v>0.23661139030889058</v>
      </c>
      <c r="R20" s="395">
        <f t="shared" si="11"/>
        <v>31261.921856884073</v>
      </c>
    </row>
    <row r="21" spans="1:18" x14ac:dyDescent="0.2">
      <c r="A21" s="203" t="s">
        <v>162</v>
      </c>
      <c r="B21" s="205">
        <v>33969</v>
      </c>
      <c r="C21" s="206">
        <v>1992</v>
      </c>
      <c r="D21" s="206">
        <v>25</v>
      </c>
      <c r="E21" s="206">
        <f t="shared" si="7"/>
        <v>2016</v>
      </c>
      <c r="F21" s="207">
        <f t="shared" si="0"/>
        <v>0.04</v>
      </c>
      <c r="G21" s="220">
        <v>334822.26</v>
      </c>
      <c r="H21" s="209">
        <f t="shared" si="1"/>
        <v>21</v>
      </c>
      <c r="I21" s="209">
        <f t="shared" si="2"/>
        <v>4</v>
      </c>
      <c r="J21" s="220">
        <f t="shared" si="3"/>
        <v>13392.8904</v>
      </c>
      <c r="K21" s="220">
        <f t="shared" si="4"/>
        <v>13392.8904</v>
      </c>
      <c r="L21" s="220">
        <f t="shared" si="5"/>
        <v>281250.69839999999</v>
      </c>
      <c r="M21" s="220">
        <f t="shared" si="6"/>
        <v>53571.561600000015</v>
      </c>
      <c r="N21" s="206"/>
      <c r="O21" s="398">
        <f t="shared" si="8"/>
        <v>1.939862271956894E-2</v>
      </c>
      <c r="P21" s="88">
        <f t="shared" si="9"/>
        <v>19</v>
      </c>
      <c r="Q21" s="77">
        <f t="shared" si="10"/>
        <v>0.36857383167180985</v>
      </c>
      <c r="R21" s="395">
        <f t="shared" si="11"/>
        <v>46134.2460410536</v>
      </c>
    </row>
    <row r="22" spans="1:18" x14ac:dyDescent="0.2">
      <c r="A22" s="203" t="s">
        <v>162</v>
      </c>
      <c r="B22" s="205">
        <v>34334</v>
      </c>
      <c r="C22" s="206">
        <v>1993</v>
      </c>
      <c r="D22" s="206">
        <v>25</v>
      </c>
      <c r="E22" s="206">
        <f t="shared" si="7"/>
        <v>2017</v>
      </c>
      <c r="F22" s="207">
        <f t="shared" si="0"/>
        <v>0.04</v>
      </c>
      <c r="G22" s="220">
        <v>357623.49</v>
      </c>
      <c r="H22" s="209">
        <f t="shared" si="1"/>
        <v>20</v>
      </c>
      <c r="I22" s="209">
        <f t="shared" si="2"/>
        <v>5</v>
      </c>
      <c r="J22" s="220">
        <f t="shared" si="3"/>
        <v>14304.9396</v>
      </c>
      <c r="K22" s="220">
        <f t="shared" si="4"/>
        <v>14304.9396</v>
      </c>
      <c r="L22" s="220">
        <f t="shared" si="5"/>
        <v>286098.79200000002</v>
      </c>
      <c r="M22" s="220">
        <f t="shared" si="6"/>
        <v>71524.697999999975</v>
      </c>
      <c r="N22" s="206"/>
      <c r="O22" s="398">
        <f t="shared" si="8"/>
        <v>2.5899574143328802E-2</v>
      </c>
      <c r="P22" s="88">
        <f t="shared" si="9"/>
        <v>20</v>
      </c>
      <c r="Q22" s="77">
        <f t="shared" si="10"/>
        <v>0.51799148286657604</v>
      </c>
      <c r="R22" s="395">
        <f t="shared" si="11"/>
        <v>61594.95667089257</v>
      </c>
    </row>
    <row r="23" spans="1:18" x14ac:dyDescent="0.2">
      <c r="A23" s="203" t="s">
        <v>162</v>
      </c>
      <c r="B23" s="205">
        <v>34699</v>
      </c>
      <c r="C23" s="206">
        <v>1994</v>
      </c>
      <c r="D23" s="206">
        <v>25</v>
      </c>
      <c r="E23" s="206">
        <f t="shared" si="7"/>
        <v>2018</v>
      </c>
      <c r="F23" s="207">
        <f t="shared" si="0"/>
        <v>0.04</v>
      </c>
      <c r="G23" s="220">
        <v>452827.14</v>
      </c>
      <c r="H23" s="209">
        <f t="shared" si="1"/>
        <v>19</v>
      </c>
      <c r="I23" s="209">
        <f t="shared" si="2"/>
        <v>6</v>
      </c>
      <c r="J23" s="220">
        <f t="shared" si="3"/>
        <v>18113.085600000002</v>
      </c>
      <c r="K23" s="220">
        <f t="shared" si="4"/>
        <v>18113.085600000002</v>
      </c>
      <c r="L23" s="220">
        <f t="shared" si="5"/>
        <v>344148.62640000007</v>
      </c>
      <c r="M23" s="220">
        <f t="shared" si="6"/>
        <v>108678.51359999995</v>
      </c>
      <c r="N23" s="206"/>
      <c r="O23" s="398">
        <f t="shared" si="8"/>
        <v>3.935322062834809E-2</v>
      </c>
      <c r="P23" s="88">
        <f t="shared" si="9"/>
        <v>21</v>
      </c>
      <c r="Q23" s="77">
        <f t="shared" si="10"/>
        <v>0.82641763319530992</v>
      </c>
      <c r="R23" s="395">
        <f t="shared" si="11"/>
        <v>93590.724930415061</v>
      </c>
    </row>
    <row r="24" spans="1:18" x14ac:dyDescent="0.2">
      <c r="A24" s="203" t="s">
        <v>162</v>
      </c>
      <c r="B24" s="205">
        <v>35064</v>
      </c>
      <c r="C24" s="206">
        <v>1995</v>
      </c>
      <c r="D24" s="206">
        <v>25</v>
      </c>
      <c r="E24" s="206">
        <f t="shared" si="7"/>
        <v>2019</v>
      </c>
      <c r="F24" s="207">
        <f t="shared" si="0"/>
        <v>0.04</v>
      </c>
      <c r="G24" s="220">
        <v>515293.88</v>
      </c>
      <c r="H24" s="209">
        <f t="shared" si="1"/>
        <v>18</v>
      </c>
      <c r="I24" s="209">
        <f t="shared" si="2"/>
        <v>7</v>
      </c>
      <c r="J24" s="220">
        <f t="shared" si="3"/>
        <v>20611.7552</v>
      </c>
      <c r="K24" s="220">
        <f t="shared" si="4"/>
        <v>20611.7552</v>
      </c>
      <c r="L24" s="220">
        <f t="shared" si="5"/>
        <v>371011.59360000002</v>
      </c>
      <c r="M24" s="220">
        <f t="shared" si="6"/>
        <v>144282.28639999998</v>
      </c>
      <c r="N24" s="206"/>
      <c r="O24" s="398">
        <f t="shared" si="8"/>
        <v>5.2245586191581012E-2</v>
      </c>
      <c r="P24" s="88">
        <f t="shared" si="9"/>
        <v>22</v>
      </c>
      <c r="Q24" s="77">
        <f t="shared" si="10"/>
        <v>1.1494028962147822</v>
      </c>
      <c r="R24" s="395">
        <f t="shared" si="11"/>
        <v>124251.64212766498</v>
      </c>
    </row>
    <row r="25" spans="1:18" x14ac:dyDescent="0.2">
      <c r="A25" s="203" t="s">
        <v>162</v>
      </c>
      <c r="B25" s="205">
        <v>35430</v>
      </c>
      <c r="C25" s="206">
        <v>1996</v>
      </c>
      <c r="D25" s="206">
        <v>25</v>
      </c>
      <c r="E25" s="206">
        <f t="shared" si="7"/>
        <v>2020</v>
      </c>
      <c r="F25" s="207">
        <f t="shared" si="0"/>
        <v>0.04</v>
      </c>
      <c r="G25" s="220">
        <v>434262.38</v>
      </c>
      <c r="H25" s="209">
        <f t="shared" si="1"/>
        <v>17</v>
      </c>
      <c r="I25" s="209">
        <f t="shared" si="2"/>
        <v>8</v>
      </c>
      <c r="J25" s="220">
        <f t="shared" si="3"/>
        <v>17370.495200000001</v>
      </c>
      <c r="K25" s="220">
        <f t="shared" si="4"/>
        <v>17370.495200000001</v>
      </c>
      <c r="L25" s="220">
        <f t="shared" si="5"/>
        <v>295298.41840000002</v>
      </c>
      <c r="M25" s="220">
        <f t="shared" si="6"/>
        <v>138963.96159999998</v>
      </c>
      <c r="N25" s="206"/>
      <c r="O25" s="398">
        <f t="shared" si="8"/>
        <v>5.031978501621772E-2</v>
      </c>
      <c r="P25" s="88">
        <f t="shared" si="9"/>
        <v>23</v>
      </c>
      <c r="Q25" s="77">
        <f t="shared" si="10"/>
        <v>1.1573550553730076</v>
      </c>
      <c r="R25" s="395">
        <f t="shared" si="11"/>
        <v>119671.6579434922</v>
      </c>
    </row>
    <row r="26" spans="1:18" x14ac:dyDescent="0.2">
      <c r="A26" s="203" t="s">
        <v>162</v>
      </c>
      <c r="B26" s="205">
        <v>35795</v>
      </c>
      <c r="C26" s="206">
        <v>1997</v>
      </c>
      <c r="D26" s="206">
        <v>25</v>
      </c>
      <c r="E26" s="206">
        <f t="shared" si="7"/>
        <v>2021</v>
      </c>
      <c r="F26" s="207">
        <f t="shared" si="0"/>
        <v>0.04</v>
      </c>
      <c r="G26" s="220">
        <v>230849.99</v>
      </c>
      <c r="H26" s="209">
        <f t="shared" si="1"/>
        <v>16</v>
      </c>
      <c r="I26" s="209">
        <f t="shared" si="2"/>
        <v>9</v>
      </c>
      <c r="J26" s="220">
        <f t="shared" si="3"/>
        <v>9233.9995999999992</v>
      </c>
      <c r="K26" s="220">
        <f t="shared" si="4"/>
        <v>9233.9995999999992</v>
      </c>
      <c r="L26" s="220">
        <f t="shared" si="5"/>
        <v>147743.99359999999</v>
      </c>
      <c r="M26" s="220">
        <f t="shared" si="6"/>
        <v>83105.996400000004</v>
      </c>
      <c r="N26" s="206"/>
      <c r="O26" s="398">
        <f t="shared" si="8"/>
        <v>3.0093240177218469E-2</v>
      </c>
      <c r="P26" s="88">
        <f t="shared" si="9"/>
        <v>24</v>
      </c>
      <c r="Q26" s="77">
        <f t="shared" si="10"/>
        <v>0.72223776425324326</v>
      </c>
      <c r="R26" s="395">
        <f t="shared" si="11"/>
        <v>71568.42867549551</v>
      </c>
    </row>
    <row r="27" spans="1:18" x14ac:dyDescent="0.2">
      <c r="A27" s="203" t="s">
        <v>162</v>
      </c>
      <c r="B27" s="205">
        <v>36160</v>
      </c>
      <c r="C27" s="206">
        <v>1998</v>
      </c>
      <c r="D27" s="206">
        <v>25</v>
      </c>
      <c r="E27" s="206">
        <f t="shared" si="7"/>
        <v>2022</v>
      </c>
      <c r="F27" s="207">
        <f t="shared" si="0"/>
        <v>0.04</v>
      </c>
      <c r="G27" s="220">
        <v>266191.01</v>
      </c>
      <c r="H27" s="209">
        <f t="shared" si="1"/>
        <v>15</v>
      </c>
      <c r="I27" s="209">
        <f t="shared" si="2"/>
        <v>10</v>
      </c>
      <c r="J27" s="220">
        <f t="shared" si="3"/>
        <v>10647.6404</v>
      </c>
      <c r="K27" s="220">
        <f t="shared" si="4"/>
        <v>10647.6404</v>
      </c>
      <c r="L27" s="220">
        <f t="shared" si="5"/>
        <v>159714.606</v>
      </c>
      <c r="M27" s="220">
        <f t="shared" si="6"/>
        <v>106476.40400000001</v>
      </c>
      <c r="N27" s="206"/>
      <c r="O27" s="398">
        <f t="shared" si="8"/>
        <v>3.8555821933187788E-2</v>
      </c>
      <c r="P27" s="88">
        <f t="shared" si="9"/>
        <v>25</v>
      </c>
      <c r="Q27" s="77">
        <f t="shared" si="10"/>
        <v>0.96389554832969471</v>
      </c>
      <c r="R27" s="395">
        <f t="shared" si="11"/>
        <v>91694.333205747404</v>
      </c>
    </row>
    <row r="28" spans="1:18" x14ac:dyDescent="0.2">
      <c r="A28" s="203" t="s">
        <v>162</v>
      </c>
      <c r="B28" s="205">
        <v>36525</v>
      </c>
      <c r="C28" s="206">
        <v>1999</v>
      </c>
      <c r="D28" s="206">
        <v>25</v>
      </c>
      <c r="E28" s="206">
        <f>+C28+D28-1</f>
        <v>2023</v>
      </c>
      <c r="F28" s="207">
        <f>IF(D28&gt;0,1/D28,0)</f>
        <v>0.04</v>
      </c>
      <c r="G28" s="220">
        <f>4776922.68-4514575.38</f>
        <v>262347.29999999981</v>
      </c>
      <c r="H28" s="209">
        <f t="shared" si="1"/>
        <v>14</v>
      </c>
      <c r="I28" s="209">
        <f t="shared" si="2"/>
        <v>11</v>
      </c>
      <c r="J28" s="220">
        <f t="shared" si="3"/>
        <v>10493.891999999993</v>
      </c>
      <c r="K28" s="220">
        <f t="shared" si="4"/>
        <v>10493.891999999993</v>
      </c>
      <c r="L28" s="220">
        <f t="shared" si="5"/>
        <v>146914.4879999999</v>
      </c>
      <c r="M28" s="220">
        <f t="shared" si="6"/>
        <v>115432.81199999992</v>
      </c>
      <c r="N28" s="206"/>
      <c r="O28" s="398">
        <f t="shared" si="8"/>
        <v>4.1798997501072056E-2</v>
      </c>
      <c r="P28" s="88">
        <f t="shared" si="9"/>
        <v>26</v>
      </c>
      <c r="Q28" s="77">
        <f t="shared" si="10"/>
        <v>1.0867739350278736</v>
      </c>
      <c r="R28" s="395">
        <f t="shared" si="11"/>
        <v>99407.327152073893</v>
      </c>
    </row>
    <row r="29" spans="1:18" x14ac:dyDescent="0.2">
      <c r="A29" s="203" t="s">
        <v>162</v>
      </c>
      <c r="B29" s="205">
        <v>36525</v>
      </c>
      <c r="C29" s="206">
        <v>1999</v>
      </c>
      <c r="D29" s="206">
        <v>25</v>
      </c>
      <c r="E29" s="206">
        <f>+C29+D29-1</f>
        <v>2023</v>
      </c>
      <c r="F29" s="207">
        <f>IF(D29&gt;0,1/D29,0)</f>
        <v>0.04</v>
      </c>
      <c r="G29" s="220">
        <v>14888.45</v>
      </c>
      <c r="H29" s="209">
        <f t="shared" si="1"/>
        <v>14</v>
      </c>
      <c r="I29" s="209">
        <f t="shared" si="2"/>
        <v>11</v>
      </c>
      <c r="J29" s="220">
        <f t="shared" si="3"/>
        <v>595.53800000000001</v>
      </c>
      <c r="K29" s="220">
        <f t="shared" si="4"/>
        <v>595.53800000000001</v>
      </c>
      <c r="L29" s="220">
        <f t="shared" si="5"/>
        <v>8337.5319999999992</v>
      </c>
      <c r="M29" s="220">
        <f t="shared" si="6"/>
        <v>6550.9180000000015</v>
      </c>
      <c r="N29" s="206"/>
      <c r="O29" s="398">
        <f t="shared" si="8"/>
        <v>2.3721314621680378E-3</v>
      </c>
      <c r="P29" s="88">
        <f t="shared" si="9"/>
        <v>26</v>
      </c>
      <c r="Q29" s="77">
        <f t="shared" si="10"/>
        <v>6.1675418016368985E-2</v>
      </c>
      <c r="R29" s="395">
        <f t="shared" si="11"/>
        <v>5641.4570301935482</v>
      </c>
    </row>
    <row r="30" spans="1:18" x14ac:dyDescent="0.2">
      <c r="A30" s="203" t="s">
        <v>162</v>
      </c>
      <c r="B30" s="205">
        <v>36891</v>
      </c>
      <c r="C30" s="206">
        <v>2000</v>
      </c>
      <c r="D30" s="206">
        <v>25</v>
      </c>
      <c r="E30" s="206">
        <f t="shared" ref="E30:E40" si="12">+C30+D30-1</f>
        <v>2024</v>
      </c>
      <c r="F30" s="207">
        <f t="shared" ref="F30:F40" si="13">IF(D30&gt;0,1/D30,0)</f>
        <v>0.04</v>
      </c>
      <c r="G30" s="220">
        <f>199856.39</f>
        <v>199856.39</v>
      </c>
      <c r="H30" s="209">
        <f t="shared" si="1"/>
        <v>13</v>
      </c>
      <c r="I30" s="209">
        <f t="shared" si="2"/>
        <v>12</v>
      </c>
      <c r="J30" s="220">
        <f t="shared" si="3"/>
        <v>7994.2556000000004</v>
      </c>
      <c r="K30" s="220">
        <f t="shared" si="4"/>
        <v>7994.2556000000004</v>
      </c>
      <c r="L30" s="220">
        <f t="shared" si="5"/>
        <v>103925.32280000001</v>
      </c>
      <c r="M30" s="220">
        <f t="shared" si="6"/>
        <v>95931.067200000005</v>
      </c>
      <c r="N30" s="206"/>
      <c r="O30" s="398">
        <f t="shared" si="8"/>
        <v>3.4737284561412042E-2</v>
      </c>
      <c r="P30" s="88">
        <f t="shared" si="9"/>
        <v>27</v>
      </c>
      <c r="Q30" s="77">
        <f t="shared" si="10"/>
        <v>0.93790668315812509</v>
      </c>
      <c r="R30" s="395">
        <f t="shared" si="11"/>
        <v>82613.000722861994</v>
      </c>
    </row>
    <row r="31" spans="1:18" x14ac:dyDescent="0.2">
      <c r="A31" s="203" t="s">
        <v>162</v>
      </c>
      <c r="B31" s="205">
        <v>36891</v>
      </c>
      <c r="C31" s="173">
        <v>2000</v>
      </c>
      <c r="D31" s="173">
        <v>25</v>
      </c>
      <c r="E31" s="173">
        <f t="shared" si="12"/>
        <v>2024</v>
      </c>
      <c r="F31" s="175">
        <f t="shared" si="13"/>
        <v>0.04</v>
      </c>
      <c r="G31" s="221">
        <v>-11500</v>
      </c>
      <c r="H31" s="176">
        <f>IF(+G31&gt;0,IF(+$B$6-C31+1&gt;D31,D31,+$B$6-C31+1),0)+3</f>
        <v>3</v>
      </c>
      <c r="I31" s="209">
        <f t="shared" si="2"/>
        <v>22</v>
      </c>
      <c r="J31" s="221">
        <f t="shared" si="3"/>
        <v>-460</v>
      </c>
      <c r="K31" s="221">
        <v>0</v>
      </c>
      <c r="L31" s="221">
        <f t="shared" si="5"/>
        <v>-1380</v>
      </c>
      <c r="M31" s="221">
        <f t="shared" si="6"/>
        <v>-10120</v>
      </c>
      <c r="N31" s="173"/>
      <c r="O31" s="398">
        <f t="shared" si="8"/>
        <v>-3.6645200561418322E-3</v>
      </c>
      <c r="P31" s="88">
        <f t="shared" si="9"/>
        <v>37</v>
      </c>
      <c r="Q31" s="77">
        <f t="shared" si="10"/>
        <v>-0.13558724207724779</v>
      </c>
      <c r="R31" s="395">
        <f t="shared" si="11"/>
        <v>-8715.044997595558</v>
      </c>
    </row>
    <row r="32" spans="1:18" x14ac:dyDescent="0.2">
      <c r="A32" s="203" t="s">
        <v>162</v>
      </c>
      <c r="B32" s="205">
        <v>37256</v>
      </c>
      <c r="C32" s="206">
        <v>2001</v>
      </c>
      <c r="D32" s="206">
        <v>25</v>
      </c>
      <c r="E32" s="206">
        <f t="shared" si="12"/>
        <v>2025</v>
      </c>
      <c r="F32" s="207">
        <f t="shared" si="13"/>
        <v>0.04</v>
      </c>
      <c r="G32" s="220">
        <f>5414101.46-4977167.52</f>
        <v>436933.94000000041</v>
      </c>
      <c r="H32" s="209">
        <f t="shared" ref="H32:H42" si="14">IF(+G32&gt;0,IF(+$B$6-C32+1&gt;D32,D32,+$B$6-C32+1),0)</f>
        <v>12</v>
      </c>
      <c r="I32" s="209">
        <f t="shared" si="2"/>
        <v>13</v>
      </c>
      <c r="J32" s="220">
        <f t="shared" si="3"/>
        <v>17477.357600000018</v>
      </c>
      <c r="K32" s="220">
        <f t="shared" ref="K32:K42" si="15">IF(E32&gt;=$B$6,+J32,0)</f>
        <v>17477.357600000018</v>
      </c>
      <c r="L32" s="220">
        <f t="shared" si="5"/>
        <v>209728.29120000021</v>
      </c>
      <c r="M32" s="220">
        <f t="shared" si="6"/>
        <v>227205.6488000002</v>
      </c>
      <c r="N32" s="206"/>
      <c r="O32" s="398">
        <f t="shared" si="8"/>
        <v>8.22726933692014E-2</v>
      </c>
      <c r="P32" s="88">
        <f t="shared" si="9"/>
        <v>28</v>
      </c>
      <c r="Q32" s="77">
        <f t="shared" si="10"/>
        <v>2.3036354143376392</v>
      </c>
      <c r="R32" s="395">
        <f t="shared" si="11"/>
        <v>195662.79179840861</v>
      </c>
    </row>
    <row r="33" spans="1:18" x14ac:dyDescent="0.2">
      <c r="A33" s="203" t="s">
        <v>162</v>
      </c>
      <c r="B33" s="205">
        <v>37621</v>
      </c>
      <c r="C33" s="206">
        <v>2002</v>
      </c>
      <c r="D33" s="206">
        <v>25</v>
      </c>
      <c r="E33" s="206">
        <f t="shared" si="12"/>
        <v>2026</v>
      </c>
      <c r="F33" s="207">
        <f t="shared" si="13"/>
        <v>0.04</v>
      </c>
      <c r="G33" s="220">
        <f>381843.67-3000</f>
        <v>378843.67</v>
      </c>
      <c r="H33" s="209">
        <f t="shared" si="14"/>
        <v>11</v>
      </c>
      <c r="I33" s="209">
        <f t="shared" si="2"/>
        <v>14</v>
      </c>
      <c r="J33" s="220">
        <f t="shared" si="3"/>
        <v>15153.746799999999</v>
      </c>
      <c r="K33" s="220">
        <f t="shared" si="15"/>
        <v>15153.746799999999</v>
      </c>
      <c r="L33" s="220">
        <f t="shared" si="5"/>
        <v>166691.21479999999</v>
      </c>
      <c r="M33" s="220">
        <f t="shared" si="6"/>
        <v>212152.4552</v>
      </c>
      <c r="N33" s="206"/>
      <c r="O33" s="398">
        <f t="shared" si="8"/>
        <v>7.682183073519086E-2</v>
      </c>
      <c r="P33" s="88">
        <f t="shared" si="9"/>
        <v>29</v>
      </c>
      <c r="Q33" s="77">
        <f t="shared" si="10"/>
        <v>2.2278330913205351</v>
      </c>
      <c r="R33" s="395">
        <f t="shared" si="11"/>
        <v>182699.42622711224</v>
      </c>
    </row>
    <row r="34" spans="1:18" x14ac:dyDescent="0.2">
      <c r="A34" s="203" t="s">
        <v>162</v>
      </c>
      <c r="B34" s="233">
        <v>37986</v>
      </c>
      <c r="C34" s="206">
        <v>2003</v>
      </c>
      <c r="D34" s="206">
        <v>25</v>
      </c>
      <c r="E34" s="206">
        <f t="shared" si="12"/>
        <v>2027</v>
      </c>
      <c r="F34" s="207">
        <f t="shared" si="13"/>
        <v>0.04</v>
      </c>
      <c r="G34" s="220">
        <v>360442.33</v>
      </c>
      <c r="H34" s="209">
        <f t="shared" si="14"/>
        <v>10</v>
      </c>
      <c r="I34" s="209">
        <f t="shared" si="2"/>
        <v>15</v>
      </c>
      <c r="J34" s="220">
        <f t="shared" si="3"/>
        <v>14417.693200000002</v>
      </c>
      <c r="K34" s="220">
        <f t="shared" si="15"/>
        <v>14417.693200000002</v>
      </c>
      <c r="L34" s="220">
        <f t="shared" si="5"/>
        <v>144176.93200000003</v>
      </c>
      <c r="M34" s="220">
        <f t="shared" si="6"/>
        <v>216265.39799999999</v>
      </c>
      <c r="N34" s="206"/>
      <c r="O34" s="398">
        <f t="shared" si="8"/>
        <v>7.8311154982262404E-2</v>
      </c>
      <c r="P34" s="88">
        <f t="shared" si="9"/>
        <v>30</v>
      </c>
      <c r="Q34" s="77">
        <f t="shared" si="10"/>
        <v>2.3493346494678722</v>
      </c>
      <c r="R34" s="395">
        <f t="shared" si="11"/>
        <v>186241.37104673046</v>
      </c>
    </row>
    <row r="35" spans="1:18" x14ac:dyDescent="0.2">
      <c r="A35" s="203" t="s">
        <v>162</v>
      </c>
      <c r="B35" s="205">
        <v>38352</v>
      </c>
      <c r="C35" s="206">
        <v>2004</v>
      </c>
      <c r="D35" s="206">
        <v>25</v>
      </c>
      <c r="E35" s="206">
        <f t="shared" si="12"/>
        <v>2028</v>
      </c>
      <c r="F35" s="207">
        <f t="shared" si="13"/>
        <v>0.04</v>
      </c>
      <c r="G35" s="220">
        <v>331958.34000000003</v>
      </c>
      <c r="H35" s="209">
        <f t="shared" si="14"/>
        <v>9</v>
      </c>
      <c r="I35" s="209">
        <f t="shared" si="2"/>
        <v>16</v>
      </c>
      <c r="J35" s="220">
        <f t="shared" si="3"/>
        <v>13278.333600000002</v>
      </c>
      <c r="K35" s="220">
        <f t="shared" si="15"/>
        <v>13278.333600000002</v>
      </c>
      <c r="L35" s="220">
        <f t="shared" si="5"/>
        <v>119505.00240000001</v>
      </c>
      <c r="M35" s="220">
        <f t="shared" si="6"/>
        <v>212453.33760000003</v>
      </c>
      <c r="N35" s="206"/>
      <c r="O35" s="398">
        <f t="shared" si="8"/>
        <v>7.69307822756395E-2</v>
      </c>
      <c r="P35" s="88">
        <f t="shared" si="9"/>
        <v>31</v>
      </c>
      <c r="Q35" s="77">
        <f t="shared" si="10"/>
        <v>2.3848542505448247</v>
      </c>
      <c r="R35" s="395">
        <f t="shared" si="11"/>
        <v>182958.53726021352</v>
      </c>
    </row>
    <row r="36" spans="1:18" x14ac:dyDescent="0.2">
      <c r="A36" s="203" t="s">
        <v>162</v>
      </c>
      <c r="B36" s="205">
        <v>38717</v>
      </c>
      <c r="C36" s="206">
        <v>2005</v>
      </c>
      <c r="D36" s="206">
        <v>25</v>
      </c>
      <c r="E36" s="206">
        <f t="shared" si="12"/>
        <v>2029</v>
      </c>
      <c r="F36" s="207">
        <f t="shared" si="13"/>
        <v>0.04</v>
      </c>
      <c r="G36" s="220">
        <f>428393.05-147820.55</f>
        <v>280572.5</v>
      </c>
      <c r="H36" s="209">
        <f t="shared" si="14"/>
        <v>8</v>
      </c>
      <c r="I36" s="209">
        <f t="shared" si="2"/>
        <v>17</v>
      </c>
      <c r="J36" s="220">
        <f t="shared" si="3"/>
        <v>11222.9</v>
      </c>
      <c r="K36" s="220">
        <f t="shared" si="15"/>
        <v>11222.9</v>
      </c>
      <c r="L36" s="220">
        <f t="shared" si="5"/>
        <v>89783.2</v>
      </c>
      <c r="M36" s="220">
        <f t="shared" si="6"/>
        <v>190789.3</v>
      </c>
      <c r="N36" s="211"/>
      <c r="O36" s="398">
        <f t="shared" si="8"/>
        <v>6.9086088571863713E-2</v>
      </c>
      <c r="P36" s="88">
        <f t="shared" si="9"/>
        <v>32</v>
      </c>
      <c r="Q36" s="77">
        <f t="shared" si="10"/>
        <v>2.2107548342996388</v>
      </c>
      <c r="R36" s="395">
        <f t="shared" si="11"/>
        <v>164302.10815807886</v>
      </c>
    </row>
    <row r="37" spans="1:18" x14ac:dyDescent="0.2">
      <c r="A37" s="203" t="s">
        <v>162</v>
      </c>
      <c r="B37" s="205">
        <v>39082</v>
      </c>
      <c r="C37" s="206">
        <v>2006</v>
      </c>
      <c r="D37" s="206">
        <v>25</v>
      </c>
      <c r="E37" s="206">
        <f t="shared" si="12"/>
        <v>2030</v>
      </c>
      <c r="F37" s="207">
        <f t="shared" si="13"/>
        <v>0.04</v>
      </c>
      <c r="G37" s="220">
        <v>102031.63</v>
      </c>
      <c r="H37" s="209">
        <f t="shared" si="14"/>
        <v>7</v>
      </c>
      <c r="I37" s="209">
        <f t="shared" si="2"/>
        <v>18</v>
      </c>
      <c r="J37" s="220">
        <f t="shared" si="3"/>
        <v>4081.2652000000003</v>
      </c>
      <c r="K37" s="220">
        <f t="shared" si="15"/>
        <v>4081.2652000000003</v>
      </c>
      <c r="L37" s="220">
        <f t="shared" si="5"/>
        <v>28568.856400000001</v>
      </c>
      <c r="M37" s="220">
        <f t="shared" si="6"/>
        <v>73462.7736</v>
      </c>
      <c r="N37" s="206"/>
      <c r="O37" s="398">
        <f t="shared" si="8"/>
        <v>2.6601364351482876E-2</v>
      </c>
      <c r="P37" s="88">
        <f t="shared" si="9"/>
        <v>33</v>
      </c>
      <c r="Q37" s="77">
        <f t="shared" si="10"/>
        <v>0.8778450235989349</v>
      </c>
      <c r="R37" s="395">
        <f t="shared" si="11"/>
        <v>63263.970115827578</v>
      </c>
    </row>
    <row r="38" spans="1:18" x14ac:dyDescent="0.2">
      <c r="A38" s="203" t="s">
        <v>162</v>
      </c>
      <c r="B38" s="205">
        <v>39447</v>
      </c>
      <c r="C38" s="206">
        <v>2007</v>
      </c>
      <c r="D38" s="206">
        <v>25</v>
      </c>
      <c r="E38" s="206">
        <f t="shared" si="12"/>
        <v>2031</v>
      </c>
      <c r="F38" s="207">
        <f t="shared" si="13"/>
        <v>0.04</v>
      </c>
      <c r="G38" s="220">
        <f>6729.37+2189.61+6061.43+3361.43+9592.51+46682.54+14653.96+31146.06+321.8+1379.94+15882.27+20568.73</f>
        <v>158569.65000000002</v>
      </c>
      <c r="H38" s="209">
        <f t="shared" si="14"/>
        <v>6</v>
      </c>
      <c r="I38" s="209">
        <f t="shared" si="2"/>
        <v>19</v>
      </c>
      <c r="J38" s="220">
        <f t="shared" si="3"/>
        <v>6342.786000000001</v>
      </c>
      <c r="K38" s="220">
        <f t="shared" si="15"/>
        <v>6342.786000000001</v>
      </c>
      <c r="L38" s="220">
        <f t="shared" si="5"/>
        <v>38056.716000000008</v>
      </c>
      <c r="M38" s="220">
        <f t="shared" si="6"/>
        <v>120512.93400000001</v>
      </c>
      <c r="N38" s="206"/>
      <c r="O38" s="398">
        <f t="shared" si="8"/>
        <v>4.363854384066175E-2</v>
      </c>
      <c r="P38" s="88">
        <f t="shared" si="9"/>
        <v>34</v>
      </c>
      <c r="Q38" s="77">
        <f t="shared" si="10"/>
        <v>1.4837104905824996</v>
      </c>
      <c r="R38" s="395">
        <f t="shared" si="11"/>
        <v>103782.17812275334</v>
      </c>
    </row>
    <row r="39" spans="1:18" x14ac:dyDescent="0.2">
      <c r="A39" s="203" t="s">
        <v>162</v>
      </c>
      <c r="B39" s="205">
        <v>39813</v>
      </c>
      <c r="C39" s="206">
        <v>2008</v>
      </c>
      <c r="D39" s="206">
        <v>25</v>
      </c>
      <c r="E39" s="206">
        <f t="shared" si="12"/>
        <v>2032</v>
      </c>
      <c r="F39" s="207">
        <f t="shared" si="13"/>
        <v>0.04</v>
      </c>
      <c r="G39" s="221">
        <f>8083.26+12781.9+6298.02+12272.99+31969.87+2345.22+11319.76+29224.38+7643.43+63119.28+5788.42+9442.07</f>
        <v>200288.6</v>
      </c>
      <c r="H39" s="209">
        <f t="shared" si="14"/>
        <v>5</v>
      </c>
      <c r="I39" s="209">
        <f t="shared" si="2"/>
        <v>20</v>
      </c>
      <c r="J39" s="220">
        <f t="shared" si="3"/>
        <v>8011.5440000000008</v>
      </c>
      <c r="K39" s="220">
        <f t="shared" si="15"/>
        <v>8011.5440000000008</v>
      </c>
      <c r="L39" s="220">
        <f t="shared" si="5"/>
        <v>40057.72</v>
      </c>
      <c r="M39" s="220">
        <f t="shared" si="6"/>
        <v>160230.88</v>
      </c>
      <c r="N39" s="206"/>
      <c r="O39" s="398">
        <f t="shared" si="8"/>
        <v>5.8020679187080551E-2</v>
      </c>
      <c r="P39" s="88">
        <f t="shared" si="9"/>
        <v>35</v>
      </c>
      <c r="Q39" s="77">
        <f t="shared" si="10"/>
        <v>2.0307237715478195</v>
      </c>
      <c r="R39" s="395">
        <f t="shared" si="11"/>
        <v>137986.09972374846</v>
      </c>
    </row>
    <row r="40" spans="1:18" x14ac:dyDescent="0.2">
      <c r="A40" s="203" t="s">
        <v>162</v>
      </c>
      <c r="B40" s="205">
        <v>40178</v>
      </c>
      <c r="C40" s="206">
        <v>2009</v>
      </c>
      <c r="D40" s="206">
        <v>25</v>
      </c>
      <c r="E40" s="206">
        <f t="shared" si="12"/>
        <v>2033</v>
      </c>
      <c r="F40" s="207">
        <f t="shared" si="13"/>
        <v>0.04</v>
      </c>
      <c r="G40" s="220">
        <f>4452.68+3737.21+4125.41+20444.25+6093.05+3901.44+5850.64+5095.69+4978.8+3096.28+1963.14</f>
        <v>63738.590000000004</v>
      </c>
      <c r="H40" s="209">
        <f t="shared" si="14"/>
        <v>4</v>
      </c>
      <c r="I40" s="209">
        <f t="shared" si="2"/>
        <v>21</v>
      </c>
      <c r="J40" s="220">
        <f t="shared" si="3"/>
        <v>2549.5436000000004</v>
      </c>
      <c r="K40" s="220">
        <f t="shared" si="15"/>
        <v>2549.5436000000004</v>
      </c>
      <c r="L40" s="220">
        <f t="shared" si="5"/>
        <v>10198.174400000002</v>
      </c>
      <c r="M40" s="220">
        <f t="shared" si="6"/>
        <v>53540.4156</v>
      </c>
      <c r="N40" s="206"/>
      <c r="O40" s="398">
        <f t="shared" si="8"/>
        <v>1.9387344543514724E-2</v>
      </c>
      <c r="P40" s="88">
        <f t="shared" si="9"/>
        <v>36</v>
      </c>
      <c r="Q40" s="77">
        <f t="shared" si="10"/>
        <v>0.69794440356653009</v>
      </c>
      <c r="R40" s="395">
        <f t="shared" si="11"/>
        <v>46107.42402608371</v>
      </c>
    </row>
    <row r="41" spans="1:18" x14ac:dyDescent="0.2">
      <c r="A41" s="203" t="s">
        <v>162</v>
      </c>
      <c r="B41" s="205">
        <v>40543</v>
      </c>
      <c r="C41" s="206">
        <v>2010</v>
      </c>
      <c r="D41" s="206">
        <v>25</v>
      </c>
      <c r="E41" s="206">
        <f>+C41+D41-1</f>
        <v>2034</v>
      </c>
      <c r="F41" s="207">
        <f>IF(D41&gt;0,1/D41,0)</f>
        <v>0.04</v>
      </c>
      <c r="G41" s="220">
        <f>21208.02+8250.13+3514.26+12739.63+7298.56+9572.95+2407.34+19446.95+5535.98+9395.96</f>
        <v>99369.78</v>
      </c>
      <c r="H41" s="209">
        <f t="shared" si="14"/>
        <v>3</v>
      </c>
      <c r="I41" s="209">
        <f t="shared" si="2"/>
        <v>22</v>
      </c>
      <c r="J41" s="220">
        <f t="shared" si="3"/>
        <v>3974.7912000000001</v>
      </c>
      <c r="K41" s="220">
        <f t="shared" si="15"/>
        <v>3974.7912000000001</v>
      </c>
      <c r="L41" s="220">
        <f t="shared" si="5"/>
        <v>11924.373600000001</v>
      </c>
      <c r="M41" s="220">
        <f t="shared" si="6"/>
        <v>87445.406399999993</v>
      </c>
      <c r="N41" s="206"/>
      <c r="O41" s="398">
        <f t="shared" si="8"/>
        <v>3.1664569720382736E-2</v>
      </c>
      <c r="P41" s="88">
        <f t="shared" si="9"/>
        <v>37</v>
      </c>
      <c r="Q41" s="77">
        <f t="shared" si="10"/>
        <v>1.1715890796541613</v>
      </c>
      <c r="R41" s="395">
        <f t="shared" si="11"/>
        <v>75305.400356623577</v>
      </c>
    </row>
    <row r="42" spans="1:18" x14ac:dyDescent="0.2">
      <c r="A42" s="203" t="s">
        <v>162</v>
      </c>
      <c r="B42" s="205">
        <v>40908</v>
      </c>
      <c r="C42" s="206">
        <v>2011</v>
      </c>
      <c r="D42" s="206">
        <v>25</v>
      </c>
      <c r="E42" s="206">
        <f>+C42+D42-1</f>
        <v>2035</v>
      </c>
      <c r="F42" s="207">
        <f>IF(D42&gt;0,1/D42,0)</f>
        <v>0.04</v>
      </c>
      <c r="G42" s="221">
        <f>444.36+4765.41+12754.79+1562.77+11545.51+38934.77+24087.53+9742.01-75.78+15887.54+33444.23</f>
        <v>153093.14000000001</v>
      </c>
      <c r="H42" s="209">
        <f t="shared" si="14"/>
        <v>2</v>
      </c>
      <c r="I42" s="209">
        <f t="shared" si="2"/>
        <v>23</v>
      </c>
      <c r="J42" s="220">
        <f t="shared" si="3"/>
        <v>6123.7256000000007</v>
      </c>
      <c r="K42" s="220">
        <f t="shared" si="15"/>
        <v>6123.7256000000007</v>
      </c>
      <c r="L42" s="220">
        <f t="shared" si="5"/>
        <v>12247.451200000001</v>
      </c>
      <c r="M42" s="220">
        <f t="shared" si="6"/>
        <v>140845.6888</v>
      </c>
      <c r="N42" s="206"/>
      <c r="O42" s="398">
        <f t="shared" si="8"/>
        <v>5.100117108979358E-2</v>
      </c>
      <c r="P42" s="88">
        <f t="shared" si="9"/>
        <v>38</v>
      </c>
      <c r="Q42" s="77">
        <f t="shared" si="10"/>
        <v>1.9380445014121561</v>
      </c>
      <c r="R42" s="395">
        <f t="shared" si="11"/>
        <v>121292.14581119969</v>
      </c>
    </row>
    <row r="43" spans="1:18" x14ac:dyDescent="0.2">
      <c r="A43" s="203" t="s">
        <v>162</v>
      </c>
      <c r="B43" s="205">
        <v>41274</v>
      </c>
      <c r="C43" s="206">
        <v>2012</v>
      </c>
      <c r="D43" s="206">
        <v>25</v>
      </c>
      <c r="E43" s="206">
        <f>+C43+D43-1</f>
        <v>2036</v>
      </c>
      <c r="F43" s="207">
        <f>IF(D43&gt;0,1/D43,0)</f>
        <v>0.04</v>
      </c>
      <c r="G43" s="221">
        <v>93154.06</v>
      </c>
      <c r="H43" s="209">
        <f t="shared" ref="H43" si="16">IF(+G43&gt;0,IF(+$B$6-C43+1&gt;D43,D43,+$B$6-C43+1),0)</f>
        <v>1</v>
      </c>
      <c r="I43" s="209">
        <f t="shared" ref="I43" si="17">IF(E43&gt;=$B$6,+D43-H43,0)</f>
        <v>24</v>
      </c>
      <c r="J43" s="220">
        <f t="shared" ref="J43" si="18">+G43*F43</f>
        <v>3726.1624000000002</v>
      </c>
      <c r="K43" s="220">
        <f t="shared" ref="K43" si="19">IF(E43&gt;=$B$6,+J43,0)</f>
        <v>3726.1624000000002</v>
      </c>
      <c r="L43" s="220">
        <f t="shared" ref="L43" si="20">+J43*H43</f>
        <v>3726.1624000000002</v>
      </c>
      <c r="M43" s="220">
        <f t="shared" ref="M43" si="21">+G43-L43</f>
        <v>89427.897599999997</v>
      </c>
      <c r="N43" s="206"/>
    </row>
    <row r="44" spans="1:18" x14ac:dyDescent="0.2">
      <c r="A44" s="148" t="s">
        <v>100</v>
      </c>
      <c r="B44" s="205"/>
      <c r="C44" s="206"/>
      <c r="D44" s="206"/>
      <c r="E44" s="206"/>
      <c r="F44" s="207"/>
      <c r="G44" s="223">
        <f>SUM(G9:G43)</f>
        <v>7639163.7499999991</v>
      </c>
      <c r="H44" s="240"/>
      <c r="I44" s="240"/>
      <c r="J44" s="222"/>
      <c r="K44" s="230">
        <f>SUM(K9:K43)</f>
        <v>260750.16160000002</v>
      </c>
      <c r="L44" s="223">
        <f>SUM(L9:L43)</f>
        <v>4877546.9912</v>
      </c>
      <c r="M44" s="242">
        <f>SUM(M9:M43)</f>
        <v>2761616.7588</v>
      </c>
      <c r="N44" s="206"/>
      <c r="Q44" s="77">
        <f>SUM(Q17:Q43)</f>
        <v>27.731291462931868</v>
      </c>
      <c r="R44" s="77">
        <f>SUM(R17:R43)</f>
        <v>2301210.0955960113</v>
      </c>
    </row>
    <row r="45" spans="1:18" x14ac:dyDescent="0.2">
      <c r="G45" s="252"/>
      <c r="H45" s="251"/>
      <c r="I45" s="262"/>
      <c r="J45" s="252"/>
      <c r="K45" s="252"/>
      <c r="L45" s="252"/>
      <c r="M45" s="252"/>
    </row>
    <row r="46" spans="1:18" x14ac:dyDescent="0.2">
      <c r="F46" s="100"/>
      <c r="G46" s="250"/>
      <c r="H46" s="258"/>
      <c r="I46" s="250"/>
      <c r="J46" s="250"/>
      <c r="K46" s="250"/>
      <c r="L46" s="250">
        <v>4616796.84</v>
      </c>
      <c r="M46" s="252"/>
    </row>
    <row r="47" spans="1:18" x14ac:dyDescent="0.2">
      <c r="F47" s="247"/>
      <c r="G47" s="250"/>
      <c r="H47" s="258"/>
      <c r="I47" s="250"/>
      <c r="J47" s="250"/>
      <c r="K47" s="250"/>
      <c r="L47" s="250"/>
    </row>
    <row r="48" spans="1:18" x14ac:dyDescent="0.2">
      <c r="F48" s="247"/>
      <c r="G48" s="250"/>
      <c r="H48" s="258"/>
      <c r="I48" s="250"/>
      <c r="J48" s="250"/>
      <c r="K48" s="250"/>
      <c r="L48" s="374">
        <f>+L44-L46</f>
        <v>260750.1512000002</v>
      </c>
    </row>
    <row r="49" spans="6:12" x14ac:dyDescent="0.2">
      <c r="G49" s="252"/>
      <c r="H49" s="251"/>
      <c r="I49" s="252"/>
      <c r="J49" s="252"/>
      <c r="K49" s="252"/>
      <c r="L49" s="252"/>
    </row>
    <row r="52" spans="6:12" x14ac:dyDescent="0.2">
      <c r="F52" s="378"/>
      <c r="G52" s="112"/>
      <c r="H52" s="111"/>
      <c r="I52" s="112"/>
      <c r="J52" s="112"/>
    </row>
  </sheetData>
  <printOptions horizontalCentered="1"/>
  <pageMargins left="0.39370078740157483" right="0.39370078740157483" top="0.39370078740157483" bottom="0.78740157480314965" header="0" footer="0.59055118110236227"/>
  <pageSetup scale="61" orientation="landscape" r:id="rId1"/>
  <headerFooter>
    <oddFooter>&amp;L&amp;"Calibri,Regular"&amp;D&amp;C&amp;"Calibri,Regular"Page &amp;P of &amp;N&amp;R&amp;"Calibri,Regular"&amp;F
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Summary</vt:lpstr>
      <vt:lpstr>1806</vt:lpstr>
      <vt:lpstr>1820</vt:lpstr>
      <vt:lpstr>1830</vt:lpstr>
      <vt:lpstr>1835</vt:lpstr>
      <vt:lpstr>1840</vt:lpstr>
      <vt:lpstr>1845</vt:lpstr>
      <vt:lpstr>1850.1000</vt:lpstr>
      <vt:lpstr>1850.2000</vt:lpstr>
      <vt:lpstr>1855.1000</vt:lpstr>
      <vt:lpstr>1855.2000</vt:lpstr>
      <vt:lpstr>1860.1000</vt:lpstr>
      <vt:lpstr>1860.1500</vt:lpstr>
      <vt:lpstr>1860.2000</vt:lpstr>
      <vt:lpstr>1860.3000</vt:lpstr>
      <vt:lpstr>1905</vt:lpstr>
      <vt:lpstr>1908</vt:lpstr>
      <vt:lpstr>1908.1000</vt:lpstr>
      <vt:lpstr>1915</vt:lpstr>
      <vt:lpstr>1920</vt:lpstr>
      <vt:lpstr>1921 COMPUTER SOFTWARE</vt:lpstr>
      <vt:lpstr>1925</vt:lpstr>
      <vt:lpstr>1930</vt:lpstr>
      <vt:lpstr>1940</vt:lpstr>
      <vt:lpstr>1955</vt:lpstr>
      <vt:lpstr>1960.1000</vt:lpstr>
      <vt:lpstr>GL 1963 HEALTH &amp; SAFETY</vt:lpstr>
      <vt:lpstr>GL 1970 LOAD MGT CONTROLS</vt:lpstr>
      <vt:lpstr>1980</vt:lpstr>
      <vt:lpstr>1980-b</vt:lpstr>
      <vt:lpstr>1995</vt:lpstr>
      <vt:lpstr>'1830'!Print_Area</vt:lpstr>
      <vt:lpstr>'1840'!Print_Area</vt:lpstr>
      <vt:lpstr>'1860.1000'!Print_Area</vt:lpstr>
      <vt:lpstr>'1860.1500'!Print_Area</vt:lpstr>
      <vt:lpstr>'1920'!Print_Area</vt:lpstr>
      <vt:lpstr>'1921 COMPUTER SOFTWARE'!Print_Area</vt:lpstr>
      <vt:lpstr>'1930'!Print_Area</vt:lpstr>
      <vt:lpstr>'1940'!Print_Area</vt:lpstr>
      <vt:lpstr>'1940'!Print_Titles</vt:lpstr>
    </vt:vector>
  </TitlesOfParts>
  <Company>St. Thomas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jwiller</dc:creator>
  <cp:lastModifiedBy>Robert Kent</cp:lastModifiedBy>
  <cp:lastPrinted>2013-01-25T16:27:43Z</cp:lastPrinted>
  <dcterms:created xsi:type="dcterms:W3CDTF">2003-12-05T16:50:52Z</dcterms:created>
  <dcterms:modified xsi:type="dcterms:W3CDTF">2014-06-26T13:44:50Z</dcterms:modified>
</cp:coreProperties>
</file>