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6320" windowHeight="5940" tabRatio="907"/>
  </bookViews>
  <sheets>
    <sheet name="Summary Impact 2012_13" sheetId="26" r:id="rId1"/>
    <sheet name="2013 Summary" sheetId="6" r:id="rId2"/>
    <sheet name="2012 Summary" sheetId="9" r:id="rId3"/>
    <sheet name="2012_14 Reconciliation 1589" sheetId="13" r:id="rId4"/>
    <sheet name="Summary Impact Table for IR" sheetId="27" r:id="rId5"/>
    <sheet name="Summary Invoice 2012-2014" sheetId="1" r:id="rId6"/>
    <sheet name="Jan-Feb correction" sheetId="16" r:id="rId7"/>
    <sheet name="2014 Pivot" sheetId="15" r:id="rId8"/>
    <sheet name="2013 Pivot" sheetId="4" r:id="rId9"/>
    <sheet name="2012 Pivot" sheetId="8" r:id="rId10"/>
    <sheet name="11GLVoucherRowsAnalysis 2014" sheetId="14" r:id="rId11"/>
    <sheet name="11GLVoucherRowsAnalysis 2013" sheetId="5" r:id="rId12"/>
    <sheet name="11GLVoucherRowsAnalysis 2012" sheetId="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xlnm.Print_Area" localSheetId="2">'2012 Summary'!$A$1:$H$39</definedName>
    <definedName name="_xlnm.Print_Area" localSheetId="3">'2012_14 Reconciliation 1589'!$I$3:$T$28</definedName>
    <definedName name="_xlnm.Print_Area" localSheetId="1">'2013 Summary'!$A$1:$L$40</definedName>
    <definedName name="_xlnm.Print_Area" localSheetId="0">'Summary Impact 2012_13'!$A$1:$I$36</definedName>
  </definedNames>
  <calcPr calcId="145621"/>
  <pivotCaches>
    <pivotCache cacheId="0" r:id="rId85"/>
    <pivotCache cacheId="1" r:id="rId86"/>
    <pivotCache cacheId="2" r:id="rId87"/>
    <pivotCache cacheId="3" r:id="rId88"/>
    <pivotCache cacheId="9" r:id="rId89"/>
  </pivotCaches>
</workbook>
</file>

<file path=xl/calcChain.xml><?xml version="1.0" encoding="utf-8"?>
<calcChain xmlns="http://schemas.openxmlformats.org/spreadsheetml/2006/main">
  <c r="C5" i="27" l="1"/>
  <c r="C4" i="27"/>
  <c r="C3" i="27"/>
  <c r="D29" i="26" l="1"/>
  <c r="D30" i="26"/>
  <c r="D31" i="26"/>
  <c r="D32" i="26"/>
  <c r="D33" i="26"/>
  <c r="D34" i="26"/>
  <c r="D35" i="26"/>
  <c r="D36" i="26"/>
  <c r="D28" i="26"/>
  <c r="E6" i="26"/>
  <c r="C16" i="26"/>
  <c r="C17" i="26"/>
  <c r="E17" i="26" s="1"/>
  <c r="C18" i="26"/>
  <c r="E18" i="26" s="1"/>
  <c r="C19" i="26"/>
  <c r="C22" i="26"/>
  <c r="C15" i="26"/>
  <c r="E16" i="26"/>
  <c r="E19" i="26"/>
  <c r="E22" i="26"/>
  <c r="E23" i="26"/>
  <c r="E15" i="26"/>
  <c r="F6" i="26"/>
  <c r="F5" i="26"/>
  <c r="D6" i="26"/>
  <c r="G6" i="26" l="1"/>
  <c r="G5" i="26"/>
  <c r="E7" i="26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F8" i="26" l="1"/>
  <c r="G8" i="26"/>
  <c r="D7" i="26"/>
  <c r="E8" i="26"/>
  <c r="D8" i="26"/>
  <c r="R28" i="13"/>
  <c r="R23" i="13"/>
  <c r="R22" i="13"/>
  <c r="T23" i="13" l="1"/>
  <c r="D32" i="15"/>
  <c r="C31" i="13" l="1"/>
  <c r="C32" i="13"/>
  <c r="O6" i="13" l="1"/>
  <c r="J4" i="13"/>
  <c r="B4" i="13" l="1"/>
  <c r="K4" i="13" l="1"/>
  <c r="M10" i="13"/>
  <c r="M11" i="13"/>
  <c r="M12" i="13"/>
  <c r="M13" i="13"/>
  <c r="M14" i="13"/>
  <c r="M15" i="13"/>
  <c r="M16" i="13"/>
  <c r="M17" i="13"/>
  <c r="M18" i="13"/>
  <c r="M19" i="13"/>
  <c r="M20" i="13"/>
  <c r="M9" i="13"/>
  <c r="M25" i="13" l="1"/>
  <c r="J22" i="13"/>
  <c r="J23" i="13" l="1"/>
  <c r="L6" i="13" l="1"/>
  <c r="N6" i="13" l="1"/>
  <c r="K23" i="13" l="1"/>
  <c r="L23" i="13" s="1"/>
  <c r="K22" i="13"/>
  <c r="L22" i="13" s="1"/>
  <c r="N22" i="13" l="1"/>
  <c r="O22" i="13"/>
  <c r="N23" i="13"/>
  <c r="O23" i="13"/>
  <c r="B22" i="13"/>
  <c r="B23" i="13"/>
  <c r="E9" i="13"/>
  <c r="C22" i="13" l="1"/>
  <c r="C23" i="13"/>
  <c r="T22" i="13"/>
  <c r="G22" i="13" l="1"/>
  <c r="G23" i="13" l="1"/>
  <c r="R11" i="13" l="1"/>
  <c r="R10" i="13" l="1"/>
  <c r="R7" i="13"/>
  <c r="R6" i="13" l="1"/>
  <c r="B6" i="13" l="1"/>
  <c r="Q60" i="8" l="1"/>
  <c r="Q58" i="8"/>
  <c r="Q55" i="8"/>
  <c r="Q53" i="8"/>
  <c r="Q49" i="8"/>
  <c r="Q45" i="8"/>
  <c r="Q41" i="8"/>
  <c r="Q37" i="8"/>
  <c r="Q33" i="8"/>
  <c r="Q29" i="8"/>
  <c r="Q24" i="8"/>
  <c r="Q20" i="8"/>
  <c r="Q19" i="8"/>
  <c r="Q17" i="8"/>
  <c r="Q14" i="8"/>
  <c r="Q12" i="8"/>
  <c r="Q8" i="8"/>
  <c r="C6" i="13"/>
  <c r="B8" i="13"/>
  <c r="B11" i="13"/>
  <c r="D6" i="13" l="1"/>
  <c r="C7" i="13"/>
  <c r="D7" i="13" s="1"/>
  <c r="C4" i="13"/>
  <c r="B16" i="13"/>
  <c r="B21" i="13"/>
  <c r="B13" i="13"/>
  <c r="B18" i="13"/>
  <c r="B20" i="13"/>
  <c r="B17" i="13"/>
  <c r="B15" i="13"/>
  <c r="B12" i="13"/>
  <c r="B9" i="13"/>
  <c r="B10" i="13"/>
  <c r="B19" i="13"/>
  <c r="B14" i="13"/>
  <c r="B25" i="13" l="1"/>
  <c r="G7" i="13"/>
  <c r="F7" i="13"/>
  <c r="G6" i="13"/>
  <c r="F6" i="13"/>
  <c r="G21" i="13"/>
  <c r="D4" i="13"/>
  <c r="G4" i="13" s="1"/>
  <c r="C21" i="13"/>
  <c r="C8" i="13"/>
  <c r="B27" i="13" l="1"/>
  <c r="D8" i="13"/>
  <c r="B28" i="13" l="1"/>
  <c r="F8" i="13"/>
  <c r="G8" i="13"/>
  <c r="N3" i="1" l="1"/>
  <c r="H6" i="9" s="1"/>
  <c r="O7" i="1"/>
  <c r="O14" i="1"/>
  <c r="O13" i="1"/>
  <c r="O12" i="1"/>
  <c r="O11" i="1"/>
  <c r="O10" i="1"/>
  <c r="O9" i="1"/>
  <c r="O8" i="1"/>
  <c r="O6" i="1"/>
  <c r="O5" i="1"/>
  <c r="O4" i="1"/>
  <c r="O3" i="1"/>
  <c r="G6" i="9" l="1"/>
  <c r="F6" i="16" l="1"/>
  <c r="H6" i="16"/>
  <c r="H3" i="16" l="1"/>
  <c r="H2" i="16"/>
  <c r="E6" i="16" s="1"/>
  <c r="C47" i="13" l="1"/>
  <c r="D47" i="13" s="1"/>
  <c r="B57" i="13" l="1"/>
  <c r="B56" i="13"/>
  <c r="B50" i="13"/>
  <c r="B49" i="13"/>
  <c r="D43" i="13"/>
  <c r="C39" i="13"/>
  <c r="B38" i="13"/>
  <c r="C37" i="13"/>
  <c r="C35" i="13"/>
  <c r="B35" i="13"/>
  <c r="B39" i="13" s="1"/>
  <c r="B36" i="13" l="1"/>
  <c r="S7" i="13" l="1"/>
  <c r="S11" i="13"/>
  <c r="S10" i="13"/>
  <c r="S6" i="13" l="1"/>
  <c r="T7" i="13"/>
  <c r="K7" i="13" l="1"/>
  <c r="L7" i="13" s="1"/>
  <c r="O7" i="13" l="1"/>
  <c r="N7" i="13"/>
  <c r="C48" i="13"/>
  <c r="T6" i="13"/>
  <c r="B55" i="13"/>
  <c r="B60" i="13"/>
  <c r="B53" i="13" l="1"/>
  <c r="C49" i="13"/>
  <c r="D39" i="13"/>
  <c r="C38" i="13"/>
  <c r="C40" i="13" s="1"/>
  <c r="B59" i="13"/>
  <c r="D35" i="13"/>
  <c r="B46" i="13"/>
  <c r="B45" i="13"/>
  <c r="B42" i="13"/>
  <c r="T15" i="13"/>
  <c r="T10" i="13"/>
  <c r="T18" i="13"/>
  <c r="T13" i="13"/>
  <c r="T21" i="13"/>
  <c r="T16" i="13"/>
  <c r="T11" i="13"/>
  <c r="T19" i="13"/>
  <c r="T14" i="13"/>
  <c r="T17" i="13"/>
  <c r="T12" i="13"/>
  <c r="T20" i="13"/>
  <c r="B51" i="13" l="1"/>
  <c r="C42" i="13"/>
  <c r="B40" i="13"/>
  <c r="B61" i="13" s="1"/>
  <c r="B58" i="13" s="1"/>
  <c r="K8" i="13"/>
  <c r="K21" i="13" l="1"/>
  <c r="D42" i="13"/>
  <c r="J10" i="13"/>
  <c r="J13" i="13"/>
  <c r="J19" i="13"/>
  <c r="J14" i="13"/>
  <c r="J8" i="13"/>
  <c r="J11" i="13"/>
  <c r="J21" i="13"/>
  <c r="J17" i="13"/>
  <c r="J16" i="13"/>
  <c r="J20" i="13"/>
  <c r="J18" i="13"/>
  <c r="J9" i="13"/>
  <c r="J15" i="13"/>
  <c r="J12" i="13"/>
  <c r="J25" i="13" l="1"/>
  <c r="J27" i="13" s="1"/>
  <c r="R4" i="13" s="1"/>
  <c r="L8" i="13"/>
  <c r="O8" i="13" s="1"/>
  <c r="S8" i="13"/>
  <c r="L21" i="13"/>
  <c r="N21" i="13" s="1"/>
  <c r="R8" i="13"/>
  <c r="O21" i="13" l="1"/>
  <c r="J28" i="13"/>
  <c r="N8" i="13"/>
  <c r="T8" i="13"/>
  <c r="D29" i="1" l="1"/>
  <c r="B3" i="16" s="1"/>
  <c r="G14" i="9" l="1"/>
  <c r="G13" i="9"/>
  <c r="G12" i="9"/>
  <c r="G11" i="9"/>
  <c r="G10" i="9"/>
  <c r="G9" i="9"/>
  <c r="G8" i="9"/>
  <c r="G7" i="9"/>
  <c r="F6" i="9"/>
  <c r="E35" i="9" l="1"/>
  <c r="D23" i="9"/>
  <c r="D33" i="9"/>
  <c r="D30" i="9"/>
  <c r="D29" i="9"/>
  <c r="D27" i="9"/>
  <c r="D26" i="9"/>
  <c r="D25" i="9"/>
  <c r="F16" i="9"/>
  <c r="F15" i="9"/>
  <c r="F17" i="9"/>
  <c r="F13" i="9"/>
  <c r="F9" i="9"/>
  <c r="F11" i="9"/>
  <c r="F8" i="9"/>
  <c r="F14" i="9"/>
  <c r="F7" i="9"/>
  <c r="F12" i="9"/>
  <c r="F10" i="9"/>
  <c r="G18" i="9" l="1"/>
  <c r="D28" i="9"/>
  <c r="D18" i="9"/>
  <c r="D34" i="9"/>
  <c r="E18" i="9"/>
  <c r="E38" i="9" s="1"/>
  <c r="D24" i="9"/>
  <c r="D32" i="9"/>
  <c r="D31" i="9"/>
  <c r="E35" i="6"/>
  <c r="D23" i="6"/>
  <c r="G17" i="6"/>
  <c r="F18" i="9" l="1"/>
  <c r="D35" i="9"/>
  <c r="D38" i="9" s="1"/>
  <c r="E17" i="6"/>
  <c r="D17" i="6"/>
  <c r="G16" i="6"/>
  <c r="D34" i="6" l="1"/>
  <c r="E16" i="6"/>
  <c r="D16" i="6"/>
  <c r="G15" i="6"/>
  <c r="F17" i="6"/>
  <c r="D33" i="6" l="1"/>
  <c r="E15" i="6"/>
  <c r="D15" i="6"/>
  <c r="G14" i="6"/>
  <c r="F16" i="6"/>
  <c r="D32" i="6" l="1"/>
  <c r="E14" i="6"/>
  <c r="D14" i="6"/>
  <c r="G13" i="6"/>
  <c r="F15" i="6"/>
  <c r="D31" i="6" l="1"/>
  <c r="E13" i="6"/>
  <c r="D13" i="6"/>
  <c r="G12" i="6"/>
  <c r="F14" i="6"/>
  <c r="D30" i="6" l="1"/>
  <c r="E12" i="6"/>
  <c r="D12" i="6"/>
  <c r="G11" i="6"/>
  <c r="F13" i="6"/>
  <c r="D29" i="6" l="1"/>
  <c r="E11" i="6"/>
  <c r="D11" i="6"/>
  <c r="G10" i="6"/>
  <c r="F12" i="6"/>
  <c r="D28" i="6" l="1"/>
  <c r="E10" i="6"/>
  <c r="D10" i="6"/>
  <c r="G9" i="6"/>
  <c r="F11" i="6"/>
  <c r="D27" i="6" l="1"/>
  <c r="E9" i="6"/>
  <c r="D9" i="6"/>
  <c r="G8" i="6"/>
  <c r="F10" i="6"/>
  <c r="D26" i="6" l="1"/>
  <c r="E8" i="6"/>
  <c r="D8" i="6"/>
  <c r="G7" i="6"/>
  <c r="F9" i="6"/>
  <c r="D25" i="6" l="1"/>
  <c r="E7" i="6"/>
  <c r="D7" i="6"/>
  <c r="G6" i="6"/>
  <c r="G18" i="6" s="1"/>
  <c r="F6" i="6"/>
  <c r="F8" i="6"/>
  <c r="D24" i="6" l="1"/>
  <c r="D18" i="6"/>
  <c r="E18" i="6"/>
  <c r="E38" i="6" s="1"/>
  <c r="F7" i="6"/>
  <c r="F18" i="6" l="1"/>
  <c r="D35" i="6"/>
  <c r="D38" i="6" s="1"/>
  <c r="D27" i="1" l="1"/>
  <c r="O22" i="1"/>
  <c r="N22" i="1"/>
  <c r="O27" i="1"/>
  <c r="O26" i="1"/>
  <c r="O25" i="1"/>
  <c r="O24" i="1"/>
  <c r="O23" i="1"/>
  <c r="O21" i="1"/>
  <c r="O20" i="1"/>
  <c r="O19" i="1"/>
  <c r="O18" i="1"/>
  <c r="O17" i="1"/>
  <c r="O16" i="1"/>
  <c r="H13" i="6" l="1"/>
  <c r="O15" i="1"/>
  <c r="P3" i="1" l="1"/>
  <c r="N4" i="1"/>
  <c r="H7" i="9" s="1"/>
  <c r="N5" i="1"/>
  <c r="H8" i="9" s="1"/>
  <c r="N6" i="1"/>
  <c r="H9" i="9" s="1"/>
  <c r="N7" i="1"/>
  <c r="H10" i="9" s="1"/>
  <c r="P4" i="1" l="1"/>
  <c r="N8" i="1"/>
  <c r="H11" i="9" s="1"/>
  <c r="N9" i="1"/>
  <c r="H12" i="9" s="1"/>
  <c r="N10" i="1"/>
  <c r="H13" i="9" s="1"/>
  <c r="N11" i="1"/>
  <c r="H14" i="9" s="1"/>
  <c r="P5" i="1"/>
  <c r="P6" i="1"/>
  <c r="P7" i="1"/>
  <c r="P11" i="1" l="1"/>
  <c r="P10" i="1"/>
  <c r="P8" i="1"/>
  <c r="P9" i="1"/>
  <c r="N12" i="1"/>
  <c r="H15" i="9" s="1"/>
  <c r="N13" i="1"/>
  <c r="H16" i="9" s="1"/>
  <c r="N14" i="1"/>
  <c r="H17" i="9" s="1"/>
  <c r="N15" i="1"/>
  <c r="H18" i="9" l="1"/>
  <c r="H6" i="6"/>
  <c r="P12" i="1"/>
  <c r="P15" i="1"/>
  <c r="P13" i="1"/>
  <c r="P14" i="1"/>
  <c r="O29" i="1"/>
  <c r="N29" i="1"/>
  <c r="O28" i="1"/>
  <c r="N28" i="1"/>
  <c r="P28" i="1" l="1"/>
  <c r="P29" i="1"/>
  <c r="E29" i="1"/>
  <c r="E28" i="1"/>
  <c r="D28" i="1"/>
  <c r="B2" i="16" s="1"/>
  <c r="C2" i="16" l="1"/>
  <c r="E2" i="16"/>
  <c r="C3" i="16"/>
  <c r="F29" i="1"/>
  <c r="G29" i="1" s="1"/>
  <c r="H29" i="1" s="1"/>
  <c r="R29" i="1" s="1"/>
  <c r="F28" i="1"/>
  <c r="G28" i="1" s="1"/>
  <c r="H28" i="1" s="1"/>
  <c r="R28" i="1" s="1"/>
  <c r="N16" i="1"/>
  <c r="N17" i="1"/>
  <c r="N18" i="1"/>
  <c r="N19" i="1"/>
  <c r="N20" i="1"/>
  <c r="N21" i="1"/>
  <c r="P22" i="1"/>
  <c r="N23" i="1"/>
  <c r="N24" i="1"/>
  <c r="N25" i="1"/>
  <c r="N26" i="1"/>
  <c r="N27" i="1"/>
  <c r="P27" i="1" s="1"/>
  <c r="I29" i="1" l="1"/>
  <c r="S29" i="1" s="1"/>
  <c r="I28" i="1"/>
  <c r="S28" i="1" s="1"/>
  <c r="D2" i="16"/>
  <c r="D3" i="16"/>
  <c r="E12" i="16" s="1"/>
  <c r="E3" i="16"/>
  <c r="E7" i="16" s="1"/>
  <c r="F7" i="16" s="1"/>
  <c r="H7" i="16" s="1"/>
  <c r="H9" i="6"/>
  <c r="H10" i="6"/>
  <c r="H11" i="6"/>
  <c r="H17" i="6"/>
  <c r="H16" i="6"/>
  <c r="H8" i="6"/>
  <c r="H15" i="6"/>
  <c r="H7" i="6"/>
  <c r="H14" i="6"/>
  <c r="H12" i="6"/>
  <c r="P19" i="1"/>
  <c r="P26" i="1"/>
  <c r="P18" i="1"/>
  <c r="P24" i="1"/>
  <c r="P23" i="1"/>
  <c r="J28" i="1"/>
  <c r="P25" i="1"/>
  <c r="P21" i="1"/>
  <c r="P17" i="1"/>
  <c r="P20" i="1"/>
  <c r="P1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E16" i="16" l="1"/>
  <c r="J29" i="1"/>
  <c r="F12" i="16"/>
  <c r="F3" i="16"/>
  <c r="G3" i="16" s="1"/>
  <c r="F11" i="16"/>
  <c r="F2" i="16"/>
  <c r="G2" i="16" s="1"/>
  <c r="E11" i="16"/>
  <c r="E15" i="16" s="1"/>
  <c r="H18" i="6"/>
  <c r="T29" i="1"/>
  <c r="L29" i="1"/>
  <c r="T28" i="1"/>
  <c r="L28" i="1"/>
  <c r="P31" i="1"/>
  <c r="E27" i="1"/>
  <c r="E26" i="1"/>
  <c r="E25" i="1"/>
  <c r="E24" i="1"/>
  <c r="E23" i="1"/>
  <c r="E22" i="1"/>
  <c r="E21" i="1"/>
  <c r="E20" i="1"/>
  <c r="E19" i="1"/>
  <c r="E18" i="1"/>
  <c r="E17" i="1"/>
  <c r="H11" i="16" l="1"/>
  <c r="F15" i="16"/>
  <c r="H12" i="16"/>
  <c r="F16" i="16"/>
  <c r="F20" i="1"/>
  <c r="F21" i="1"/>
  <c r="F23" i="1"/>
  <c r="G23" i="1" s="1"/>
  <c r="H23" i="1" s="1"/>
  <c r="H31" i="6" s="1"/>
  <c r="F25" i="1"/>
  <c r="G25" i="1" s="1"/>
  <c r="H25" i="1" s="1"/>
  <c r="H33" i="6" s="1"/>
  <c r="F24" i="1"/>
  <c r="F17" i="1"/>
  <c r="F18" i="1"/>
  <c r="G18" i="1" s="1"/>
  <c r="H18" i="1" s="1"/>
  <c r="H26" i="6" s="1"/>
  <c r="F26" i="1"/>
  <c r="G26" i="1" s="1"/>
  <c r="H26" i="1" s="1"/>
  <c r="H34" i="6" s="1"/>
  <c r="F22" i="1"/>
  <c r="G22" i="1" s="1"/>
  <c r="H22" i="1" s="1"/>
  <c r="H30" i="6" s="1"/>
  <c r="F19" i="1"/>
  <c r="G19" i="1" s="1"/>
  <c r="H19" i="1" s="1"/>
  <c r="H27" i="6" s="1"/>
  <c r="F27" i="1"/>
  <c r="G27" i="1" s="1"/>
  <c r="H27" i="1" s="1"/>
  <c r="R27" i="1" s="1"/>
  <c r="U29" i="1" s="1"/>
  <c r="E16" i="1"/>
  <c r="I26" i="1" l="1"/>
  <c r="F34" i="6" s="1"/>
  <c r="G34" i="6" s="1"/>
  <c r="K20" i="13" s="1"/>
  <c r="L20" i="13" s="1"/>
  <c r="O20" i="13" s="1"/>
  <c r="G24" i="1"/>
  <c r="H24" i="1" s="1"/>
  <c r="H32" i="6" s="1"/>
  <c r="I18" i="1"/>
  <c r="F26" i="6" s="1"/>
  <c r="I23" i="1"/>
  <c r="I22" i="1"/>
  <c r="F30" i="6" s="1"/>
  <c r="G30" i="6" s="1"/>
  <c r="K16" i="13" s="1"/>
  <c r="L16" i="13" s="1"/>
  <c r="O16" i="13" s="1"/>
  <c r="I25" i="1"/>
  <c r="F33" i="6" s="1"/>
  <c r="G33" i="6" s="1"/>
  <c r="K19" i="13" s="1"/>
  <c r="L19" i="13" s="1"/>
  <c r="O19" i="13" s="1"/>
  <c r="I27" i="1"/>
  <c r="I19" i="1"/>
  <c r="F27" i="6" s="1"/>
  <c r="G27" i="6" s="1"/>
  <c r="K13" i="13" s="1"/>
  <c r="L13" i="13" s="1"/>
  <c r="O13" i="13" s="1"/>
  <c r="G20" i="1"/>
  <c r="H20" i="1" s="1"/>
  <c r="H28" i="6" s="1"/>
  <c r="G21" i="1"/>
  <c r="H21" i="1" s="1"/>
  <c r="H29" i="6" s="1"/>
  <c r="G17" i="1"/>
  <c r="H17" i="1" s="1"/>
  <c r="H25" i="6" s="1"/>
  <c r="C50" i="13"/>
  <c r="C45" i="13"/>
  <c r="D45" i="13" s="1"/>
  <c r="F31" i="6"/>
  <c r="G31" i="6" s="1"/>
  <c r="K17" i="13" s="1"/>
  <c r="L17" i="13" s="1"/>
  <c r="O17" i="13" s="1"/>
  <c r="R25" i="1"/>
  <c r="R18" i="1"/>
  <c r="R23" i="1"/>
  <c r="R26" i="1"/>
  <c r="R19" i="1"/>
  <c r="R22" i="1"/>
  <c r="F16" i="1"/>
  <c r="G16" i="1" s="1"/>
  <c r="H16" i="1" s="1"/>
  <c r="H24" i="6" s="1"/>
  <c r="E15" i="1"/>
  <c r="E14" i="1"/>
  <c r="E13" i="1"/>
  <c r="E12" i="1"/>
  <c r="E11" i="1"/>
  <c r="E10" i="1"/>
  <c r="E9" i="1"/>
  <c r="E8" i="1"/>
  <c r="E7" i="1"/>
  <c r="E6" i="1"/>
  <c r="E5" i="1"/>
  <c r="E4" i="1"/>
  <c r="R17" i="1" l="1"/>
  <c r="I17" i="1"/>
  <c r="F25" i="6" s="1"/>
  <c r="G25" i="6" s="1"/>
  <c r="K11" i="13" s="1"/>
  <c r="L11" i="13" s="1"/>
  <c r="O11" i="13" s="1"/>
  <c r="N19" i="13"/>
  <c r="N20" i="13"/>
  <c r="N16" i="13"/>
  <c r="N13" i="13"/>
  <c r="N17" i="13"/>
  <c r="R21" i="1"/>
  <c r="I16" i="1"/>
  <c r="F24" i="6" s="1"/>
  <c r="G24" i="6" s="1"/>
  <c r="K10" i="13" s="1"/>
  <c r="L10" i="13" s="1"/>
  <c r="O10" i="13" s="1"/>
  <c r="I24" i="1"/>
  <c r="F32" i="6" s="1"/>
  <c r="G32" i="6" s="1"/>
  <c r="K18" i="13" s="1"/>
  <c r="L18" i="13" s="1"/>
  <c r="O18" i="13" s="1"/>
  <c r="R20" i="1"/>
  <c r="I20" i="1"/>
  <c r="F28" i="6" s="1"/>
  <c r="G28" i="6" s="1"/>
  <c r="K14" i="13" s="1"/>
  <c r="L14" i="13" s="1"/>
  <c r="O14" i="13" s="1"/>
  <c r="R24" i="1"/>
  <c r="I21" i="1"/>
  <c r="F29" i="6" s="1"/>
  <c r="G29" i="6" s="1"/>
  <c r="K15" i="13" s="1"/>
  <c r="L15" i="13" s="1"/>
  <c r="O15" i="13" s="1"/>
  <c r="S23" i="1"/>
  <c r="J23" i="1"/>
  <c r="L23" i="1" s="1"/>
  <c r="S27" i="1"/>
  <c r="V29" i="1" s="1"/>
  <c r="S9" i="13"/>
  <c r="S25" i="13" s="1"/>
  <c r="S18" i="1"/>
  <c r="J24" i="1"/>
  <c r="T24" i="1" s="1"/>
  <c r="J25" i="1"/>
  <c r="T25" i="1" s="1"/>
  <c r="J17" i="1"/>
  <c r="T17" i="1" s="1"/>
  <c r="J18" i="1"/>
  <c r="L18" i="1" s="1"/>
  <c r="S19" i="1"/>
  <c r="J22" i="1"/>
  <c r="T22" i="1" s="1"/>
  <c r="J26" i="1"/>
  <c r="T26" i="1" s="1"/>
  <c r="J19" i="1"/>
  <c r="T19" i="1" s="1"/>
  <c r="S26" i="1"/>
  <c r="S22" i="1"/>
  <c r="S21" i="1"/>
  <c r="S25" i="1"/>
  <c r="G26" i="6"/>
  <c r="K12" i="13" s="1"/>
  <c r="L12" i="13" s="1"/>
  <c r="O12" i="13" s="1"/>
  <c r="S17" i="1"/>
  <c r="J27" i="1"/>
  <c r="T27" i="1" s="1"/>
  <c r="R16" i="1"/>
  <c r="F9" i="1"/>
  <c r="F10" i="1"/>
  <c r="F11" i="1"/>
  <c r="G11" i="1" s="1"/>
  <c r="H11" i="1" s="1"/>
  <c r="F4" i="1"/>
  <c r="F12" i="1"/>
  <c r="F5" i="1"/>
  <c r="F13" i="1"/>
  <c r="G13" i="1" s="1"/>
  <c r="H13" i="1" s="1"/>
  <c r="F6" i="1"/>
  <c r="G6" i="1" s="1"/>
  <c r="H6" i="1" s="1"/>
  <c r="F14" i="1"/>
  <c r="F7" i="1"/>
  <c r="F15" i="1"/>
  <c r="G15" i="1" s="1"/>
  <c r="H15" i="1" s="1"/>
  <c r="H23" i="6" s="1"/>
  <c r="F8" i="1"/>
  <c r="G8" i="1" s="1"/>
  <c r="H8" i="1" s="1"/>
  <c r="E3" i="1"/>
  <c r="L26" i="1" l="1"/>
  <c r="N11" i="13"/>
  <c r="T23" i="1"/>
  <c r="S20" i="1"/>
  <c r="L24" i="1"/>
  <c r="N15" i="13"/>
  <c r="N14" i="13"/>
  <c r="N12" i="13"/>
  <c r="N10" i="13"/>
  <c r="N18" i="13"/>
  <c r="G14" i="1"/>
  <c r="H14" i="1" s="1"/>
  <c r="R14" i="1" s="1"/>
  <c r="I6" i="1"/>
  <c r="F26" i="9" s="1"/>
  <c r="G7" i="1"/>
  <c r="H7" i="1" s="1"/>
  <c r="H27" i="9" s="1"/>
  <c r="G5" i="1"/>
  <c r="H5" i="1" s="1"/>
  <c r="R5" i="1" s="1"/>
  <c r="I8" i="1"/>
  <c r="F28" i="9" s="1"/>
  <c r="G28" i="9" s="1"/>
  <c r="C14" i="13" s="1"/>
  <c r="D14" i="13" s="1"/>
  <c r="J21" i="1"/>
  <c r="T21" i="1" s="1"/>
  <c r="G9" i="1"/>
  <c r="H9" i="1" s="1"/>
  <c r="R9" i="1" s="1"/>
  <c r="G12" i="1"/>
  <c r="H12" i="1" s="1"/>
  <c r="H32" i="9" s="1"/>
  <c r="G4" i="1"/>
  <c r="H4" i="1" s="1"/>
  <c r="I13" i="1"/>
  <c r="S24" i="1"/>
  <c r="I15" i="1"/>
  <c r="F23" i="6" s="1"/>
  <c r="G23" i="6" s="1"/>
  <c r="I11" i="1"/>
  <c r="S11" i="1" s="1"/>
  <c r="J20" i="1"/>
  <c r="T20" i="1" s="1"/>
  <c r="G10" i="1"/>
  <c r="H10" i="1" s="1"/>
  <c r="R10" i="1" s="1"/>
  <c r="T18" i="1"/>
  <c r="C53" i="13"/>
  <c r="D53" i="13" s="1"/>
  <c r="D50" i="13"/>
  <c r="R9" i="13" s="1"/>
  <c r="R25" i="13" s="1"/>
  <c r="R27" i="13" s="1"/>
  <c r="R30" i="13" s="1"/>
  <c r="C51" i="13"/>
  <c r="L25" i="1"/>
  <c r="S16" i="1"/>
  <c r="L22" i="1"/>
  <c r="L19" i="1"/>
  <c r="J16" i="1"/>
  <c r="T16" i="1" s="1"/>
  <c r="L17" i="1"/>
  <c r="L27" i="1"/>
  <c r="R7" i="1"/>
  <c r="F33" i="9"/>
  <c r="G33" i="9" s="1"/>
  <c r="C19" i="13" s="1"/>
  <c r="D19" i="13" s="1"/>
  <c r="R8" i="1"/>
  <c r="H28" i="9"/>
  <c r="R6" i="1"/>
  <c r="H26" i="9"/>
  <c r="H24" i="9"/>
  <c r="R13" i="1"/>
  <c r="H33" i="9"/>
  <c r="R11" i="1"/>
  <c r="H31" i="9"/>
  <c r="H35" i="6"/>
  <c r="H38" i="6" s="1"/>
  <c r="C6" i="26" s="1"/>
  <c r="R15" i="1"/>
  <c r="U26" i="1" s="1"/>
  <c r="F3" i="1"/>
  <c r="H25" i="9" l="1"/>
  <c r="I5" i="1"/>
  <c r="F25" i="9" s="1"/>
  <c r="G25" i="9" s="1"/>
  <c r="C11" i="13" s="1"/>
  <c r="D11" i="13" s="1"/>
  <c r="J8" i="1"/>
  <c r="S8" i="1"/>
  <c r="I6" i="26"/>
  <c r="L20" i="1"/>
  <c r="J4" i="1"/>
  <c r="L4" i="1" s="1"/>
  <c r="S5" i="1"/>
  <c r="I4" i="1"/>
  <c r="R4" i="1"/>
  <c r="H29" i="9"/>
  <c r="I7" i="1"/>
  <c r="F27" i="9" s="1"/>
  <c r="G27" i="9" s="1"/>
  <c r="C13" i="13" s="1"/>
  <c r="D13" i="13" s="1"/>
  <c r="I9" i="1"/>
  <c r="J9" i="1" s="1"/>
  <c r="L9" i="1" s="1"/>
  <c r="T9" i="13"/>
  <c r="T25" i="13"/>
  <c r="L21" i="1"/>
  <c r="R12" i="1"/>
  <c r="I12" i="1"/>
  <c r="J12" i="1" s="1"/>
  <c r="I14" i="1"/>
  <c r="S14" i="1" s="1"/>
  <c r="G3" i="1"/>
  <c r="H3" i="1" s="1"/>
  <c r="H23" i="9" s="1"/>
  <c r="J6" i="1"/>
  <c r="L6" i="1" s="1"/>
  <c r="H34" i="9"/>
  <c r="H30" i="9"/>
  <c r="I10" i="1"/>
  <c r="F30" i="9" s="1"/>
  <c r="G30" i="9" s="1"/>
  <c r="C16" i="13" s="1"/>
  <c r="D16" i="13" s="1"/>
  <c r="F29" i="9"/>
  <c r="G29" i="9" s="1"/>
  <c r="C15" i="13" s="1"/>
  <c r="D15" i="13" s="1"/>
  <c r="J11" i="1"/>
  <c r="F31" i="9"/>
  <c r="G31" i="9" s="1"/>
  <c r="C17" i="13" s="1"/>
  <c r="D17" i="13" s="1"/>
  <c r="G35" i="6"/>
  <c r="K9" i="13"/>
  <c r="K25" i="13" s="1"/>
  <c r="K27" i="13" s="1"/>
  <c r="J13" i="1"/>
  <c r="T13" i="1" s="1"/>
  <c r="J23" i="6"/>
  <c r="J15" i="1"/>
  <c r="T15" i="1" s="1"/>
  <c r="L16" i="1"/>
  <c r="F35" i="6"/>
  <c r="F38" i="6" s="1"/>
  <c r="S6" i="1"/>
  <c r="S15" i="1"/>
  <c r="V26" i="1" s="1"/>
  <c r="G26" i="9"/>
  <c r="C12" i="13" s="1"/>
  <c r="D12" i="13" s="1"/>
  <c r="S13" i="1"/>
  <c r="T11" i="1"/>
  <c r="L11" i="1"/>
  <c r="T8" i="1"/>
  <c r="L8" i="1"/>
  <c r="T6" i="1" l="1"/>
  <c r="I3" i="1"/>
  <c r="S3" i="1" s="1"/>
  <c r="R3" i="1"/>
  <c r="U14" i="1" s="1"/>
  <c r="T4" i="1"/>
  <c r="S12" i="1"/>
  <c r="J5" i="1"/>
  <c r="H35" i="9"/>
  <c r="H38" i="9" s="1"/>
  <c r="C5" i="26" s="1"/>
  <c r="T9" i="1"/>
  <c r="J7" i="1"/>
  <c r="L7" i="1" s="1"/>
  <c r="S4" i="1"/>
  <c r="F24" i="9"/>
  <c r="G24" i="9" s="1"/>
  <c r="C10" i="13" s="1"/>
  <c r="D10" i="13" s="1"/>
  <c r="S9" i="1"/>
  <c r="S7" i="1"/>
  <c r="L9" i="13"/>
  <c r="T12" i="1"/>
  <c r="L12" i="1"/>
  <c r="J10" i="1"/>
  <c r="T10" i="1" s="1"/>
  <c r="F34" i="9"/>
  <c r="G34" i="9" s="1"/>
  <c r="C20" i="13" s="1"/>
  <c r="D20" i="13" s="1"/>
  <c r="F32" i="9"/>
  <c r="G32" i="9" s="1"/>
  <c r="C18" i="13" s="1"/>
  <c r="D18" i="13" s="1"/>
  <c r="G38" i="6"/>
  <c r="B6" i="26" s="1"/>
  <c r="S10" i="1"/>
  <c r="F23" i="9"/>
  <c r="G23" i="9" s="1"/>
  <c r="J14" i="1"/>
  <c r="T14" i="1" s="1"/>
  <c r="L14" i="1"/>
  <c r="L15" i="1"/>
  <c r="F39" i="6"/>
  <c r="L13" i="1"/>
  <c r="J23" i="9" l="1"/>
  <c r="V14" i="1"/>
  <c r="J3" i="1"/>
  <c r="C7" i="26"/>
  <c r="I5" i="26"/>
  <c r="I8" i="26" s="1"/>
  <c r="C8" i="26"/>
  <c r="T5" i="1"/>
  <c r="L5" i="1"/>
  <c r="T7" i="1"/>
  <c r="H6" i="26"/>
  <c r="G35" i="9"/>
  <c r="G38" i="9" s="1"/>
  <c r="B5" i="26" s="1"/>
  <c r="C9" i="13"/>
  <c r="O9" i="13"/>
  <c r="O25" i="13" s="1"/>
  <c r="L25" i="13"/>
  <c r="N9" i="13"/>
  <c r="N25" i="13" s="1"/>
  <c r="F35" i="9"/>
  <c r="F38" i="9" s="1"/>
  <c r="F39" i="9" s="1"/>
  <c r="I38" i="6"/>
  <c r="L10" i="1"/>
  <c r="C21" i="26" l="1"/>
  <c r="E21" i="26" s="1"/>
  <c r="L3" i="1"/>
  <c r="T3" i="1"/>
  <c r="H5" i="26"/>
  <c r="H8" i="26" s="1"/>
  <c r="B7" i="26"/>
  <c r="B8" i="26"/>
  <c r="D9" i="13"/>
  <c r="C25" i="13"/>
  <c r="C27" i="13" s="1"/>
  <c r="I38" i="9"/>
  <c r="S4" i="13"/>
  <c r="S27" i="13" s="1"/>
  <c r="T27" i="13" s="1"/>
  <c r="D21" i="26" l="1"/>
  <c r="C20" i="26"/>
  <c r="E20" i="26" s="1"/>
  <c r="G9" i="13"/>
  <c r="F9" i="13"/>
  <c r="D25" i="13"/>
  <c r="D27" i="13" s="1"/>
  <c r="T4" i="13"/>
  <c r="U31" i="1"/>
  <c r="R31" i="1"/>
  <c r="D20" i="26" l="1"/>
  <c r="L4" i="13"/>
  <c r="L27" i="13" s="1"/>
  <c r="B32" i="13"/>
  <c r="D32" i="13" l="1"/>
  <c r="B31" i="13"/>
  <c r="D31" i="13" s="1"/>
  <c r="T31" i="1"/>
  <c r="J31" i="1"/>
  <c r="V31" i="1"/>
  <c r="S31" i="1"/>
  <c r="E10" i="13" l="1"/>
  <c r="G10" i="13" l="1"/>
  <c r="F10" i="13"/>
  <c r="E11" i="13" l="1"/>
  <c r="F11" i="13" l="1"/>
  <c r="G11" i="13"/>
  <c r="E12" i="13" l="1"/>
  <c r="G12" i="13" l="1"/>
  <c r="F12" i="13"/>
  <c r="E13" i="13" l="1"/>
  <c r="G13" i="13" l="1"/>
  <c r="F13" i="13"/>
  <c r="E14" i="13" l="1"/>
  <c r="G14" i="13" l="1"/>
  <c r="F14" i="13"/>
  <c r="E15" i="13" l="1"/>
  <c r="F15" i="13" l="1"/>
  <c r="G15" i="13"/>
  <c r="E16" i="13" l="1"/>
  <c r="G16" i="13" l="1"/>
  <c r="F16" i="13"/>
  <c r="E17" i="13" l="1"/>
  <c r="F17" i="13" l="1"/>
  <c r="G17" i="13"/>
  <c r="E18" i="13" l="1"/>
  <c r="G18" i="13" l="1"/>
  <c r="F18" i="13"/>
  <c r="E19" i="13" l="1"/>
  <c r="F19" i="13" l="1"/>
  <c r="G19" i="13"/>
  <c r="E20" i="13" l="1"/>
  <c r="E25" i="13" s="1"/>
  <c r="F20" i="13" l="1"/>
  <c r="F25" i="13" s="1"/>
  <c r="G20" i="13"/>
  <c r="G25" i="13" s="1"/>
  <c r="G27" i="13" l="1"/>
  <c r="E27" i="13"/>
  <c r="M4" i="13" s="1"/>
  <c r="F27" i="13"/>
  <c r="G28" i="13" s="1"/>
  <c r="M27" i="13" l="1"/>
  <c r="N4" i="13"/>
  <c r="N27" i="13" s="1"/>
  <c r="O4" i="13"/>
  <c r="O27" i="13" s="1"/>
  <c r="O28" i="13" l="1"/>
</calcChain>
</file>

<file path=xl/comments1.xml><?xml version="1.0" encoding="utf-8"?>
<comments xmlns="http://schemas.openxmlformats.org/spreadsheetml/2006/main">
  <authors>
    <author>Dilalla, Nicolas</author>
  </authors>
  <commentList>
    <comment ref="O3" authorId="0">
      <text>
        <r>
          <rPr>
            <b/>
            <sz val="9"/>
            <color indexed="81"/>
            <rFont val="Tahoma"/>
            <family val="2"/>
          </rPr>
          <t>Dilalla, Nicolas:</t>
        </r>
        <r>
          <rPr>
            <sz val="9"/>
            <color indexed="81"/>
            <rFont val="Tahoma"/>
            <family val="2"/>
          </rPr>
          <t xml:space="preserve">
These is an additional true-up adjustment included in the J/E which was not included in the Recon to the invoice</t>
        </r>
      </text>
    </comment>
  </commentList>
</comments>
</file>

<file path=xl/sharedStrings.xml><?xml version="1.0" encoding="utf-8"?>
<sst xmlns="http://schemas.openxmlformats.org/spreadsheetml/2006/main" count="761" uniqueCount="211">
  <si>
    <t>GA Actual Rate</t>
  </si>
  <si>
    <t>RPP Volume</t>
  </si>
  <si>
    <t>Non-RPP Volume</t>
  </si>
  <si>
    <t>RPP GA $</t>
  </si>
  <si>
    <t>Non-RPP GA $</t>
  </si>
  <si>
    <t>Total GA $</t>
  </si>
  <si>
    <t>Month</t>
  </si>
  <si>
    <t>Non-RPP GA$</t>
  </si>
  <si>
    <t>Recorded</t>
  </si>
  <si>
    <t xml:space="preserve">RPP </t>
  </si>
  <si>
    <t>Non-RPP</t>
  </si>
  <si>
    <t>Invoice</t>
  </si>
  <si>
    <t>Check = 0</t>
  </si>
  <si>
    <t>Total GA</t>
  </si>
  <si>
    <t>Over/(Under)</t>
  </si>
  <si>
    <t>Values</t>
  </si>
  <si>
    <t>Year Period Key</t>
  </si>
  <si>
    <t>OEB</t>
  </si>
  <si>
    <t>Text</t>
  </si>
  <si>
    <t>Sum of Debit Amount</t>
  </si>
  <si>
    <t>Sum of Credit Amount</t>
  </si>
  <si>
    <t>Sum of Amount</t>
  </si>
  <si>
    <t>NPEI Physical LTLT Accrual for Jan 01 2012 to Dec 31 2012</t>
  </si>
  <si>
    <t>To accrue the cost of power for the month.</t>
  </si>
  <si>
    <t>To record the IESO invoice payment.</t>
  </si>
  <si>
    <t>(blank)</t>
  </si>
  <si>
    <t>To accrue LTLT</t>
  </si>
  <si>
    <t>4710 Total</t>
  </si>
  <si>
    <t>HYDRO ONE (483 BAY ST.)</t>
  </si>
  <si>
    <t>HYDRO ONE NETWORKS INC</t>
  </si>
  <si>
    <t>To record the IESO invoice for June 1st - June 30th, 2013</t>
  </si>
  <si>
    <t>NIAGARA PENINSULA ENERGY INC</t>
  </si>
  <si>
    <t>Grand Total</t>
  </si>
  <si>
    <t>Vou Type</t>
  </si>
  <si>
    <t>Vou No</t>
  </si>
  <si>
    <t>Account</t>
  </si>
  <si>
    <t>Cost Cent</t>
  </si>
  <si>
    <t>Serv Area</t>
  </si>
  <si>
    <t>Debit Amount</t>
  </si>
  <si>
    <t>Credit Amount</t>
  </si>
  <si>
    <t>Amount</t>
  </si>
  <si>
    <t>M</t>
  </si>
  <si>
    <t>MR</t>
  </si>
  <si>
    <t>R</t>
  </si>
  <si>
    <t>I</t>
  </si>
  <si>
    <t>Row Labels</t>
  </si>
  <si>
    <t xml:space="preserve">     Class A</t>
  </si>
  <si>
    <t>Amount Recorded in 1589 from IESO Invoice</t>
  </si>
  <si>
    <t>RPP Settlement</t>
  </si>
  <si>
    <t xml:space="preserve">  RPP COP (GA and Settlement)</t>
  </si>
  <si>
    <t>Total Non -RPP GA</t>
  </si>
  <si>
    <t>Over/(Under) Recovered</t>
  </si>
  <si>
    <t>2013 - Should have been Recorded</t>
  </si>
  <si>
    <t>2013 - Recorded</t>
  </si>
  <si>
    <t xml:space="preserve">under charged non-RPP </t>
  </si>
  <si>
    <t xml:space="preserve">  over charged RPP</t>
  </si>
  <si>
    <t>diff calc inv vs actual</t>
  </si>
  <si>
    <t>Non-RPP GA</t>
  </si>
  <si>
    <t xml:space="preserve">     Class A (A)</t>
  </si>
  <si>
    <t>RPP Settlement (B)</t>
  </si>
  <si>
    <t>Non-RPP GA  (C)</t>
  </si>
  <si>
    <t>Total non-RPP GA = A+B+C</t>
  </si>
  <si>
    <t>BURLINGTON HYDRO INC</t>
  </si>
  <si>
    <t>To record IESO Invoice for period February 1 - February 29, 2012</t>
  </si>
  <si>
    <t>To record IESO invoice for period March 1 - March 31, 2012</t>
  </si>
  <si>
    <t>To record IESO invoice for period April 1 - April 30, 2012</t>
  </si>
  <si>
    <t>To accrue the cost of power for April 2012</t>
  </si>
  <si>
    <t>To correct the accrual for cost of power in December 2011</t>
  </si>
  <si>
    <t>2012 - Recorded</t>
  </si>
  <si>
    <t>2012 - Should have been Recorded</t>
  </si>
  <si>
    <t>2013 GLOBAL ADJUSTMENT</t>
  </si>
  <si>
    <t>2012 GLOBAL ADJUSTMENT</t>
  </si>
  <si>
    <t>Adjustment</t>
  </si>
  <si>
    <t>Dec Accrual 2012</t>
  </si>
  <si>
    <t>Dec Invoice 2012</t>
  </si>
  <si>
    <t>Dec Accrual 2013</t>
  </si>
  <si>
    <t>Jan Invoice 2013</t>
  </si>
  <si>
    <t>Feb Invoice 2013</t>
  </si>
  <si>
    <t>Mar Invoice 2013</t>
  </si>
  <si>
    <t>Apr Invoice 2013</t>
  </si>
  <si>
    <t>May Invoice 2013</t>
  </si>
  <si>
    <t>Jun Invoice 2013</t>
  </si>
  <si>
    <t>Jul Invoice 2013</t>
  </si>
  <si>
    <t>Aug Invoice 2013</t>
  </si>
  <si>
    <t>Sep Invoice 2013</t>
  </si>
  <si>
    <t>Oct Invoice 2013</t>
  </si>
  <si>
    <t>Nov Invoice 2013</t>
  </si>
  <si>
    <t>LTLT</t>
  </si>
  <si>
    <t>2013 Activity</t>
  </si>
  <si>
    <t>Dec Accrual</t>
  </si>
  <si>
    <t>Class A</t>
  </si>
  <si>
    <t>Class B</t>
  </si>
  <si>
    <t>Non-RPP GA Accrual</t>
  </si>
  <si>
    <t>RPP GA</t>
  </si>
  <si>
    <t>RPP COP</t>
  </si>
  <si>
    <t>Total</t>
  </si>
  <si>
    <t>Dec Actual</t>
  </si>
  <si>
    <t>Non-RPP GA Actual</t>
  </si>
  <si>
    <t>Correct</t>
  </si>
  <si>
    <t>true-up included in RPP GA/deducted from non-RPP GA</t>
  </si>
  <si>
    <t>True-up</t>
  </si>
  <si>
    <t>True-up volume</t>
  </si>
  <si>
    <t>pymt to IESO</t>
  </si>
  <si>
    <t>Settlement</t>
  </si>
  <si>
    <t>Sales Activity</t>
  </si>
  <si>
    <t>Jan Invoice 2014</t>
  </si>
  <si>
    <t>Feb Invoice 2014</t>
  </si>
  <si>
    <t>Mar Invoice 2014</t>
  </si>
  <si>
    <t>Apr Invoice 2014</t>
  </si>
  <si>
    <t>May Invoice 2014</t>
  </si>
  <si>
    <t>Jun Invoice 2014</t>
  </si>
  <si>
    <t>Jul Invoice 2014</t>
  </si>
  <si>
    <t>Aug Invoice 2014</t>
  </si>
  <si>
    <t>Sep Invoice 2014</t>
  </si>
  <si>
    <t>Oct Invoice 2014</t>
  </si>
  <si>
    <t>Nov Invoice 2014</t>
  </si>
  <si>
    <t>Dec Accrual 2014</t>
  </si>
  <si>
    <t>2014 Activity</t>
  </si>
  <si>
    <t>201401 Total</t>
  </si>
  <si>
    <t>201402 Total</t>
  </si>
  <si>
    <t>201403 Total</t>
  </si>
  <si>
    <t>(blank) Total</t>
  </si>
  <si>
    <t>Dec Invoice 2013</t>
  </si>
  <si>
    <t xml:space="preserve">1589 ADJUSTMENT </t>
  </si>
  <si>
    <t>RPP Final Variance Amt</t>
  </si>
  <si>
    <t>kwh RPP</t>
  </si>
  <si>
    <t>non RPP</t>
  </si>
  <si>
    <t>Total GA Invoice</t>
  </si>
  <si>
    <t>Calc RPP GA</t>
  </si>
  <si>
    <t>Calc non-RPP GA</t>
  </si>
  <si>
    <t>Total Calc</t>
  </si>
  <si>
    <t>Prorated RPP GA</t>
  </si>
  <si>
    <t>CORRECT INVOICE ENTRY</t>
  </si>
  <si>
    <t>CORRECTION</t>
  </si>
  <si>
    <t>RECORDED INVOICE ENTRY</t>
  </si>
  <si>
    <t>non-RPP GA</t>
  </si>
  <si>
    <t>Class A GA</t>
  </si>
  <si>
    <t>Jan Invoice</t>
  </si>
  <si>
    <t>Feb Invoice</t>
  </si>
  <si>
    <t>Mar Invoice</t>
  </si>
  <si>
    <t>Customer Owes Horizon/ (Horizon Owes Customer)</t>
  </si>
  <si>
    <t xml:space="preserve">Total Estimated AQEW </t>
  </si>
  <si>
    <t xml:space="preserve">*In 2012 there was an additional RPP True-up included in the J/E but not included in the reconcilation page. The True-up has been added here. </t>
  </si>
  <si>
    <t>Total 2012/2013</t>
  </si>
  <si>
    <t>includes correction made in Mar</t>
  </si>
  <si>
    <t>Dec Accrual 2011</t>
  </si>
  <si>
    <t>Dec Invoice 2011</t>
  </si>
  <si>
    <t>Jan Invoice 2012</t>
  </si>
  <si>
    <t>Feb Invoice 2012</t>
  </si>
  <si>
    <t>Mar Invoice 2012</t>
  </si>
  <si>
    <t>Apr Invoice 2012</t>
  </si>
  <si>
    <t>May Invoice 2012</t>
  </si>
  <si>
    <t>Jun Invoice 2012</t>
  </si>
  <si>
    <t>Jul Invoice 2012</t>
  </si>
  <si>
    <t>Aug Invoice 2012</t>
  </si>
  <si>
    <t>Sep Invoice 2012</t>
  </si>
  <si>
    <t>Oct Invoice 2012</t>
  </si>
  <si>
    <t>Nov Invoice 2012</t>
  </si>
  <si>
    <t>2012 Activity</t>
  </si>
  <si>
    <t>Paste Special Value</t>
  </si>
  <si>
    <t>IESO invoice correction using new GA method</t>
  </si>
  <si>
    <t>January IESO invoice correction using new GA method</t>
  </si>
  <si>
    <t>February IESO invoice correction using new GA method</t>
  </si>
  <si>
    <t>201404 Total</t>
  </si>
  <si>
    <t>To accrue the cost of power for the month March</t>
  </si>
  <si>
    <t>Carrying Charges</t>
  </si>
  <si>
    <t>Total Disposition in 2012</t>
  </si>
  <si>
    <t>Total Disposition in 2013</t>
  </si>
  <si>
    <t>Total Adjustment</t>
  </si>
  <si>
    <t>Carrying Charges Adjustment</t>
  </si>
  <si>
    <t>Check Ending Bal 1589</t>
  </si>
  <si>
    <t>Opening Balance 1589</t>
  </si>
  <si>
    <t>Closing Balance - 1589</t>
  </si>
  <si>
    <t>TOTAL ADJUSTMENT TO Q4 2013</t>
  </si>
  <si>
    <t>Account 1588</t>
  </si>
  <si>
    <t>Account 1589</t>
  </si>
  <si>
    <t>Principal</t>
  </si>
  <si>
    <t>Interest</t>
  </si>
  <si>
    <t>check Bal 1589 excl mar accrual</t>
  </si>
  <si>
    <t>Total Disposition in 2014</t>
  </si>
  <si>
    <t>Invoices</t>
  </si>
  <si>
    <r>
      <t>2013 December Accrual</t>
    </r>
    <r>
      <rPr>
        <b/>
        <vertAlign val="superscript"/>
        <sz val="11"/>
        <color theme="1"/>
        <rFont val="Arial"/>
        <family val="2"/>
      </rPr>
      <t xml:space="preserve"> 1</t>
    </r>
  </si>
  <si>
    <t>TOTAL ADJUSTMENT</t>
  </si>
  <si>
    <t>Should have been recorded</t>
  </si>
  <si>
    <t>Invoice vs Recorded GA</t>
  </si>
  <si>
    <t>Total non-RPP GA = A+C</t>
  </si>
  <si>
    <t xml:space="preserve">  RPP COP (GA and RPP Settlement)</t>
  </si>
  <si>
    <t xml:space="preserve">  *RPP COP</t>
  </si>
  <si>
    <t>RPP - 1588</t>
  </si>
  <si>
    <t>Non-RPP - 1589</t>
  </si>
  <si>
    <t>1. 2013 includes adjustment for Dec 13 Accrual which did not correctly allocate the GA between RPP and non-RPP; will need to adjust the reversal in 2014</t>
  </si>
  <si>
    <t>GLOBAL ADJUSTMENT CORRECTION (below shows adj for 1588/1589; adjustment will also be made to COP expense (4705) and GA expense (4707)</t>
  </si>
  <si>
    <t>Description</t>
  </si>
  <si>
    <t>Modified IFRS Dec 31 2013, Balance $</t>
  </si>
  <si>
    <t>Canadian GAAP Dec 31 2013, Balance $</t>
  </si>
  <si>
    <t>Variance $</t>
  </si>
  <si>
    <t>Low Voltage</t>
  </si>
  <si>
    <t>Smart Meter Entity Charge</t>
  </si>
  <si>
    <t>RSVA - WMS</t>
  </si>
  <si>
    <t>RSVA  -NW</t>
  </si>
  <si>
    <t>RSVA - CN</t>
  </si>
  <si>
    <t>RSVA - Power</t>
  </si>
  <si>
    <t>RSVA - Power Adj</t>
  </si>
  <si>
    <t>Disposition and Recovery of Regulatory Assets</t>
  </si>
  <si>
    <t>Total Group 1 Deferral &amp; Variance Account</t>
  </si>
  <si>
    <t>Old DVA Accounts</t>
  </si>
  <si>
    <t>New DVA Accounts After Adjustment</t>
  </si>
  <si>
    <t>USoA</t>
  </si>
  <si>
    <t>RSVA - Global Adjustment</t>
  </si>
  <si>
    <t>Cumulative Adjustment</t>
  </si>
  <si>
    <t xml:space="preserve">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</si>
</sst>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&quot;$&quot;#,##0"/>
    <numFmt numFmtId="166" formatCode="&quot;$&quot;#,##0.00"/>
    <numFmt numFmtId="168" formatCode="_(* #,##0_);_(* \(#,##0\);_(* &quot;-&quot;??_);_(@_)"/>
  </numFmts>
  <fonts count="2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b/>
      <vertAlign val="superscript"/>
      <sz val="11"/>
      <color theme="1"/>
      <name val="Aria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6" applyNumberFormat="0" applyAlignment="0" applyProtection="0"/>
    <xf numFmtId="0" fontId="19" fillId="10" borderId="7" applyNumberFormat="0" applyAlignment="0" applyProtection="0"/>
    <xf numFmtId="0" fontId="20" fillId="10" borderId="6" applyNumberFormat="0" applyAlignment="0" applyProtection="0"/>
    <xf numFmtId="0" fontId="21" fillId="0" borderId="8" applyNumberFormat="0" applyFill="0" applyAlignment="0" applyProtection="0"/>
    <xf numFmtId="0" fontId="22" fillId="11" borderId="9" applyNumberFormat="0" applyAlignment="0" applyProtection="0"/>
    <xf numFmtId="0" fontId="23" fillId="0" borderId="0" applyNumberFormat="0" applyFill="0" applyBorder="0" applyAlignment="0" applyProtection="0"/>
    <xf numFmtId="0" fontId="1" fillId="12" borderId="10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</cellStyleXfs>
  <cellXfs count="152">
    <xf numFmtId="0" fontId="0" fillId="0" borderId="0" xfId="0"/>
    <xf numFmtId="17" fontId="0" fillId="0" borderId="0" xfId="0" applyNumberFormat="1"/>
    <xf numFmtId="0" fontId="0" fillId="0" borderId="0" xfId="0" applyNumberFormat="1"/>
    <xf numFmtId="43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44" fontId="0" fillId="2" borderId="0" xfId="0" applyNumberFormat="1" applyFill="1"/>
    <xf numFmtId="0" fontId="0" fillId="0" borderId="0" xfId="0" applyFill="1"/>
    <xf numFmtId="44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2" applyFont="1" applyFill="1"/>
    <xf numFmtId="43" fontId="0" fillId="2" borderId="0" xfId="2" applyFont="1" applyFill="1"/>
    <xf numFmtId="4" fontId="0" fillId="0" borderId="0" xfId="0" applyNumberFormat="1"/>
    <xf numFmtId="4" fontId="0" fillId="3" borderId="0" xfId="0" applyNumberFormat="1" applyFill="1"/>
    <xf numFmtId="0" fontId="0" fillId="2" borderId="0" xfId="0" applyFill="1"/>
    <xf numFmtId="4" fontId="0" fillId="2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 applyFont="1"/>
    <xf numFmtId="8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0" fillId="0" borderId="1" xfId="0" applyBorder="1"/>
    <xf numFmtId="8" fontId="0" fillId="0" borderId="1" xfId="0" applyNumberFormat="1" applyBorder="1"/>
    <xf numFmtId="44" fontId="0" fillId="0" borderId="1" xfId="0" applyNumberFormat="1" applyBorder="1"/>
    <xf numFmtId="8" fontId="2" fillId="0" borderId="1" xfId="0" applyNumberFormat="1" applyFont="1" applyBorder="1"/>
    <xf numFmtId="8" fontId="2" fillId="4" borderId="1" xfId="0" applyNumberFormat="1" applyFont="1" applyFill="1" applyBorder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6" fontId="0" fillId="0" borderId="0" xfId="0" applyNumberFormat="1"/>
    <xf numFmtId="0" fontId="6" fillId="0" borderId="0" xfId="0" applyFont="1" applyAlignment="1">
      <alignment horizontal="right"/>
    </xf>
    <xf numFmtId="43" fontId="0" fillId="5" borderId="0" xfId="2" applyFont="1" applyFill="1"/>
    <xf numFmtId="44" fontId="0" fillId="5" borderId="0" xfId="0" applyNumberFormat="1" applyFill="1"/>
    <xf numFmtId="0" fontId="9" fillId="0" borderId="0" xfId="0" applyFont="1"/>
    <xf numFmtId="6" fontId="0" fillId="0" borderId="1" xfId="0" applyNumberFormat="1" applyBorder="1"/>
    <xf numFmtId="43" fontId="0" fillId="0" borderId="1" xfId="0" applyNumberFormat="1" applyBorder="1"/>
    <xf numFmtId="166" fontId="0" fillId="0" borderId="0" xfId="0" applyNumberFormat="1"/>
    <xf numFmtId="0" fontId="0" fillId="0" borderId="0" xfId="0" applyAlignment="1">
      <alignment horizontal="right"/>
    </xf>
    <xf numFmtId="44" fontId="2" fillId="0" borderId="1" xfId="0" applyNumberFormat="1" applyFont="1" applyBorder="1"/>
    <xf numFmtId="44" fontId="0" fillId="0" borderId="1" xfId="0" applyNumberFormat="1" applyFill="1" applyBorder="1"/>
    <xf numFmtId="8" fontId="0" fillId="0" borderId="1" xfId="0" applyNumberFormat="1" applyFill="1" applyBorder="1"/>
    <xf numFmtId="0" fontId="0" fillId="0" borderId="0" xfId="0" applyAlignment="1">
      <alignment horizontal="center"/>
    </xf>
    <xf numFmtId="8" fontId="0" fillId="2" borderId="1" xfId="0" applyNumberFormat="1" applyFill="1" applyBorder="1"/>
    <xf numFmtId="0" fontId="0" fillId="0" borderId="1" xfId="0" applyFill="1" applyBorder="1"/>
    <xf numFmtId="43" fontId="2" fillId="0" borderId="1" xfId="0" applyNumberFormat="1" applyFont="1" applyBorder="1"/>
    <xf numFmtId="0" fontId="10" fillId="0" borderId="0" xfId="0" applyFont="1"/>
    <xf numFmtId="43" fontId="10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7" fontId="5" fillId="0" borderId="0" xfId="0" applyNumberFormat="1" applyFont="1"/>
    <xf numFmtId="0" fontId="0" fillId="2" borderId="1" xfId="0" applyFill="1" applyBorder="1" applyAlignment="1">
      <alignment horizontal="left" wrapText="1"/>
    </xf>
    <xf numFmtId="43" fontId="0" fillId="2" borderId="1" xfId="2" applyFont="1" applyFill="1" applyBorder="1" applyAlignment="1">
      <alignment horizontal="left" vertical="center" wrapText="1"/>
    </xf>
    <xf numFmtId="8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4" fontId="0" fillId="0" borderId="0" xfId="0" applyNumberFormat="1"/>
    <xf numFmtId="43" fontId="0" fillId="0" borderId="0" xfId="2" applyFont="1"/>
    <xf numFmtId="168" fontId="0" fillId="0" borderId="0" xfId="2" applyNumberFormat="1" applyFont="1"/>
    <xf numFmtId="166" fontId="0" fillId="2" borderId="0" xfId="0" applyNumberFormat="1" applyFill="1"/>
    <xf numFmtId="168" fontId="0" fillId="0" borderId="0" xfId="2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4" fontId="0" fillId="0" borderId="0" xfId="1" applyFont="1" applyAlignment="1">
      <alignment horizontal="right"/>
    </xf>
    <xf numFmtId="44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8" fontId="0" fillId="2" borderId="0" xfId="0" applyNumberFormat="1" applyFill="1"/>
    <xf numFmtId="8" fontId="2" fillId="0" borderId="1" xfId="0" applyNumberFormat="1" applyFont="1" applyFill="1" applyBorder="1"/>
    <xf numFmtId="0" fontId="0" fillId="0" borderId="0" xfId="0" applyAlignment="1">
      <alignment horizontal="center" vertical="top" wrapText="1"/>
    </xf>
    <xf numFmtId="0" fontId="0" fillId="0" borderId="0" xfId="0" applyAlignment="1"/>
    <xf numFmtId="43" fontId="0" fillId="0" borderId="0" xfId="0" applyNumberFormat="1" applyBorder="1"/>
    <xf numFmtId="0" fontId="2" fillId="0" borderId="0" xfId="0" applyFont="1" applyAlignment="1">
      <alignment horizontal="left"/>
    </xf>
    <xf numFmtId="43" fontId="0" fillId="2" borderId="1" xfId="0" applyNumberFormat="1" applyFill="1" applyBorder="1" applyAlignment="1">
      <alignment vertical="center"/>
    </xf>
    <xf numFmtId="0" fontId="0" fillId="0" borderId="0" xfId="0" applyBorder="1"/>
    <xf numFmtId="8" fontId="0" fillId="0" borderId="0" xfId="0" applyNumberFormat="1" applyBorder="1"/>
    <xf numFmtId="0" fontId="0" fillId="0" borderId="0" xfId="0" applyFill="1" applyBorder="1"/>
    <xf numFmtId="0" fontId="2" fillId="0" borderId="1" xfId="0" applyFont="1" applyFill="1" applyBorder="1"/>
    <xf numFmtId="43" fontId="2" fillId="0" borderId="1" xfId="0" applyNumberFormat="1" applyFont="1" applyBorder="1" applyAlignment="1">
      <alignment horizontal="right"/>
    </xf>
    <xf numFmtId="8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7" fontId="0" fillId="5" borderId="0" xfId="0" applyNumberFormat="1" applyFill="1"/>
    <xf numFmtId="17" fontId="0" fillId="5" borderId="0" xfId="0" applyNumberFormat="1" applyFont="1" applyFill="1"/>
    <xf numFmtId="0" fontId="0" fillId="5" borderId="0" xfId="0" applyFill="1"/>
    <xf numFmtId="164" fontId="0" fillId="5" borderId="0" xfId="0" applyNumberFormat="1" applyFill="1"/>
    <xf numFmtId="43" fontId="0" fillId="5" borderId="0" xfId="0" applyNumberFormat="1" applyFill="1"/>
    <xf numFmtId="44" fontId="0" fillId="5" borderId="0" xfId="1" applyFont="1" applyFill="1"/>
    <xf numFmtId="0" fontId="0" fillId="5" borderId="0" xfId="0" applyNumberFormat="1" applyFill="1"/>
    <xf numFmtId="17" fontId="0" fillId="2" borderId="0" xfId="0" applyNumberFormat="1" applyFill="1"/>
    <xf numFmtId="17" fontId="0" fillId="2" borderId="0" xfId="0" applyNumberFormat="1" applyFont="1" applyFill="1"/>
    <xf numFmtId="0" fontId="0" fillId="2" borderId="0" xfId="0" applyNumberFormat="1" applyFill="1"/>
    <xf numFmtId="164" fontId="0" fillId="2" borderId="0" xfId="0" applyNumberFormat="1" applyFill="1"/>
    <xf numFmtId="43" fontId="0" fillId="2" borderId="0" xfId="0" applyNumberFormat="1" applyFill="1"/>
    <xf numFmtId="44" fontId="0" fillId="2" borderId="0" xfId="1" applyFont="1" applyFill="1"/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6" fontId="0" fillId="0" borderId="1" xfId="2" applyNumberFormat="1" applyFont="1" applyBorder="1"/>
    <xf numFmtId="0" fontId="27" fillId="0" borderId="1" xfId="0" applyFont="1" applyBorder="1"/>
    <xf numFmtId="6" fontId="27" fillId="0" borderId="1" xfId="0" applyNumberFormat="1" applyFont="1" applyBorder="1"/>
    <xf numFmtId="0" fontId="2" fillId="2" borderId="0" xfId="0" applyFont="1" applyFill="1" applyAlignment="1"/>
    <xf numFmtId="0" fontId="2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8" fontId="0" fillId="0" borderId="17" xfId="0" applyNumberFormat="1" applyFont="1" applyBorder="1" applyAlignment="1">
      <alignment horizontal="right"/>
    </xf>
    <xf numFmtId="8" fontId="0" fillId="0" borderId="18" xfId="0" applyNumberFormat="1" applyFont="1" applyBorder="1" applyAlignment="1">
      <alignment horizontal="right"/>
    </xf>
    <xf numFmtId="8" fontId="2" fillId="0" borderId="17" xfId="0" applyNumberFormat="1" applyFont="1" applyFill="1" applyBorder="1" applyAlignment="1">
      <alignment horizontal="right"/>
    </xf>
    <xf numFmtId="8" fontId="2" fillId="0" borderId="18" xfId="0" applyNumberFormat="1" applyFont="1" applyFill="1" applyBorder="1" applyAlignment="1">
      <alignment horizontal="right"/>
    </xf>
    <xf numFmtId="8" fontId="2" fillId="0" borderId="19" xfId="0" applyNumberFormat="1" applyFont="1" applyFill="1" applyBorder="1" applyAlignment="1">
      <alignment horizontal="right"/>
    </xf>
    <xf numFmtId="8" fontId="2" fillId="0" borderId="20" xfId="0" applyNumberFormat="1" applyFont="1" applyFill="1" applyBorder="1" applyAlignment="1">
      <alignment horizontal="right"/>
    </xf>
    <xf numFmtId="43" fontId="0" fillId="0" borderId="17" xfId="0" applyNumberFormat="1" applyFont="1" applyBorder="1" applyAlignment="1">
      <alignment horizontal="right"/>
    </xf>
    <xf numFmtId="43" fontId="0" fillId="0" borderId="18" xfId="0" applyNumberFormat="1" applyFont="1" applyBorder="1" applyAlignment="1">
      <alignment horizontal="right"/>
    </xf>
    <xf numFmtId="6" fontId="2" fillId="0" borderId="1" xfId="2" applyNumberFormat="1" applyFont="1" applyBorder="1"/>
    <xf numFmtId="0" fontId="27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2" fillId="37" borderId="1" xfId="0" applyFont="1" applyFill="1" applyBorder="1"/>
    <xf numFmtId="0" fontId="22" fillId="37" borderId="1" xfId="0" applyFont="1" applyFill="1" applyBorder="1" applyAlignment="1">
      <alignment horizontal="right"/>
    </xf>
    <xf numFmtId="0" fontId="22" fillId="37" borderId="1" xfId="0" applyFont="1" applyFill="1" applyBorder="1" applyAlignment="1">
      <alignment horizontal="right" wrapText="1"/>
    </xf>
    <xf numFmtId="6" fontId="2" fillId="0" borderId="1" xfId="0" applyNumberFormat="1" applyFont="1" applyBorder="1"/>
    <xf numFmtId="5" fontId="0" fillId="0" borderId="1" xfId="0" applyNumberForma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93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76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1.xml"/><Relationship Id="rId89" Type="http://schemas.openxmlformats.org/officeDocument/2006/relationships/pivotCacheDefinition" Target="pivotCache/pivotCacheDefinition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66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1.xml"/><Relationship Id="rId79" Type="http://schemas.openxmlformats.org/officeDocument/2006/relationships/externalLink" Target="externalLinks/externalLink66.xml"/><Relationship Id="rId87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8.xml"/><Relationship Id="rId82" Type="http://schemas.openxmlformats.org/officeDocument/2006/relationships/externalLink" Target="externalLinks/externalLink69.xml"/><Relationship Id="rId90" Type="http://schemas.openxmlformats.org/officeDocument/2006/relationships/theme" Target="theme/theme1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77" Type="http://schemas.openxmlformats.org/officeDocument/2006/relationships/externalLink" Target="externalLinks/externalLink6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80" Type="http://schemas.openxmlformats.org/officeDocument/2006/relationships/externalLink" Target="externalLinks/externalLink67.xml"/><Relationship Id="rId85" Type="http://schemas.openxmlformats.org/officeDocument/2006/relationships/pivotCacheDefinition" Target="pivotCache/pivotCacheDefinition1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75" Type="http://schemas.openxmlformats.org/officeDocument/2006/relationships/externalLink" Target="externalLinks/externalLink62.xml"/><Relationship Id="rId83" Type="http://schemas.openxmlformats.org/officeDocument/2006/relationships/externalLink" Target="externalLinks/externalLink70.xml"/><Relationship Id="rId88" Type="http://schemas.openxmlformats.org/officeDocument/2006/relationships/pivotCacheDefinition" Target="pivotCache/pivotCacheDefinition4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externalLink" Target="externalLinks/externalLink60.xml"/><Relationship Id="rId78" Type="http://schemas.openxmlformats.org/officeDocument/2006/relationships/externalLink" Target="externalLinks/externalLink65.xml"/><Relationship Id="rId81" Type="http://schemas.openxmlformats.org/officeDocument/2006/relationships/externalLink" Target="externalLinks/externalLink68.xml"/><Relationship Id="rId86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27</xdr:row>
      <xdr:rowOff>104775</xdr:rowOff>
    </xdr:from>
    <xdr:to>
      <xdr:col>12</xdr:col>
      <xdr:colOff>628146</xdr:colOff>
      <xdr:row>59</xdr:row>
      <xdr:rowOff>27861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0800" y="4905375"/>
          <a:ext cx="3911096" cy="561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27</xdr:row>
      <xdr:rowOff>171450</xdr:rowOff>
    </xdr:from>
    <xdr:to>
      <xdr:col>12</xdr:col>
      <xdr:colOff>542430</xdr:colOff>
      <xdr:row>60</xdr:row>
      <xdr:rowOff>132609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4175" y="5057775"/>
          <a:ext cx="3961905" cy="59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December%202012%20-%20revis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August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September%2020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October%20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November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Mar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Mar%2020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Reconciliations%20-%202012\Variance%20Account%20Reconciliation%202012%20-%20Revised%20MIFR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Reconciliations%20-%202013\Variance%20Account%20Reconciliation%202013%20-%20Revised%20MIFR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lackwe\AppData\Local\Microsoft\Windows\Temporary%20Internet%20Files\Content.Outlook\TD3765F3\Variance%20Account%20Reconciliation%202014%20-%20Revised%20MIFR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lackwe\AppData\Local\Microsoft\Windows\Temporary%20Internet%20Files\Content.Outlook\TD3765F3\GA%20Reconciliation\1588%20%201589%20-%20Apr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IESO%20Invoices%20-%202013\Breakdown%20of%202013%20IESO%20Invoice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December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December%20201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December%202013%20-%20Updated%20with%20Actual%20GA%20and%20COP%20Rat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%20Rates%20Analysts\Cost%20of%20Power%20-%202011\Form%201598\1598%20-%20Dec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%20Rates%20Analysts\Cost%20of%20Power%20-%202011\Accruals\COP%20December%202011%20-%20updated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Jan%20201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January%20201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Feb%20201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February%202012%20-%20revis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March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January%202013-corrected%20spot%20rate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Apr%20201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April%20201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May%20201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May%20201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Jun%202012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June%20201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Jul%202012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July%20201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Aug%20201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August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February%202013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Sep%202012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September%20201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Oct%20201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October%202012%20-%20revised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Nov%202012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Accurals\COP%20November%20201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Rates%20Analysts\Cost%20of%20Power%20-%202012\Form%201598\1598%20-%20Dec%202012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Jan%202013-correct%20spo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January%202013-corrected%20spot%20rate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Feb%202013-correc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March%20201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February%20201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March%202013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Apr%20201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April%202013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May%202013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May%202013%20-%20revised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Jun%202013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June%20201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July%202013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July%202013%20-%20Revise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April%202013%20-%20revised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August%202013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August%202013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September%202013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September%202013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October%20201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October%202013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Form%201598\1598%20-%20November%202013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ruals\COP%20November%202013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%20Rates%20Analysts\Cost%20of%20Power%20-%202014\Form%201598\1598%20-%20January%2020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%20Rates%20Analysts\Cost%20of%20Power%20-%202014\Accruals\COP%20January%202014%20Revise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May%202013%20-%20revised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%20Rates%20Analysts\Cost%20of%20Power%20-%202014\Form%201598\1598%20-%20February%2020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%20Rates%20Analysts\Cost%20of%20Power%20-%202014\Accruals\COP%20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June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s%20Analysts\Cost%20of%20Power%20-%202013\Accurals\COP%20July%202013%20-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December 2012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10052590.086913761</v>
          </cell>
        </row>
        <row r="12">
          <cell r="K12">
            <v>7471621.8830862381</v>
          </cell>
        </row>
      </sheetData>
      <sheetData sheetId="5">
        <row r="15">
          <cell r="I15">
            <v>8770403.1230862383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August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10222226.412755782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September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15080049.335986136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October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10346890.93251206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November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13721864.834423561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Mar 2013"/>
      <sheetName val="Inputs for True-up"/>
      <sheetName val="Mar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Embedded Generation Info"/>
      <sheetName val="RPP Trup Up"/>
      <sheetName val="GA True Up"/>
    </sheetNames>
    <sheetDataSet>
      <sheetData sheetId="0"/>
      <sheetData sheetId="1">
        <row r="67">
          <cell r="C67">
            <v>-10147046.924370885</v>
          </cell>
        </row>
      </sheetData>
      <sheetData sheetId="2"/>
      <sheetData sheetId="3"/>
      <sheetData sheetId="4"/>
      <sheetData sheetId="5">
        <row r="4">
          <cell r="C4">
            <v>4.9779999999999998E-2</v>
          </cell>
        </row>
        <row r="18">
          <cell r="B18">
            <v>193122919.44</v>
          </cell>
        </row>
        <row r="24">
          <cell r="B24">
            <v>355556179.52019078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2012-True-up"/>
      <sheetName val="Mar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>
        <row r="67">
          <cell r="C67">
            <v>-10061682.702869169</v>
          </cell>
        </row>
      </sheetData>
      <sheetData sheetId="2"/>
      <sheetData sheetId="3"/>
      <sheetData sheetId="4"/>
      <sheetData sheetId="5">
        <row r="4">
          <cell r="C4">
            <v>6.2129999999999998E-2</v>
          </cell>
        </row>
        <row r="18">
          <cell r="B18">
            <v>167525641.68000007</v>
          </cell>
        </row>
        <row r="24">
          <cell r="B24">
            <v>350195372.30999994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ng Charge"/>
      <sheetName val="GL"/>
      <sheetName val="CC NOV IL Bal"/>
      <sheetName val="CC Aug Adj"/>
      <sheetName val="CC IL Adj Aug- Nov"/>
      <sheetName val="CC Rates"/>
      <sheetName val="1508 (LRAM08)"/>
      <sheetName val="1508 (LRAM09)"/>
      <sheetName val="1508 (LRAM12)"/>
      <sheetName val="1508 (IFRS)"/>
      <sheetName val="1508 (H1)"/>
      <sheetName val="1518"/>
      <sheetName val="1532"/>
      <sheetName val="1533"/>
      <sheetName val="1548"/>
      <sheetName val="1550"/>
      <sheetName val="1555"/>
      <sheetName val="1556"/>
      <sheetName val="1562 (Def PILs)"/>
      <sheetName val="1562 (Def PILs)-REVISED"/>
      <sheetName val="1562 (Reserve)"/>
      <sheetName val="1563"/>
      <sheetName val="1568 Residential"/>
      <sheetName val="1568 GS&lt;50"/>
      <sheetName val="1568 GS&gt;50"/>
      <sheetName val="1568 Large User"/>
      <sheetName val="1575"/>
      <sheetName val="1580"/>
      <sheetName val="1584"/>
      <sheetName val="1586"/>
      <sheetName val="1588"/>
      <sheetName val="1589"/>
      <sheetName val="1592"/>
      <sheetName val="1595 (COS08)"/>
      <sheetName val="1595 (IRM10)"/>
      <sheetName val="1595 (IRM12)"/>
      <sheetName val="1595 (COS11)"/>
      <sheetName val="1595 (SM)"/>
      <sheetName val="1595 (Def PILs)"/>
      <sheetName val="2405"/>
      <sheetName val="1599"/>
      <sheetName val="1599-CGAAP"/>
      <sheetName val="Sheet1"/>
      <sheetName val="1508 H1)"/>
      <sheetName val="1562"/>
      <sheetName val="1595"/>
      <sheetName val="15555"/>
      <sheetName val="1595 (IRM13)"/>
    </sheetNames>
    <sheetDataSet>
      <sheetData sheetId="0"/>
      <sheetData sheetId="1"/>
      <sheetData sheetId="2"/>
      <sheetData sheetId="3"/>
      <sheetData sheetId="4"/>
      <sheetData sheetId="5">
        <row r="5">
          <cell r="A5">
            <v>40939</v>
          </cell>
        </row>
      </sheetData>
      <sheetData sheetId="6">
        <row r="25">
          <cell r="G25">
            <v>-74520.639999999999</v>
          </cell>
        </row>
      </sheetData>
      <sheetData sheetId="7">
        <row r="25">
          <cell r="G25">
            <v>13265.83</v>
          </cell>
        </row>
      </sheetData>
      <sheetData sheetId="8"/>
      <sheetData sheetId="9">
        <row r="25">
          <cell r="I25">
            <v>7483.56</v>
          </cell>
        </row>
      </sheetData>
      <sheetData sheetId="10">
        <row r="25">
          <cell r="I25">
            <v>171.26999999999998</v>
          </cell>
        </row>
      </sheetData>
      <sheetData sheetId="11">
        <row r="25">
          <cell r="D25">
            <v>368520.36000000004</v>
          </cell>
        </row>
      </sheetData>
      <sheetData sheetId="12">
        <row r="22">
          <cell r="D22">
            <v>-46718.840000000004</v>
          </cell>
        </row>
      </sheetData>
      <sheetData sheetId="13">
        <row r="34">
          <cell r="D34">
            <v>-93595.53</v>
          </cell>
        </row>
      </sheetData>
      <sheetData sheetId="14">
        <row r="25">
          <cell r="E25">
            <v>-8800</v>
          </cell>
        </row>
      </sheetData>
      <sheetData sheetId="15">
        <row r="26">
          <cell r="D26">
            <v>328432.88</v>
          </cell>
        </row>
      </sheetData>
      <sheetData sheetId="16">
        <row r="5">
          <cell r="D5">
            <v>-506083.06</v>
          </cell>
        </row>
      </sheetData>
      <sheetData sheetId="17">
        <row r="17">
          <cell r="D17">
            <v>-5153485.03</v>
          </cell>
        </row>
      </sheetData>
      <sheetData sheetId="18">
        <row r="7">
          <cell r="H7">
            <v>-4476650.05</v>
          </cell>
        </row>
      </sheetData>
      <sheetData sheetId="19"/>
      <sheetData sheetId="20"/>
      <sheetData sheetId="21"/>
      <sheetData sheetId="22">
        <row r="25">
          <cell r="D25">
            <v>-59110.818533174817</v>
          </cell>
        </row>
      </sheetData>
      <sheetData sheetId="23">
        <row r="25">
          <cell r="D25">
            <v>11910.5504</v>
          </cell>
        </row>
      </sheetData>
      <sheetData sheetId="24">
        <row r="25">
          <cell r="D25">
            <v>-8721.1234884822006</v>
          </cell>
        </row>
      </sheetData>
      <sheetData sheetId="25">
        <row r="25">
          <cell r="D25">
            <v>14691.907584</v>
          </cell>
        </row>
      </sheetData>
      <sheetData sheetId="26"/>
      <sheetData sheetId="27">
        <row r="28">
          <cell r="D28">
            <v>24922056.809999995</v>
          </cell>
        </row>
      </sheetData>
      <sheetData sheetId="28">
        <row r="28">
          <cell r="D28">
            <v>36359564.460000001</v>
          </cell>
        </row>
      </sheetData>
      <sheetData sheetId="29">
        <row r="28">
          <cell r="D28">
            <v>28374855.201000001</v>
          </cell>
        </row>
      </sheetData>
      <sheetData sheetId="30">
        <row r="29">
          <cell r="D29">
            <v>245846765.18000001</v>
          </cell>
        </row>
      </sheetData>
      <sheetData sheetId="31">
        <row r="13">
          <cell r="H13">
            <v>3077268.1800000016</v>
          </cell>
        </row>
        <row r="14">
          <cell r="F14">
            <v>-5253200.08</v>
          </cell>
          <cell r="G14">
            <v>1.96</v>
          </cell>
        </row>
        <row r="15">
          <cell r="F15">
            <v>2175929.94</v>
          </cell>
        </row>
        <row r="16">
          <cell r="D16">
            <v>95051348.409999996</v>
          </cell>
          <cell r="E16">
            <v>-93993285.420000002</v>
          </cell>
          <cell r="L16">
            <v>69597.94</v>
          </cell>
        </row>
        <row r="28">
          <cell r="N28">
            <v>-2107089.9700000063</v>
          </cell>
        </row>
        <row r="29">
          <cell r="I29">
            <v>495.22</v>
          </cell>
        </row>
      </sheetData>
      <sheetData sheetId="32">
        <row r="24">
          <cell r="D24">
            <v>8456.5034838534266</v>
          </cell>
        </row>
      </sheetData>
      <sheetData sheetId="33">
        <row r="22">
          <cell r="J22">
            <v>-3896.28</v>
          </cell>
        </row>
      </sheetData>
      <sheetData sheetId="34">
        <row r="22">
          <cell r="F22">
            <v>2840650.07</v>
          </cell>
        </row>
      </sheetData>
      <sheetData sheetId="35">
        <row r="22">
          <cell r="F22">
            <v>9300673.2400000002</v>
          </cell>
        </row>
      </sheetData>
      <sheetData sheetId="36">
        <row r="22">
          <cell r="F22">
            <v>-2230636.5699999998</v>
          </cell>
        </row>
      </sheetData>
      <sheetData sheetId="37"/>
      <sheetData sheetId="38">
        <row r="23">
          <cell r="D23">
            <v>-493721.79000000004</v>
          </cell>
        </row>
      </sheetData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2012"/>
      <sheetName val="GL 2013"/>
      <sheetName val="CC Rates"/>
      <sheetName val="1508 (LRAM08)"/>
      <sheetName val="1508 (LRAM09)"/>
      <sheetName val="1508 (LRAM12)"/>
      <sheetName val="1508 (IFRS)"/>
      <sheetName val="1508 (H1)"/>
      <sheetName val="1508 (H1) #9A"/>
      <sheetName val="1508 (H1) #10"/>
      <sheetName val="1508 (H1) #11"/>
      <sheetName val="1508 (H1) #12"/>
      <sheetName val="1518"/>
      <sheetName val="1532"/>
      <sheetName val="1533"/>
      <sheetName val="1548"/>
      <sheetName val="1550"/>
      <sheetName val="1551 Residential"/>
      <sheetName val="1551 GS&lt;50"/>
      <sheetName val="1555"/>
      <sheetName val="1556"/>
      <sheetName val="1562 (Def PILs)"/>
      <sheetName val="1562 (Reserve)"/>
      <sheetName val="1563"/>
      <sheetName val="1568 Residential"/>
      <sheetName val="1568 GS&lt;50"/>
      <sheetName val="1568 GS&gt;50"/>
      <sheetName val="1568 Large User"/>
      <sheetName val="1575"/>
      <sheetName val="1580"/>
      <sheetName val="1584"/>
      <sheetName val="1586"/>
      <sheetName val="1588"/>
      <sheetName val="1589"/>
      <sheetName val="1592"/>
      <sheetName val="1595 (COS08)"/>
      <sheetName val="1595 (IRM10)"/>
      <sheetName val="1595 (COS11)"/>
      <sheetName val="1595 (IRM12)"/>
      <sheetName val="1595 (SM)"/>
      <sheetName val="1595 (Def PILs)"/>
      <sheetName val="1595 (IRM13)"/>
      <sheetName val="2405"/>
      <sheetName val="1599"/>
      <sheetName val="1599-CGAAP"/>
      <sheetName val="Sheet1"/>
      <sheetName val="GL"/>
    </sheetNames>
    <sheetDataSet>
      <sheetData sheetId="0"/>
      <sheetData sheetId="1"/>
      <sheetData sheetId="2">
        <row r="2">
          <cell r="A2">
            <v>41639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7">
          <cell r="H17">
            <v>-2177183.1300000101</v>
          </cell>
          <cell r="L17">
            <v>70093.16</v>
          </cell>
        </row>
        <row r="21">
          <cell r="F21">
            <v>-1127660.93</v>
          </cell>
          <cell r="J21">
            <v>-15553</v>
          </cell>
        </row>
        <row r="32">
          <cell r="N32">
            <v>-4936308.7200000267</v>
          </cell>
        </row>
        <row r="33">
          <cell r="I33">
            <v>-16958.78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2012"/>
      <sheetName val="GL 2013"/>
      <sheetName val="GL 2014"/>
      <sheetName val="CC Rates"/>
      <sheetName val="1508 (LRAM08)"/>
      <sheetName val="1508 (LRAM09)"/>
      <sheetName val="1508 (LRAM12)"/>
      <sheetName val="1508 (IFRS)"/>
      <sheetName val="1508 (H1)"/>
      <sheetName val="1508 (H1) #9A"/>
      <sheetName val="1508 (H1) #10"/>
      <sheetName val="1508 (H1) #11"/>
      <sheetName val="1508 (H1) #12"/>
      <sheetName val="1518"/>
      <sheetName val="1532"/>
      <sheetName val="1533"/>
      <sheetName val="1548"/>
      <sheetName val="1550"/>
      <sheetName val="1551 Residential"/>
      <sheetName val="1551 GS&lt;50"/>
      <sheetName val="1555"/>
      <sheetName val="1556"/>
      <sheetName val="1562 (Def PILs)"/>
      <sheetName val="1562 (Reserve)"/>
      <sheetName val="1563"/>
      <sheetName val="1568 Residential"/>
      <sheetName val="1568 GS&lt;50"/>
      <sheetName val="1568 GS&gt;50"/>
      <sheetName val="1568 Large User"/>
      <sheetName val="1575"/>
      <sheetName val="1580"/>
      <sheetName val="1584"/>
      <sheetName val="1586"/>
      <sheetName val="1588"/>
      <sheetName val="1589"/>
      <sheetName val="1592"/>
      <sheetName val="1595 (COS08)"/>
      <sheetName val="1595 (IRM10)"/>
      <sheetName val="1595 (COS11)"/>
      <sheetName val="1595 (IRM12)"/>
      <sheetName val="1595 (SM)"/>
      <sheetName val="1595 (Def PILs)"/>
      <sheetName val="1595 (IRM13)"/>
      <sheetName val="1595 (IRM14)"/>
      <sheetName val="2405"/>
      <sheetName val="1599"/>
      <sheetName val="1599-CGAAP"/>
      <sheetName val="Sheet1"/>
      <sheetName val="Sheet2"/>
    </sheetNames>
    <sheetDataSet>
      <sheetData sheetId="0"/>
      <sheetData sheetId="1"/>
      <sheetData sheetId="2"/>
      <sheetData sheetId="3"/>
      <sheetData sheetId="4">
        <row r="15">
          <cell r="N15">
            <v>0</v>
          </cell>
        </row>
      </sheetData>
      <sheetData sheetId="5">
        <row r="15">
          <cell r="N15">
            <v>4.1836756281554699E-11</v>
          </cell>
        </row>
      </sheetData>
      <sheetData sheetId="6">
        <row r="15">
          <cell r="N15">
            <v>0</v>
          </cell>
        </row>
      </sheetData>
      <sheetData sheetId="7">
        <row r="17">
          <cell r="I17">
            <v>623.63</v>
          </cell>
        </row>
      </sheetData>
      <sheetData sheetId="8">
        <row r="17">
          <cell r="I17">
            <v>14.33</v>
          </cell>
        </row>
      </sheetData>
      <sheetData sheetId="9">
        <row r="17">
          <cell r="N17">
            <v>0</v>
          </cell>
        </row>
      </sheetData>
      <sheetData sheetId="10">
        <row r="17">
          <cell r="N17">
            <v>0</v>
          </cell>
        </row>
      </sheetData>
      <sheetData sheetId="11">
        <row r="17">
          <cell r="N17">
            <v>0</v>
          </cell>
        </row>
      </sheetData>
      <sheetData sheetId="12">
        <row r="17">
          <cell r="N17">
            <v>0</v>
          </cell>
        </row>
      </sheetData>
      <sheetData sheetId="13">
        <row r="17">
          <cell r="D17">
            <v>30710</v>
          </cell>
        </row>
      </sheetData>
      <sheetData sheetId="14">
        <row r="14">
          <cell r="N14">
            <v>5.7900000012978126E-4</v>
          </cell>
        </row>
      </sheetData>
      <sheetData sheetId="15">
        <row r="26">
          <cell r="D26">
            <v>-11751.02</v>
          </cell>
        </row>
      </sheetData>
      <sheetData sheetId="16">
        <row r="17">
          <cell r="E17">
            <v>-409.5</v>
          </cell>
        </row>
      </sheetData>
      <sheetData sheetId="17">
        <row r="18">
          <cell r="D18">
            <v>54453.69</v>
          </cell>
        </row>
      </sheetData>
      <sheetData sheetId="18">
        <row r="18">
          <cell r="D18">
            <v>172145.7</v>
          </cell>
        </row>
      </sheetData>
      <sheetData sheetId="19">
        <row r="18">
          <cell r="D18">
            <v>14492.89</v>
          </cell>
        </row>
      </sheetData>
      <sheetData sheetId="20">
        <row r="9">
          <cell r="I9">
            <v>5390.5807887630071</v>
          </cell>
        </row>
      </sheetData>
      <sheetData sheetId="21">
        <row r="9">
          <cell r="O9">
            <v>0</v>
          </cell>
        </row>
      </sheetData>
      <sheetData sheetId="22">
        <row r="15">
          <cell r="N15">
            <v>0</v>
          </cell>
        </row>
      </sheetData>
      <sheetData sheetId="23">
        <row r="16">
          <cell r="N16">
            <v>0</v>
          </cell>
        </row>
      </sheetData>
      <sheetData sheetId="24">
        <row r="15">
          <cell r="N15">
            <v>0</v>
          </cell>
        </row>
      </sheetData>
      <sheetData sheetId="25">
        <row r="15">
          <cell r="I15">
            <v>-242.15</v>
          </cell>
        </row>
      </sheetData>
      <sheetData sheetId="26">
        <row r="15">
          <cell r="I15">
            <v>-33.9</v>
          </cell>
        </row>
      </sheetData>
      <sheetData sheetId="27">
        <row r="15">
          <cell r="I15">
            <v>-37.979999999999997</v>
          </cell>
        </row>
      </sheetData>
      <sheetData sheetId="28">
        <row r="15">
          <cell r="I15">
            <v>23.44</v>
          </cell>
        </row>
      </sheetData>
      <sheetData sheetId="29">
        <row r="15">
          <cell r="D15">
            <v>0</v>
          </cell>
        </row>
      </sheetData>
      <sheetData sheetId="30">
        <row r="20">
          <cell r="D20">
            <v>2823537.71</v>
          </cell>
        </row>
      </sheetData>
      <sheetData sheetId="31">
        <row r="20">
          <cell r="D20">
            <v>3399341.96</v>
          </cell>
        </row>
      </sheetData>
      <sheetData sheetId="32">
        <row r="20">
          <cell r="D20">
            <v>2580577</v>
          </cell>
        </row>
      </sheetData>
      <sheetData sheetId="33">
        <row r="21">
          <cell r="D21">
            <v>35001348.390000001</v>
          </cell>
        </row>
      </sheetData>
      <sheetData sheetId="34">
        <row r="17">
          <cell r="H17">
            <v>-2177183.1300000101</v>
          </cell>
        </row>
        <row r="21">
          <cell r="F21">
            <v>3304844.06</v>
          </cell>
          <cell r="J21">
            <v>-5958.9500000000044</v>
          </cell>
        </row>
        <row r="32">
          <cell r="N32">
            <v>-11835344.430000031</v>
          </cell>
        </row>
        <row r="33">
          <cell r="E33">
            <v>-12835160.4</v>
          </cell>
          <cell r="I33">
            <v>-17671.169999999998</v>
          </cell>
        </row>
      </sheetData>
      <sheetData sheetId="35">
        <row r="16">
          <cell r="D16">
            <v>0</v>
          </cell>
        </row>
      </sheetData>
      <sheetData sheetId="36">
        <row r="14">
          <cell r="J14">
            <v>-324.69</v>
          </cell>
        </row>
      </sheetData>
      <sheetData sheetId="37">
        <row r="14">
          <cell r="J14">
            <v>234.96</v>
          </cell>
        </row>
      </sheetData>
      <sheetData sheetId="38">
        <row r="14">
          <cell r="J14">
            <v>-371.41</v>
          </cell>
        </row>
      </sheetData>
      <sheetData sheetId="39">
        <row r="14">
          <cell r="J14">
            <v>740.83</v>
          </cell>
        </row>
      </sheetData>
      <sheetData sheetId="40">
        <row r="14">
          <cell r="O14">
            <v>0</v>
          </cell>
        </row>
      </sheetData>
      <sheetData sheetId="41">
        <row r="15">
          <cell r="I15">
            <v>-1709.34</v>
          </cell>
        </row>
      </sheetData>
      <sheetData sheetId="42">
        <row r="15">
          <cell r="I15">
            <v>583.05999999999995</v>
          </cell>
        </row>
      </sheetData>
      <sheetData sheetId="43">
        <row r="15">
          <cell r="D15">
            <v>906505.13</v>
          </cell>
        </row>
      </sheetData>
      <sheetData sheetId="44">
        <row r="16">
          <cell r="O16">
            <v>-220000.25</v>
          </cell>
        </row>
      </sheetData>
      <sheetData sheetId="45"/>
      <sheetData sheetId="46"/>
      <sheetData sheetId="47"/>
      <sheetData sheetId="4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-1588"/>
      <sheetName val="2013-1589"/>
      <sheetName val="2012-1588"/>
      <sheetName val="2012-1589"/>
      <sheetName val="SUM"/>
      <sheetName val="Sheet1"/>
    </sheetNames>
    <sheetDataSet>
      <sheetData sheetId="0"/>
      <sheetData sheetId="1">
        <row r="21">
          <cell r="K21">
            <v>4000.3813930791425</v>
          </cell>
        </row>
        <row r="22">
          <cell r="K22">
            <v>2228.5768260382802</v>
          </cell>
        </row>
        <row r="23">
          <cell r="K23">
            <v>2754.9104387950183</v>
          </cell>
        </row>
        <row r="24">
          <cell r="K24">
            <v>3155.9952576186984</v>
          </cell>
        </row>
        <row r="25">
          <cell r="K25">
            <v>4927.0756083873775</v>
          </cell>
        </row>
        <row r="26">
          <cell r="K26">
            <v>3895.7069305746254</v>
          </cell>
        </row>
        <row r="27">
          <cell r="K27">
            <v>4240.9822620266077</v>
          </cell>
        </row>
        <row r="28">
          <cell r="K28">
            <v>7211.6882478052494</v>
          </cell>
        </row>
        <row r="29">
          <cell r="K29">
            <v>2499.8989315491231</v>
          </cell>
        </row>
        <row r="30">
          <cell r="K30">
            <v>5984.0135121245394</v>
          </cell>
        </row>
        <row r="31">
          <cell r="K31">
            <v>3939.2434793216294</v>
          </cell>
        </row>
        <row r="32">
          <cell r="K32">
            <v>6498.7385050487183</v>
          </cell>
        </row>
      </sheetData>
      <sheetData sheetId="2"/>
      <sheetData sheetId="3">
        <row r="17">
          <cell r="K17">
            <v>0</v>
          </cell>
        </row>
        <row r="18">
          <cell r="K18">
            <v>-794.72358695074183</v>
          </cell>
        </row>
        <row r="19">
          <cell r="K19">
            <v>-315.67361292886062</v>
          </cell>
        </row>
        <row r="20">
          <cell r="K20">
            <v>-492.18647921778404</v>
          </cell>
        </row>
        <row r="21">
          <cell r="K21">
            <v>-483.72046212135473</v>
          </cell>
        </row>
        <row r="22">
          <cell r="K22">
            <v>698.34922618816609</v>
          </cell>
        </row>
        <row r="23">
          <cell r="K23">
            <v>1063.4389362560041</v>
          </cell>
        </row>
        <row r="24">
          <cell r="K24">
            <v>1214.2289409157429</v>
          </cell>
        </row>
        <row r="25">
          <cell r="K25">
            <v>4127.9046531266804</v>
          </cell>
        </row>
        <row r="26">
          <cell r="K26">
            <v>-2767.9967412145284</v>
          </cell>
        </row>
        <row r="27">
          <cell r="K27">
            <v>2963.264500833382</v>
          </cell>
        </row>
        <row r="28">
          <cell r="K28">
            <v>3682.0049791528577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SO Invoices for 2013"/>
    </sheetNames>
    <sheetDataSet>
      <sheetData sheetId="0">
        <row r="10">
          <cell r="H10">
            <v>1398271.76</v>
          </cell>
          <cell r="I10">
            <v>-1761915.61</v>
          </cell>
          <cell r="J10">
            <v>-815334.12</v>
          </cell>
          <cell r="K10">
            <v>-625683.57999999996</v>
          </cell>
          <cell r="L10">
            <v>-1603826.45</v>
          </cell>
          <cell r="M10">
            <v>-3934592.83</v>
          </cell>
          <cell r="N10">
            <v>3820403.32</v>
          </cell>
          <cell r="O10">
            <v>-3518779.46</v>
          </cell>
          <cell r="P10">
            <v>925112.74</v>
          </cell>
          <cell r="Q10">
            <v>-1869581.95</v>
          </cell>
          <cell r="R10">
            <v>-2156555.54</v>
          </cell>
        </row>
        <row r="12">
          <cell r="H12">
            <v>1699846.92</v>
          </cell>
          <cell r="I12">
            <v>1487608.04</v>
          </cell>
          <cell r="J12">
            <v>1556363.95</v>
          </cell>
          <cell r="K12">
            <v>1724674.35</v>
          </cell>
          <cell r="L12">
            <v>1843602.69</v>
          </cell>
          <cell r="M12">
            <v>2025937.32</v>
          </cell>
          <cell r="N12">
            <v>1802558.05</v>
          </cell>
          <cell r="O12">
            <v>2061936.74</v>
          </cell>
          <cell r="P12">
            <v>1936593.22</v>
          </cell>
          <cell r="Q12">
            <v>1868296.99</v>
          </cell>
          <cell r="R12">
            <v>2495276.5699999998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December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>
        <row r="37">
          <cell r="C37">
            <v>11543328.798875295</v>
          </cell>
        </row>
        <row r="48">
          <cell r="C48">
            <v>7025877.6804295518</v>
          </cell>
        </row>
        <row r="49">
          <cell r="C49">
            <v>1776450.0599999998</v>
          </cell>
        </row>
      </sheetData>
      <sheetData sheetId="2"/>
      <sheetData sheetId="3"/>
      <sheetData sheetId="4">
        <row r="10">
          <cell r="K10">
            <v>11543328.800000001</v>
          </cell>
        </row>
        <row r="12">
          <cell r="K12">
            <v>12257026.919999998</v>
          </cell>
        </row>
        <row r="13">
          <cell r="K13">
            <v>1743034.14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December 2013"/>
      <sheetName val="Inputs for True-up"/>
      <sheetName val="December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/>
      <sheetData sheetId="1"/>
      <sheetData sheetId="2">
        <row r="68">
          <cell r="D68">
            <v>-1252688.8436134104</v>
          </cell>
        </row>
        <row r="69">
          <cell r="C69">
            <v>-4517451.1184457429</v>
          </cell>
        </row>
      </sheetData>
      <sheetData sheetId="3"/>
      <sheetData sheetId="4"/>
      <sheetData sheetId="5"/>
      <sheetData sheetId="6">
        <row r="5">
          <cell r="D5">
            <v>233433.37880461826</v>
          </cell>
        </row>
        <row r="8">
          <cell r="D8">
            <v>-41578.341752889217</v>
          </cell>
        </row>
        <row r="11">
          <cell r="D11">
            <v>-259868.79494413128</v>
          </cell>
        </row>
        <row r="13">
          <cell r="D13">
            <v>-171974.39269314939</v>
          </cell>
        </row>
        <row r="14">
          <cell r="C14">
            <v>4.2689999999999999E-2</v>
          </cell>
        </row>
        <row r="15">
          <cell r="D15">
            <v>-852092.49568718579</v>
          </cell>
        </row>
        <row r="18">
          <cell r="B18">
            <v>219504501.53</v>
          </cell>
        </row>
        <row r="24">
          <cell r="B24">
            <v>380088496.74000001</v>
          </cell>
        </row>
        <row r="25">
          <cell r="B25">
            <v>4.2689999999999999E-2</v>
          </cell>
        </row>
        <row r="26">
          <cell r="B26">
            <v>16225977.925830601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December 2013"/>
      <sheetName val="Inputs for True-up"/>
      <sheetName val="December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">
          <cell r="D17">
            <v>4351.0500000000011</v>
          </cell>
        </row>
      </sheetData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2011-True-up"/>
      <sheetName val="Dec 2011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21668936.342213813</v>
          </cell>
        </row>
        <row r="7">
          <cell r="B7">
            <v>21180622.28379773</v>
          </cell>
        </row>
        <row r="10">
          <cell r="B10">
            <v>29339536.343166497</v>
          </cell>
        </row>
        <row r="12">
          <cell r="B12">
            <v>29420922.019569181</v>
          </cell>
        </row>
        <row r="14">
          <cell r="B14">
            <v>101854174.01795527</v>
          </cell>
        </row>
        <row r="24">
          <cell r="B24">
            <v>373297966.6462025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December 2011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10128592.68</v>
          </cell>
        </row>
        <row r="12">
          <cell r="K12">
            <v>8652882.0600000024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12-True-up"/>
      <sheetName val="Jan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203977260.70039195</v>
          </cell>
        </row>
        <row r="24">
          <cell r="B24">
            <v>388395364.77999997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anuary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10183195.68</v>
          </cell>
        </row>
        <row r="12">
          <cell r="K12">
            <v>7435970.6999999993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2012-True-up"/>
      <sheetName val="Feb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178760445.04999983</v>
          </cell>
        </row>
        <row r="24">
          <cell r="B24">
            <v>356375596.41081798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February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9484345.4100000001</v>
          </cell>
        </row>
        <row r="12">
          <cell r="K12">
            <v>9133770.25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March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10061682.699999999</v>
          </cell>
        </row>
        <row r="12">
          <cell r="K12">
            <v>11377026.450000003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anuar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9953438.3729038518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 2012-True-up"/>
      <sheetName val="Apr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154791725.50999999</v>
          </cell>
        </row>
        <row r="24">
          <cell r="B24">
            <v>323300398.97399998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April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9826734.3300000001</v>
          </cell>
        </row>
        <row r="12">
          <cell r="K12">
            <v>9264657.8000000026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2-True-up"/>
      <sheetName val="May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Microfit Data"/>
      <sheetName val="HCI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167416623.98000005</v>
          </cell>
        </row>
        <row r="24">
          <cell r="B24">
            <v>350466080.71200001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May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9905805.2100000009</v>
          </cell>
        </row>
        <row r="12">
          <cell r="K12">
            <v>10036962.039999999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 2012-True-up"/>
      <sheetName val="Jun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217901501.77000004</v>
          </cell>
        </row>
        <row r="24">
          <cell r="B24">
            <v>395336795.55100006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une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12459770.890000001</v>
          </cell>
        </row>
        <row r="12">
          <cell r="K12">
            <v>9187854.5799999982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2012-True-up"/>
      <sheetName val="Jul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275532464.76999998</v>
          </cell>
        </row>
        <row r="24">
          <cell r="B24">
            <v>457127172.34500003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uly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12590507.869999999</v>
          </cell>
        </row>
        <row r="12">
          <cell r="K12">
            <v>3716667.2600000016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 2012-True-up"/>
      <sheetName val="Aug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  <sheetName val="Jul 2012-True-up"/>
      <sheetName val="Sep 2012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224436806.14000002</v>
          </cell>
        </row>
        <row r="24">
          <cell r="B24">
            <v>416626870.20300007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August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11201592.52</v>
          </cell>
        </row>
        <row r="12">
          <cell r="K12">
            <v>13656055.93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Februar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8646653.0076563116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2012-True-up"/>
      <sheetName val="Sep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166815415.27999997</v>
          </cell>
        </row>
        <row r="24">
          <cell r="B24">
            <v>340797726.74699998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September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10298396.01</v>
          </cell>
        </row>
        <row r="12">
          <cell r="K12">
            <v>3602202.2200000007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2012-True-up"/>
      <sheetName val="Oct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157204326.31999999</v>
          </cell>
        </row>
        <row r="24">
          <cell r="B24">
            <v>326994354.78200001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October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10196374</v>
          </cell>
        </row>
        <row r="12">
          <cell r="K12">
            <v>8527763.1600000001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12-True-up"/>
      <sheetName val="Nov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176320798.95000005</v>
          </cell>
        </row>
        <row r="24">
          <cell r="B24">
            <v>336969398.88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November 2012"/>
      <sheetName val="Outputs for RSVA Analysis"/>
      <sheetName val="Uplift Costs"/>
      <sheetName val="Reconciliation to Invoic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9133711.75</v>
          </cell>
        </row>
        <row r="12">
          <cell r="K12">
            <v>8446348.0499999989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2012 Analysis"/>
      <sheetName val="Dec 2012-True-up"/>
      <sheetName val="Dec 2012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"/>
      <sheetName val="HCI Generation Data"/>
      <sheetName val="HCI Summary"/>
      <sheetName val="HCI"/>
      <sheetName val="Microfit Data"/>
      <sheetName val="Microfit Summary"/>
      <sheetName val="Microfit"/>
      <sheetName val="OCEB"/>
      <sheetName val="Reg price plan vs market SM"/>
      <sheetName val="Reg price plan vs market"/>
      <sheetName val="Retailer Pymts Contract Price v"/>
      <sheetName val="Final Var Amt"/>
      <sheetName val="Embedded Generation Info"/>
      <sheetName val="RPP Trup Up"/>
      <sheetName val="GA True U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209837395.20999998</v>
          </cell>
        </row>
        <row r="24">
          <cell r="B24">
            <v>358128092.68399996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13 Analysis"/>
      <sheetName val="Jan 2013-True-up"/>
      <sheetName val="Jan 2013"/>
      <sheetName val="Inputs for Accrual"/>
      <sheetName val="Inputs for True-up"/>
      <sheetName val="Difference Actual vs. Estimated"/>
      <sheetName val="GA"/>
      <sheetName val="SOP Generation Data"/>
      <sheetName val="SOP Summary"/>
      <sheetName val="SOP IESO Submission"/>
      <sheetName val="HCI Generation Data"/>
      <sheetName val="HCI Summary"/>
      <sheetName val="HCI IESO Submission"/>
      <sheetName val="HCI IESO Submission Revised"/>
      <sheetName val="Microfit Data"/>
      <sheetName val="Microfit Summary"/>
      <sheetName val="Microfit IESO Submission"/>
      <sheetName val="Microfit IESO Submission Revise"/>
      <sheetName val="OCEB"/>
      <sheetName val="RPP vs Market Price - Var to SM"/>
      <sheetName val="RPP vs Market Price - SM (2)"/>
      <sheetName val="RPP vs Market - Var to Conv Met"/>
      <sheetName val="Retailer Pymts Contract Price v"/>
      <sheetName val="Final Var Amt"/>
      <sheetName val="Embedded Generation Info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201347981.31000003</v>
          </cell>
        </row>
        <row r="24">
          <cell r="B24">
            <v>375092829.57493484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anuar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11890706.007096149</v>
          </cell>
        </row>
        <row r="12">
          <cell r="K12">
            <v>8253591.4529038519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Feb 2013"/>
      <sheetName val="Inputs for True-up"/>
      <sheetName val="Difference Actual vs. Estimated"/>
      <sheetName val="Feb 2013-True-up"/>
      <sheetName val="GA"/>
      <sheetName val="SOP Generation Data"/>
      <sheetName val="SOP Summary"/>
      <sheetName val="SOP IESO Submission"/>
      <sheetName val="HCI Generation Data"/>
      <sheetName val="HCI Summary"/>
      <sheetName val="HCI IESO Submission"/>
      <sheetName val="HCI IESO Submission Revised"/>
      <sheetName val="Microfit Data"/>
      <sheetName val="Microfit Summary"/>
      <sheetName val="Microfit IESO Submission"/>
      <sheetName val="Microfit IESO Submission Revise"/>
      <sheetName val="OCEB"/>
      <sheetName val="RPP vs Market Price - Var to SM"/>
      <sheetName val="RPP vs Market Price - SM (2)"/>
      <sheetName val="RPP vs Market - Var to Conv Met"/>
      <sheetName val="Retailer Pymts Contract Price v"/>
      <sheetName val="Final Var Amt"/>
      <sheetName val="Embedded Generation Info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187065080.30000001</v>
          </cell>
        </row>
        <row r="24">
          <cell r="B24">
            <v>342596044.55343461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March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8114877.6900000023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Februar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7569851.9723436898</v>
          </cell>
        </row>
        <row r="12">
          <cell r="K12">
            <v>7159044.9676563116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March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</sheetNames>
    <sheetDataSet>
      <sheetData sheetId="0"/>
      <sheetData sheetId="1"/>
      <sheetData sheetId="2"/>
      <sheetData sheetId="3"/>
      <sheetData sheetId="4">
        <row r="10">
          <cell r="K10">
            <v>10147046.92</v>
          </cell>
        </row>
        <row r="12">
          <cell r="K12">
            <v>6558513.7400000021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Apr 2013"/>
      <sheetName val="Inputs for True-up"/>
      <sheetName val="Apr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Embedded Generation Info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159717900.31999999</v>
          </cell>
        </row>
        <row r="24">
          <cell r="B24">
            <v>322419137.15511417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April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7891260.7773616426</v>
          </cell>
        </row>
        <row r="12">
          <cell r="K12">
            <v>10375624.072638359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May 2013"/>
      <sheetName val="Inputs for True-up"/>
      <sheetName val="May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Embedded Generation Info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162372017.33999997</v>
          </cell>
        </row>
        <row r="24">
          <cell r="B24">
            <v>324130897.66899997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Ma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9648945.5103984103</v>
          </cell>
        </row>
        <row r="12">
          <cell r="K12">
            <v>10647629.589601591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June 2013"/>
      <sheetName val="Inputs for True-up"/>
      <sheetName val="June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Embedded Generation Info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>
        <row r="18">
          <cell r="B18">
            <v>197836723.02000004</v>
          </cell>
        </row>
        <row r="24">
          <cell r="B24">
            <v>353505202.2654103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une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12373496.851337476</v>
          </cell>
        </row>
        <row r="12">
          <cell r="K12">
            <v>8498836.8586625252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July 2013"/>
      <sheetName val="Inputs for True-up"/>
      <sheetName val="July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252073436.18999994</v>
          </cell>
        </row>
        <row r="24">
          <cell r="B24">
            <v>430044874.14303398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ul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12845746.5092436</v>
          </cell>
        </row>
        <row r="12">
          <cell r="K12">
            <v>12934167.780756399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April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12100298.422638359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August 2013"/>
      <sheetName val="Inputs for True-up"/>
      <sheetName val="August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214029679.83000001</v>
          </cell>
        </row>
        <row r="24">
          <cell r="B24">
            <v>390233995.55514032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August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12692163.007244218</v>
          </cell>
        </row>
        <row r="12">
          <cell r="K12">
            <v>8160289.6727557816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September 2013"/>
      <sheetName val="Inputs for True-up"/>
      <sheetName val="September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163308222.53999999</v>
          </cell>
        </row>
        <row r="24">
          <cell r="B24">
            <v>335710149.66831374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September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10124934.884013865</v>
          </cell>
        </row>
        <row r="12">
          <cell r="K12">
            <v>13143456.115986135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October 2013"/>
      <sheetName val="Inputs for True-up"/>
      <sheetName val="October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163494028.93000001</v>
          </cell>
        </row>
        <row r="24">
          <cell r="B24">
            <v>330959528.63880849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October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10537158.117487943</v>
          </cell>
        </row>
        <row r="12">
          <cell r="K12">
            <v>8478593.9425120596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November 2013"/>
      <sheetName val="Inputs for True-up"/>
      <sheetName val="November 2013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B18">
            <v>179385322.17999998</v>
          </cell>
        </row>
        <row r="24">
          <cell r="B24">
            <v>344092544.04571551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November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0">
          <cell r="K10">
            <v>13639141.355576441</v>
          </cell>
        </row>
        <row r="12">
          <cell r="K12">
            <v>11226588.26442356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January 2014"/>
      <sheetName val="Inputs for True-up"/>
      <sheetName val="January 2014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  <sheetName val="December 2013-True-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">
          <cell r="B18">
            <v>231570128.56</v>
          </cell>
        </row>
        <row r="24">
          <cell r="B24">
            <v>403539666.69504654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anuary 2014"/>
      <sheetName val="Outputs for RSVA Analysis"/>
      <sheetName val="Uplift Costs"/>
      <sheetName val="Reconciliation to Invoice"/>
      <sheetName val="GA Proration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>
        <row r="12">
          <cell r="K12">
            <v>2921024.3044398208</v>
          </cell>
        </row>
        <row r="13">
          <cell r="K13">
            <v>5090457.99</v>
          </cell>
        </row>
        <row r="14">
          <cell r="K14">
            <v>-2921024.3044398208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Ma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12491232.279601591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for Accrual"/>
      <sheetName val="Embedded Generation Info"/>
      <sheetName val="February 2014"/>
      <sheetName val="Inputs for True-up"/>
      <sheetName val="February 2014-True-up"/>
      <sheetName val="Difference Actual vs. Estimated"/>
      <sheetName val="GA"/>
      <sheetName val="SOP Generation Data"/>
      <sheetName val="SOP Summary &amp; Submission"/>
      <sheetName val="HCI Generation Data"/>
      <sheetName val="HCI Summary &amp; Submission"/>
      <sheetName val="Microfit Data"/>
      <sheetName val="Microfit Summary &amp; Submission"/>
      <sheetName val="OCEB"/>
      <sheetName val="RPP vs Market - Var to Conv Met"/>
      <sheetName val="RPP vs Market Price - Var to SM"/>
      <sheetName val="Retailer Pymts Contract Price v"/>
      <sheetName val="Final Var Amt"/>
      <sheetName val="RPP Trup Up"/>
      <sheetName val="GA True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">
          <cell r="B18">
            <v>192321461.64999998</v>
          </cell>
        </row>
        <row r="24">
          <cell r="B24">
            <v>355168575.65874094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February 2014"/>
      <sheetName val="COP Analysis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/>
      <sheetData sheetId="1"/>
      <sheetData sheetId="2"/>
      <sheetData sheetId="3"/>
      <sheetData sheetId="4"/>
      <sheetData sheetId="5">
        <row r="12">
          <cell r="K12">
            <v>2557875.44</v>
          </cell>
        </row>
        <row r="13">
          <cell r="K13">
            <v>2166072.0500000003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une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10524774.178662525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P July 2013"/>
      <sheetName val="Outputs for RSVA Analysis"/>
      <sheetName val="Uplift Costs"/>
      <sheetName val="Reconciliation to Invoice"/>
      <sheetName val="IESO Invoice JE"/>
      <sheetName val="Network"/>
      <sheetName val="Connection"/>
      <sheetName val="Network Chg 650"/>
      <sheetName val="Connection code 651-652"/>
      <sheetName val="Network Loss Factors"/>
      <sheetName val="Connection Loss Factors"/>
      <sheetName val="SME Cha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I15">
            <v>14736725.8307564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lackwe\AppData\Local\Microsoft\Windows\Temporary%20Internet%20Files\Content.Outlook\TD3765F3\1589%20-%20Reconciliation%20of%20Expens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dilalla\AppData\Local\Microsoft\Windows\Temporary%20Internet%20Files\Content.Outlook\EH3JVDJH\1589%20-%20Reconciliation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ghani, Nastaran" refreshedDate="41723.632452199075" createdVersion="4" refreshedVersion="4" minRefreshableVersion="3" recordCount="55">
  <cacheSource type="worksheet">
    <worksheetSource ref="A1:K1048576" sheet="11GLVoucherRowsAnalysis 140325-" r:id="rId2"/>
  </cacheSource>
  <cacheFields count="11">
    <cacheField name="Vou Type" numFmtId="0">
      <sharedItems containsBlank="1"/>
    </cacheField>
    <cacheField name="Vou No" numFmtId="0">
      <sharedItems containsString="0" containsBlank="1" containsNumber="1" containsInteger="1" minValue="2013000024" maxValue="2013010380"/>
    </cacheField>
    <cacheField name="Year Period Key" numFmtId="0">
      <sharedItems containsString="0" containsBlank="1" containsNumber="1" containsInteger="1" minValue="201301" maxValue="201312" count="13">
        <n v="201301"/>
        <n v="201302"/>
        <n v="201303"/>
        <n v="201304"/>
        <n v="201305"/>
        <n v="201306"/>
        <n v="201307"/>
        <n v="201308"/>
        <n v="201309"/>
        <n v="201310"/>
        <n v="201311"/>
        <n v="201312"/>
        <m/>
      </sharedItems>
    </cacheField>
    <cacheField name="Account" numFmtId="0">
      <sharedItems containsString="0" containsBlank="1" containsNumber="1" containsInteger="1" minValue="409010" maxValue="409010"/>
    </cacheField>
    <cacheField name="Cost Cent" numFmtId="0">
      <sharedItems containsString="0" containsBlank="1" containsNumber="1" containsInteger="1" minValue="900" maxValue="900"/>
    </cacheField>
    <cacheField name="Serv Area" numFmtId="0">
      <sharedItems containsString="0" containsBlank="1" containsNumber="1" containsInteger="1" minValue="101" maxValue="102"/>
    </cacheField>
    <cacheField name="OEB" numFmtId="0">
      <sharedItems containsString="0" containsBlank="1" containsNumber="1" containsInteger="1" minValue="4710" maxValue="4710" count="2">
        <n v="4710"/>
        <m/>
      </sharedItems>
    </cacheField>
    <cacheField name="Debit Amount" numFmtId="0">
      <sharedItems containsString="0" containsBlank="1" containsNumber="1" minValue="317.43" maxValue="16026607.23"/>
    </cacheField>
    <cacheField name="Credit Amount" numFmtId="0">
      <sharedItems containsString="0" containsBlank="1" containsNumber="1" minValue="1257.22" maxValue="16026607.23"/>
    </cacheField>
    <cacheField name="Amount" numFmtId="0">
      <sharedItems containsString="0" containsBlank="1" containsNumber="1" minValue="-16026607.23" maxValue="16026607.23"/>
    </cacheField>
    <cacheField name="Text" numFmtId="0">
      <sharedItems containsBlank="1" count="9">
        <s v="To record the IESO invoice payment."/>
        <s v="To accrue LTLT"/>
        <s v="To accrue the cost of power for the month."/>
        <m/>
        <s v="NPEI Physical LTLT Accrual for Jan 01 2012 to Dec 31 2012"/>
        <s v="HYDRO ONE (483 BAY ST.)"/>
        <s v="HYDRO ONE NETWORKS INC"/>
        <s v="To record the IESO invoice for June 1st - June 30th, 2013"/>
        <s v="NIAGARA PENINSULA ENERGY IN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lackwell, Sally" refreshedDate="41724.35860428241" createdVersion="4" refreshedVersion="4" minRefreshableVersion="3" recordCount="54">
  <cacheSource type="worksheet">
    <worksheetSource ref="A1:K55" sheet="11GLVoucherRowsAnalysis 2013"/>
  </cacheSource>
  <cacheFields count="11">
    <cacheField name="Vou Type" numFmtId="0">
      <sharedItems/>
    </cacheField>
    <cacheField name="Vou No" numFmtId="0">
      <sharedItems containsSemiMixedTypes="0" containsString="0" containsNumber="1" containsInteger="1" minValue="2013000024" maxValue="2013010380"/>
    </cacheField>
    <cacheField name="Year Period Key" numFmtId="0">
      <sharedItems containsSemiMixedTypes="0" containsString="0" containsNumber="1" containsInteger="1" minValue="201301" maxValue="201312" count="12">
        <n v="201301"/>
        <n v="201302"/>
        <n v="201303"/>
        <n v="201304"/>
        <n v="201305"/>
        <n v="201306"/>
        <n v="201307"/>
        <n v="201308"/>
        <n v="201309"/>
        <n v="201310"/>
        <n v="201311"/>
        <n v="201312"/>
      </sharedItems>
    </cacheField>
    <cacheField name="Account" numFmtId="0">
      <sharedItems containsSemiMixedTypes="0" containsString="0" containsNumber="1" containsInteger="1" minValue="409010" maxValue="409010"/>
    </cacheField>
    <cacheField name="Cost Cent" numFmtId="0">
      <sharedItems containsSemiMixedTypes="0" containsString="0" containsNumber="1" containsInteger="1" minValue="900" maxValue="900"/>
    </cacheField>
    <cacheField name="Serv Area" numFmtId="0">
      <sharedItems containsSemiMixedTypes="0" containsString="0" containsNumber="1" containsInteger="1" minValue="101" maxValue="102"/>
    </cacheField>
    <cacheField name="OEB" numFmtId="0">
      <sharedItems containsSemiMixedTypes="0" containsString="0" containsNumber="1" containsInteger="1" minValue="4710" maxValue="4710"/>
    </cacheField>
    <cacheField name="Debit Amount" numFmtId="0">
      <sharedItems containsString="0" containsBlank="1" containsNumber="1" minValue="317.43" maxValue="16026607.23"/>
    </cacheField>
    <cacheField name="Credit Amount" numFmtId="0">
      <sharedItems containsString="0" containsBlank="1" containsNumber="1" minValue="1257.22" maxValue="16026607.23"/>
    </cacheField>
    <cacheField name="Amount" numFmtId="0">
      <sharedItems containsSemiMixedTypes="0" containsString="0" containsNumber="1" minValue="-16026607.23" maxValue="16026607.23"/>
    </cacheField>
    <cacheField name="Text" numFmtId="0">
      <sharedItems containsBlank="1" count="9">
        <s v="To record the IESO invoice payment."/>
        <s v="To accrue LTLT"/>
        <s v="To accrue the cost of power for the month."/>
        <m/>
        <s v="NPEI Physical LTLT Accrual for Jan 01 2012 to Dec 31 2012"/>
        <s v="HYDRO ONE (483 BAY ST.)"/>
        <s v="HYDRO ONE NETWORKS INC"/>
        <s v="NIAGARA PENINSULA ENERGY INC"/>
        <s v="To record the IESO invoice for June 1st - June 30th, 201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Haghani, Nastaran" refreshedDate="41724.571139930558" createdVersion="4" refreshedVersion="4" minRefreshableVersion="3" recordCount="64">
  <cacheSource type="worksheet">
    <worksheetSource ref="A1:K1048576" sheet="2012" r:id="rId2"/>
  </cacheSource>
  <cacheFields count="11">
    <cacheField name="Vou Type" numFmtId="0">
      <sharedItems containsBlank="1"/>
    </cacheField>
    <cacheField name="Vou No" numFmtId="0">
      <sharedItems containsString="0" containsBlank="1" containsNumber="1" containsInteger="1" minValue="2012000024" maxValue="2012004064"/>
    </cacheField>
    <cacheField name="Year Period Key" numFmtId="0">
      <sharedItems containsString="0" containsBlank="1" containsNumber="1" containsInteger="1" minValue="201201" maxValue="201212" count="13">
        <n v="201203"/>
        <n v="201204"/>
        <n v="201201"/>
        <n v="201202"/>
        <n v="201205"/>
        <n v="201206"/>
        <n v="201207"/>
        <n v="201208"/>
        <n v="201209"/>
        <n v="201210"/>
        <n v="201211"/>
        <n v="201212"/>
        <m/>
      </sharedItems>
    </cacheField>
    <cacheField name="Account" numFmtId="0">
      <sharedItems containsString="0" containsBlank="1" containsNumber="1" containsInteger="1" minValue="409010" maxValue="409010"/>
    </cacheField>
    <cacheField name="Cost Cent" numFmtId="0">
      <sharedItems containsString="0" containsBlank="1" containsNumber="1" containsInteger="1" minValue="900" maxValue="900"/>
    </cacheField>
    <cacheField name="Serv Area" numFmtId="0">
      <sharedItems containsString="0" containsBlank="1" containsNumber="1" containsInteger="1" minValue="101" maxValue="102"/>
    </cacheField>
    <cacheField name="OEB" numFmtId="0">
      <sharedItems containsString="0" containsBlank="1" containsNumber="1" containsInteger="1" minValue="4710" maxValue="4710" count="2">
        <n v="4710"/>
        <m/>
      </sharedItems>
    </cacheField>
    <cacheField name="Debit Amount" numFmtId="0">
      <sharedItems containsString="0" containsBlank="1" containsNumber="1" minValue="1478.01" maxValue="22973758.16"/>
    </cacheField>
    <cacheField name="Credit Amount" numFmtId="0">
      <sharedItems containsString="0" containsBlank="1" containsNumber="1" minValue="169021.46" maxValue="12459717.949999999" count="23">
        <m/>
        <n v="8939950.9700000007"/>
        <n v="9048835.1600000001"/>
        <n v="8905414.7899999991"/>
        <n v="10452039.91"/>
        <n v="10364824.800000001"/>
        <n v="9755158.4800000004"/>
        <n v="11559803.15"/>
        <n v="11629960.92"/>
        <n v="3749099.44"/>
        <n v="9486559.6600000001"/>
        <n v="8883625.6300000008"/>
        <n v="169021.46"/>
        <n v="8529691.5299999993"/>
        <n v="10003302.939999999"/>
        <n v="12459717.949999999"/>
        <n v="10194633.58"/>
        <n v="11570533.32"/>
        <n v="10853932.15"/>
        <n v="9976545.2899999991"/>
        <n v="9671704.4900000002"/>
        <n v="5533509.7599999998"/>
        <n v="10586270.16"/>
      </sharedItems>
    </cacheField>
    <cacheField name="Amount" numFmtId="0">
      <sharedItems containsString="0" containsBlank="1" containsNumber="1" minValue="-12459717.949999999" maxValue="22973758.16" count="53">
        <n v="59801.9"/>
        <n v="1478.01"/>
        <n v="3395.48"/>
        <n v="18516306.559999999"/>
        <n v="-8939950.9700000007"/>
        <n v="8663.0300000000007"/>
        <n v="17361119.23"/>
        <n v="-9048835.1600000001"/>
        <n v="11784.42"/>
        <n v="18981108.32"/>
        <n v="-8905414.7899999991"/>
        <n v="22973758.16"/>
        <n v="-10452039.91"/>
        <n v="20649284.41"/>
        <n v="-10364824.800000001"/>
        <n v="20785665.440000001"/>
        <n v="-9755158.4800000004"/>
        <n v="21749596.41"/>
        <n v="-11559803.15"/>
        <n v="16531634.02"/>
        <n v="-11629960.92"/>
        <n v="18769405.859999999"/>
        <n v="-3749099.44"/>
        <n v="4950595.22"/>
        <n v="10079182.07"/>
        <n v="-9486559.6600000001"/>
        <n v="10069717.32"/>
        <n v="8529691.5299999993"/>
        <n v="10003302.939999999"/>
        <n v="12459717.949999999"/>
        <n v="10194633.58"/>
        <n v="11570533.32"/>
        <n v="10853932.15"/>
        <n v="9976545.2899999991"/>
        <n v="9671704.4900000002"/>
        <n v="5533509.7599999998"/>
        <n v="9486559.6600000001"/>
        <n v="10586270.16"/>
        <n v="4191.58"/>
        <n v="8389013.3399999999"/>
        <n v="-8883625.6300000008"/>
        <n v="-169021.46"/>
        <n v="-8529691.5299999993"/>
        <n v="-10003302.939999999"/>
        <n v="-12459717.949999999"/>
        <n v="-10194633.58"/>
        <n v="-11570533.32"/>
        <n v="-10853932.15"/>
        <n v="-9976545.2899999991"/>
        <n v="-9671704.4900000002"/>
        <n v="-5533509.7599999998"/>
        <n v="-10586270.16"/>
        <m/>
      </sharedItems>
    </cacheField>
    <cacheField name="Text" numFmtId="0">
      <sharedItems containsBlank="1" count="12">
        <s v="HYDRO ONE NETWORKS INC"/>
        <s v="NIAGARA PENINSULA ENERGY INC"/>
        <s v="BURLINGTON HYDRO INC"/>
        <s v="To record the IESO invoice payment."/>
        <m/>
        <s v="To record IESO Invoice for period February 1 - February 29, 2012"/>
        <s v="To record IESO invoice for period March 1 - March 31, 2012"/>
        <s v="To record IESO invoice for period April 1 - April 30, 2012"/>
        <s v="To accrue the cost of power for the month."/>
        <s v="To accrue the cost of power for April 2012"/>
        <s v="NPEI Physical LTLT Accrual for Jan 01 2012 to Dec 31 2012"/>
        <s v="To correct the accrual for cost of power in December 201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Dilalla, Nicolas" refreshedDate="41724.581562615742" createdVersion="4" refreshedVersion="4" minRefreshableVersion="3" recordCount="63">
  <cacheSource type="worksheet">
    <worksheetSource ref="A1:K64" sheet="11GLVoucherRowsAnalysis 2012"/>
  </cacheSource>
  <cacheFields count="11">
    <cacheField name="Vou Type" numFmtId="0">
      <sharedItems/>
    </cacheField>
    <cacheField name="Vou No" numFmtId="0">
      <sharedItems containsSemiMixedTypes="0" containsString="0" containsNumber="1" containsInteger="1" minValue="2012000024" maxValue="2012004064"/>
    </cacheField>
    <cacheField name="Year Period Key" numFmtId="0">
      <sharedItems containsSemiMixedTypes="0" containsString="0" containsNumber="1" containsInteger="1" minValue="201201" maxValue="201212" count="12">
        <n v="201203"/>
        <n v="201204"/>
        <n v="201201"/>
        <n v="201202"/>
        <n v="201205"/>
        <n v="201206"/>
        <n v="201207"/>
        <n v="201208"/>
        <n v="201209"/>
        <n v="201210"/>
        <n v="201211"/>
        <n v="201212"/>
      </sharedItems>
    </cacheField>
    <cacheField name="Account" numFmtId="0">
      <sharedItems containsSemiMixedTypes="0" containsString="0" containsNumber="1" containsInteger="1" minValue="409010" maxValue="409010"/>
    </cacheField>
    <cacheField name="Cost Cent" numFmtId="0">
      <sharedItems containsSemiMixedTypes="0" containsString="0" containsNumber="1" containsInteger="1" minValue="900" maxValue="900"/>
    </cacheField>
    <cacheField name="Serv Area" numFmtId="0">
      <sharedItems containsSemiMixedTypes="0" containsString="0" containsNumber="1" containsInteger="1" minValue="101" maxValue="102"/>
    </cacheField>
    <cacheField name="OEB" numFmtId="0">
      <sharedItems containsSemiMixedTypes="0" containsString="0" containsNumber="1" containsInteger="1" minValue="4710" maxValue="4710"/>
    </cacheField>
    <cacheField name="Debit Amount" numFmtId="0">
      <sharedItems containsString="0" containsBlank="1" containsNumber="1" minValue="1478.01" maxValue="22973758.16"/>
    </cacheField>
    <cacheField name="Credit Amount" numFmtId="0">
      <sharedItems containsString="0" containsBlank="1" containsNumber="1" minValue="169021.46" maxValue="12459717.949999999"/>
    </cacheField>
    <cacheField name="Amount" numFmtId="4">
      <sharedItems containsSemiMixedTypes="0" containsString="0" containsNumber="1" minValue="-12459717.949999999" maxValue="22973758.16"/>
    </cacheField>
    <cacheField name="Text" numFmtId="0">
      <sharedItems containsBlank="1" count="12">
        <s v="HYDRO ONE NETWORKS INC"/>
        <s v="NIAGARA PENINSULA ENERGY INC"/>
        <s v="BURLINGTON HYDRO INC"/>
        <s v="To record the IESO invoice payment."/>
        <m/>
        <s v="To accrue the cost of power for the month."/>
        <s v="To accrue the cost of power for April 2012"/>
        <s v="NPEI Physical LTLT Accrual for Jan 01 2012 to Dec 31 2012"/>
        <s v="To correct the accrual for cost of power in December 2011"/>
        <s v="To record IESO invoice for period April 1 - April 30, 2012" u="1"/>
        <s v="To record IESO invoice for period March 1 - March 31, 2012" u="1"/>
        <s v="To record IESO Invoice for period February 1 - February 29, 201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Haghani, Nastaran" refreshedDate="41733.779470023146" createdVersion="4" refreshedVersion="4" minRefreshableVersion="3" recordCount="18">
  <cacheSource type="worksheet">
    <worksheetSource ref="A1:K1048576" sheet="11GLVoucherRowsAnalysis 2014"/>
  </cacheSource>
  <cacheFields count="11">
    <cacheField name="Vou Type" numFmtId="0">
      <sharedItems containsBlank="1"/>
    </cacheField>
    <cacheField name="Vou No" numFmtId="0">
      <sharedItems containsString="0" containsBlank="1" containsNumber="1" containsInteger="1" minValue="2014000020" maxValue="2014003466"/>
    </cacheField>
    <cacheField name="Year Period Key" numFmtId="0">
      <sharedItems containsString="0" containsBlank="1" containsNumber="1" containsInteger="1" minValue="201401" maxValue="201404" count="5">
        <n v="201403"/>
        <n v="201401"/>
        <n v="201402"/>
        <n v="201404"/>
        <m/>
      </sharedItems>
    </cacheField>
    <cacheField name="Account" numFmtId="0">
      <sharedItems containsString="0" containsBlank="1" containsNumber="1" containsInteger="1" minValue="409010" maxValue="409010"/>
    </cacheField>
    <cacheField name="Cost Cent" numFmtId="0">
      <sharedItems containsString="0" containsBlank="1" containsNumber="1" containsInteger="1" minValue="900" maxValue="900"/>
    </cacheField>
    <cacheField name="Serv Area" numFmtId="0">
      <sharedItems containsString="0" containsBlank="1" containsNumber="1" containsInteger="1" minValue="101" maxValue="101"/>
    </cacheField>
    <cacheField name="OEB" numFmtId="0">
      <sharedItems containsString="0" containsBlank="1" containsNumber="1" containsInteger="1" minValue="4710" maxValue="4710" count="2">
        <n v="4710"/>
        <m/>
      </sharedItems>
    </cacheField>
    <cacheField name="Debit Amount" numFmtId="0">
      <sharedItems containsString="0" containsBlank="1" containsNumber="1" minValue="3772.38" maxValue="14000061.060000001"/>
    </cacheField>
    <cacheField name="Credit Amount" numFmtId="0">
      <sharedItems containsString="0" containsBlank="1" containsNumber="1" minValue="111.24" maxValue="10976550.310000001"/>
    </cacheField>
    <cacheField name="Amount" numFmtId="0">
      <sharedItems containsString="0" containsBlank="1" containsNumber="1" minValue="-10976550.310000001" maxValue="14000061.060000001"/>
    </cacheField>
    <cacheField name="Text" numFmtId="0">
      <sharedItems containsBlank="1" count="8">
        <s v="BURLINGTON HYDRO INC"/>
        <s v="To record the IESO invoice payment."/>
        <m/>
        <s v="IESO invoice correction using new GA method"/>
        <s v="January IESO invoice correction using new GA method"/>
        <s v="February IESO invoice correction using new GA method"/>
        <s v="To accrue the cost of power for the month."/>
        <s v="To accrue the cost of power for the month Marc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s v="M"/>
    <n v="2013000064"/>
    <x v="0"/>
    <n v="409010"/>
    <n v="900"/>
    <n v="101"/>
    <x v="0"/>
    <n v="8770403.1199999992"/>
    <m/>
    <n v="8770403.1199999992"/>
    <x v="0"/>
  </r>
  <r>
    <s v="M"/>
    <n v="2013000104"/>
    <x v="0"/>
    <n v="409010"/>
    <n v="900"/>
    <n v="101"/>
    <x v="0"/>
    <n v="11784.42"/>
    <m/>
    <n v="11784.42"/>
    <x v="1"/>
  </r>
  <r>
    <s v="MR"/>
    <n v="2013000036"/>
    <x v="0"/>
    <n v="409010"/>
    <n v="900"/>
    <n v="101"/>
    <x v="0"/>
    <n v="10270264.09"/>
    <m/>
    <n v="10270264.09"/>
    <x v="2"/>
  </r>
  <r>
    <s v="R"/>
    <n v="2013000024"/>
    <x v="0"/>
    <n v="409010"/>
    <n v="900"/>
    <n v="101"/>
    <x v="0"/>
    <m/>
    <n v="4191.58"/>
    <n v="-4191.58"/>
    <x v="3"/>
  </r>
  <r>
    <s v="R"/>
    <n v="2013000028"/>
    <x v="0"/>
    <n v="409010"/>
    <n v="900"/>
    <n v="102"/>
    <x v="0"/>
    <m/>
    <n v="1478.01"/>
    <n v="-1478.01"/>
    <x v="4"/>
  </r>
  <r>
    <s v="R"/>
    <n v="2013000043"/>
    <x v="0"/>
    <n v="409010"/>
    <n v="900"/>
    <n v="101"/>
    <x v="0"/>
    <m/>
    <n v="8389013.3399999999"/>
    <n v="-8389013.3399999999"/>
    <x v="2"/>
  </r>
  <r>
    <s v="M"/>
    <n v="2013000199"/>
    <x v="1"/>
    <n v="409010"/>
    <n v="900"/>
    <n v="101"/>
    <x v="0"/>
    <n v="11784.42"/>
    <m/>
    <n v="11784.42"/>
    <x v="1"/>
  </r>
  <r>
    <s v="M"/>
    <n v="2013000200"/>
    <x v="1"/>
    <n v="409010"/>
    <n v="900"/>
    <n v="101"/>
    <x v="0"/>
    <n v="9953438.3699999992"/>
    <m/>
    <n v="9953438.3699999992"/>
    <x v="0"/>
  </r>
  <r>
    <s v="MR"/>
    <n v="2013000078"/>
    <x v="1"/>
    <n v="409010"/>
    <n v="900"/>
    <n v="101"/>
    <x v="0"/>
    <n v="7772586.5099999998"/>
    <m/>
    <n v="7772586.5099999998"/>
    <x v="2"/>
  </r>
  <r>
    <s v="R"/>
    <n v="2013000085"/>
    <x v="1"/>
    <n v="409010"/>
    <n v="900"/>
    <n v="101"/>
    <x v="0"/>
    <m/>
    <n v="10270264.09"/>
    <n v="-10270264.09"/>
    <x v="2"/>
  </r>
  <r>
    <s v="M"/>
    <n v="2013000346"/>
    <x v="2"/>
    <n v="409010"/>
    <n v="900"/>
    <n v="101"/>
    <x v="0"/>
    <n v="8646653.0099999998"/>
    <m/>
    <n v="8646653.0099999998"/>
    <x v="0"/>
  </r>
  <r>
    <s v="M"/>
    <n v="2013000347"/>
    <x v="2"/>
    <n v="409010"/>
    <n v="900"/>
    <n v="101"/>
    <x v="0"/>
    <n v="11784.42"/>
    <m/>
    <n v="11784.42"/>
    <x v="1"/>
  </r>
  <r>
    <s v="MR"/>
    <n v="2013000115"/>
    <x v="2"/>
    <n v="409010"/>
    <n v="900"/>
    <n v="101"/>
    <x v="0"/>
    <n v="8328895.4199999999"/>
    <m/>
    <n v="8328895.4199999999"/>
    <x v="2"/>
  </r>
  <r>
    <s v="R"/>
    <n v="2013000126"/>
    <x v="2"/>
    <n v="409010"/>
    <n v="900"/>
    <n v="101"/>
    <x v="0"/>
    <m/>
    <n v="7772586.5099999998"/>
    <n v="-7772586.5099999998"/>
    <x v="2"/>
  </r>
  <r>
    <s v="M"/>
    <n v="2013000550"/>
    <x v="3"/>
    <n v="409010"/>
    <n v="900"/>
    <n v="101"/>
    <x v="0"/>
    <n v="8114877.6900000004"/>
    <m/>
    <n v="8114877.6900000004"/>
    <x v="0"/>
  </r>
  <r>
    <s v="M"/>
    <n v="2013000551"/>
    <x v="3"/>
    <n v="409010"/>
    <n v="900"/>
    <n v="101"/>
    <x v="0"/>
    <n v="11784.42"/>
    <m/>
    <n v="11784.42"/>
    <x v="1"/>
  </r>
  <r>
    <s v="MR"/>
    <n v="2013000154"/>
    <x v="3"/>
    <n v="409010"/>
    <n v="900"/>
    <n v="101"/>
    <x v="0"/>
    <n v="10686550.470000001"/>
    <m/>
    <n v="10686550.470000001"/>
    <x v="2"/>
  </r>
  <r>
    <s v="R"/>
    <n v="2013000164"/>
    <x v="3"/>
    <n v="409010"/>
    <n v="900"/>
    <n v="101"/>
    <x v="0"/>
    <m/>
    <n v="8328895.4199999999"/>
    <n v="-8328895.4199999999"/>
    <x v="2"/>
  </r>
  <r>
    <s v="M"/>
    <n v="2013000744"/>
    <x v="4"/>
    <n v="409010"/>
    <n v="900"/>
    <n v="101"/>
    <x v="0"/>
    <n v="12100298.42"/>
    <m/>
    <n v="12100298.42"/>
    <x v="0"/>
  </r>
  <r>
    <s v="M"/>
    <n v="2013000772"/>
    <x v="4"/>
    <n v="409010"/>
    <n v="900"/>
    <n v="101"/>
    <x v="0"/>
    <n v="11419.55"/>
    <m/>
    <n v="11419.55"/>
    <x v="1"/>
  </r>
  <r>
    <s v="MR"/>
    <n v="2013000190"/>
    <x v="4"/>
    <n v="409010"/>
    <n v="900"/>
    <n v="101"/>
    <x v="0"/>
    <n v="12034445.640000001"/>
    <m/>
    <n v="12034445.640000001"/>
    <x v="2"/>
  </r>
  <r>
    <s v="R"/>
    <n v="2013000203"/>
    <x v="4"/>
    <n v="409010"/>
    <n v="900"/>
    <n v="101"/>
    <x v="0"/>
    <m/>
    <n v="10686550.470000001"/>
    <n v="-10686550.470000001"/>
    <x v="2"/>
  </r>
  <r>
    <s v="I"/>
    <n v="2013005958"/>
    <x v="5"/>
    <n v="409010"/>
    <n v="900"/>
    <n v="101"/>
    <x v="0"/>
    <m/>
    <n v="1257.22"/>
    <n v="-1257.22"/>
    <x v="5"/>
  </r>
  <r>
    <s v="M"/>
    <n v="2013000922"/>
    <x v="5"/>
    <n v="409010"/>
    <n v="900"/>
    <n v="101"/>
    <x v="0"/>
    <n v="12491232.279999999"/>
    <m/>
    <n v="12491232.279999999"/>
    <x v="0"/>
  </r>
  <r>
    <s v="M"/>
    <n v="2013000924"/>
    <x v="5"/>
    <n v="409010"/>
    <n v="900"/>
    <n v="101"/>
    <x v="0"/>
    <n v="11419.55"/>
    <m/>
    <n v="11419.55"/>
    <x v="1"/>
  </r>
  <r>
    <s v="MR"/>
    <n v="2013000229"/>
    <x v="5"/>
    <n v="409010"/>
    <n v="900"/>
    <n v="101"/>
    <x v="0"/>
    <n v="13711694.630000001"/>
    <m/>
    <n v="13711694.630000001"/>
    <x v="2"/>
  </r>
  <r>
    <s v="R"/>
    <n v="2013000237"/>
    <x v="5"/>
    <n v="409010"/>
    <n v="900"/>
    <n v="101"/>
    <x v="0"/>
    <m/>
    <n v="12034445.640000001"/>
    <n v="-12034445.640000001"/>
    <x v="2"/>
  </r>
  <r>
    <s v="I"/>
    <n v="2013007916"/>
    <x v="6"/>
    <n v="409010"/>
    <n v="900"/>
    <n v="101"/>
    <x v="0"/>
    <n v="1089.8699999999999"/>
    <m/>
    <n v="1089.8699999999999"/>
    <x v="6"/>
  </r>
  <r>
    <s v="M"/>
    <n v="2013001091"/>
    <x v="6"/>
    <n v="409010"/>
    <n v="900"/>
    <n v="101"/>
    <x v="0"/>
    <n v="11419.55"/>
    <m/>
    <n v="11419.55"/>
    <x v="1"/>
  </r>
  <r>
    <s v="M"/>
    <n v="2013001094"/>
    <x v="6"/>
    <n v="409010"/>
    <n v="900"/>
    <n v="101"/>
    <x v="0"/>
    <n v="10524774.18"/>
    <m/>
    <n v="10524774.18"/>
    <x v="7"/>
  </r>
  <r>
    <s v="MR"/>
    <n v="2013000270"/>
    <x v="6"/>
    <n v="409010"/>
    <n v="900"/>
    <n v="101"/>
    <x v="0"/>
    <n v="12268215.619999999"/>
    <m/>
    <n v="12268215.619999999"/>
    <x v="2"/>
  </r>
  <r>
    <s v="R"/>
    <n v="2013000272"/>
    <x v="6"/>
    <n v="409010"/>
    <n v="900"/>
    <n v="101"/>
    <x v="0"/>
    <m/>
    <n v="13711694.630000001"/>
    <n v="-13711694.630000001"/>
    <x v="2"/>
  </r>
  <r>
    <s v="M"/>
    <n v="2013001307"/>
    <x v="7"/>
    <n v="409010"/>
    <n v="900"/>
    <n v="101"/>
    <x v="0"/>
    <n v="14736725.83"/>
    <m/>
    <n v="14736725.83"/>
    <x v="0"/>
  </r>
  <r>
    <s v="M"/>
    <n v="2013001309"/>
    <x v="7"/>
    <n v="409010"/>
    <n v="900"/>
    <n v="101"/>
    <x v="0"/>
    <n v="11419.55"/>
    <m/>
    <n v="11419.55"/>
    <x v="1"/>
  </r>
  <r>
    <s v="MR"/>
    <n v="2013000317"/>
    <x v="7"/>
    <n v="409010"/>
    <n v="900"/>
    <n v="101"/>
    <x v="0"/>
    <n v="12859560.43"/>
    <m/>
    <n v="12859560.43"/>
    <x v="2"/>
  </r>
  <r>
    <s v="R"/>
    <n v="2013000314"/>
    <x v="7"/>
    <n v="409010"/>
    <n v="900"/>
    <n v="101"/>
    <x v="0"/>
    <m/>
    <n v="12268215.619999999"/>
    <n v="-12268215.619999999"/>
    <x v="2"/>
  </r>
  <r>
    <s v="I"/>
    <n v="2013009427"/>
    <x v="8"/>
    <n v="409010"/>
    <n v="900"/>
    <n v="101"/>
    <x v="0"/>
    <n v="1807.97"/>
    <m/>
    <n v="1807.97"/>
    <x v="8"/>
  </r>
  <r>
    <s v="I"/>
    <n v="2013010380"/>
    <x v="8"/>
    <n v="409010"/>
    <n v="900"/>
    <n v="101"/>
    <x v="0"/>
    <n v="317.43"/>
    <m/>
    <n v="317.43"/>
    <x v="5"/>
  </r>
  <r>
    <s v="M"/>
    <n v="2013001514"/>
    <x v="8"/>
    <n v="409010"/>
    <n v="900"/>
    <n v="101"/>
    <x v="0"/>
    <n v="11419.55"/>
    <m/>
    <n v="11419.55"/>
    <x v="1"/>
  </r>
  <r>
    <s v="M"/>
    <n v="2013001517"/>
    <x v="8"/>
    <n v="409010"/>
    <n v="900"/>
    <n v="101"/>
    <x v="0"/>
    <n v="10222226.41"/>
    <m/>
    <n v="10222226.41"/>
    <x v="0"/>
  </r>
  <r>
    <s v="MR"/>
    <n v="2013000361"/>
    <x v="8"/>
    <n v="409010"/>
    <n v="900"/>
    <n v="101"/>
    <x v="0"/>
    <n v="13964967.57"/>
    <m/>
    <n v="13964967.57"/>
    <x v="2"/>
  </r>
  <r>
    <s v="R"/>
    <n v="2013000360"/>
    <x v="8"/>
    <n v="409010"/>
    <n v="900"/>
    <n v="101"/>
    <x v="0"/>
    <m/>
    <n v="12859560.43"/>
    <n v="-12859560.43"/>
    <x v="2"/>
  </r>
  <r>
    <s v="M"/>
    <n v="2013001740"/>
    <x v="9"/>
    <n v="409010"/>
    <n v="900"/>
    <n v="101"/>
    <x v="0"/>
    <n v="15080049.34"/>
    <m/>
    <n v="15080049.34"/>
    <x v="0"/>
  </r>
  <r>
    <s v="M"/>
    <n v="2013001741"/>
    <x v="9"/>
    <n v="409010"/>
    <n v="900"/>
    <n v="101"/>
    <x v="0"/>
    <n v="11419.55"/>
    <m/>
    <n v="11419.55"/>
    <x v="1"/>
  </r>
  <r>
    <s v="MR"/>
    <n v="2013000403"/>
    <x v="9"/>
    <n v="409010"/>
    <n v="900"/>
    <n v="101"/>
    <x v="0"/>
    <n v="10558463.26"/>
    <m/>
    <n v="10558463.26"/>
    <x v="2"/>
  </r>
  <r>
    <s v="R"/>
    <n v="2013000404"/>
    <x v="9"/>
    <n v="409010"/>
    <n v="900"/>
    <n v="101"/>
    <x v="0"/>
    <m/>
    <n v="13964967.57"/>
    <n v="-13964967.57"/>
    <x v="2"/>
  </r>
  <r>
    <s v="M"/>
    <n v="2013001956"/>
    <x v="10"/>
    <n v="409010"/>
    <n v="900"/>
    <n v="101"/>
    <x v="0"/>
    <n v="11419.55"/>
    <m/>
    <n v="11419.55"/>
    <x v="1"/>
  </r>
  <r>
    <s v="M"/>
    <n v="2013001957"/>
    <x v="10"/>
    <n v="409010"/>
    <n v="900"/>
    <n v="101"/>
    <x v="0"/>
    <n v="10346890.93"/>
    <m/>
    <n v="10346890.93"/>
    <x v="0"/>
  </r>
  <r>
    <s v="MR"/>
    <n v="2013000443"/>
    <x v="10"/>
    <n v="409010"/>
    <n v="900"/>
    <n v="101"/>
    <x v="0"/>
    <n v="16026607.23"/>
    <m/>
    <n v="16026607.23"/>
    <x v="2"/>
  </r>
  <r>
    <s v="R"/>
    <n v="2013000445"/>
    <x v="10"/>
    <n v="409010"/>
    <n v="900"/>
    <n v="101"/>
    <x v="0"/>
    <m/>
    <n v="10558463.26"/>
    <n v="-10558463.26"/>
    <x v="2"/>
  </r>
  <r>
    <s v="M"/>
    <n v="2013002255"/>
    <x v="11"/>
    <n v="409010"/>
    <n v="900"/>
    <n v="101"/>
    <x v="0"/>
    <n v="11419.55"/>
    <m/>
    <n v="11419.55"/>
    <x v="1"/>
  </r>
  <r>
    <s v="M"/>
    <n v="2013002257"/>
    <x v="11"/>
    <n v="409010"/>
    <n v="900"/>
    <n v="101"/>
    <x v="0"/>
    <n v="13721864.83"/>
    <m/>
    <n v="13721864.83"/>
    <x v="0"/>
  </r>
  <r>
    <s v="MR"/>
    <n v="2013000465"/>
    <x v="11"/>
    <n v="409010"/>
    <n v="900"/>
    <n v="101"/>
    <x v="0"/>
    <n v="10976550.310000001"/>
    <m/>
    <n v="10976550.310000001"/>
    <x v="2"/>
  </r>
  <r>
    <s v="R"/>
    <n v="2013000485"/>
    <x v="11"/>
    <n v="409010"/>
    <n v="900"/>
    <n v="101"/>
    <x v="0"/>
    <m/>
    <n v="16026607.23"/>
    <n v="-16026607.23"/>
    <x v="2"/>
  </r>
  <r>
    <m/>
    <m/>
    <x v="12"/>
    <m/>
    <m/>
    <m/>
    <x v="1"/>
    <m/>
    <m/>
    <m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4">
  <r>
    <s v="M"/>
    <n v="2013000064"/>
    <x v="0"/>
    <n v="409010"/>
    <n v="900"/>
    <n v="101"/>
    <n v="4710"/>
    <n v="8770403.1199999992"/>
    <m/>
    <n v="8770403.1199999992"/>
    <x v="0"/>
  </r>
  <r>
    <s v="M"/>
    <n v="2013000104"/>
    <x v="0"/>
    <n v="409010"/>
    <n v="900"/>
    <n v="101"/>
    <n v="4710"/>
    <n v="11784.42"/>
    <m/>
    <n v="11784.42"/>
    <x v="1"/>
  </r>
  <r>
    <s v="MR"/>
    <n v="2013000036"/>
    <x v="0"/>
    <n v="409010"/>
    <n v="900"/>
    <n v="101"/>
    <n v="4710"/>
    <n v="10270264.09"/>
    <m/>
    <n v="10270264.09"/>
    <x v="2"/>
  </r>
  <r>
    <s v="R"/>
    <n v="2013000024"/>
    <x v="0"/>
    <n v="409010"/>
    <n v="900"/>
    <n v="101"/>
    <n v="4710"/>
    <m/>
    <n v="4191.58"/>
    <n v="-4191.58"/>
    <x v="3"/>
  </r>
  <r>
    <s v="R"/>
    <n v="2013000028"/>
    <x v="0"/>
    <n v="409010"/>
    <n v="900"/>
    <n v="102"/>
    <n v="4710"/>
    <m/>
    <n v="1478.01"/>
    <n v="-1478.01"/>
    <x v="4"/>
  </r>
  <r>
    <s v="R"/>
    <n v="2013000043"/>
    <x v="0"/>
    <n v="409010"/>
    <n v="900"/>
    <n v="101"/>
    <n v="4710"/>
    <m/>
    <n v="8389013.3399999999"/>
    <n v="-8389013.3399999999"/>
    <x v="2"/>
  </r>
  <r>
    <s v="M"/>
    <n v="2013000199"/>
    <x v="1"/>
    <n v="409010"/>
    <n v="900"/>
    <n v="101"/>
    <n v="4710"/>
    <n v="11784.42"/>
    <m/>
    <n v="11784.42"/>
    <x v="1"/>
  </r>
  <r>
    <s v="M"/>
    <n v="2013000200"/>
    <x v="1"/>
    <n v="409010"/>
    <n v="900"/>
    <n v="101"/>
    <n v="4710"/>
    <n v="9953438.3699999992"/>
    <m/>
    <n v="9953438.3699999992"/>
    <x v="0"/>
  </r>
  <r>
    <s v="MR"/>
    <n v="2013000078"/>
    <x v="1"/>
    <n v="409010"/>
    <n v="900"/>
    <n v="101"/>
    <n v="4710"/>
    <n v="7772586.5099999998"/>
    <m/>
    <n v="7772586.5099999998"/>
    <x v="2"/>
  </r>
  <r>
    <s v="R"/>
    <n v="2013000085"/>
    <x v="1"/>
    <n v="409010"/>
    <n v="900"/>
    <n v="101"/>
    <n v="4710"/>
    <m/>
    <n v="10270264.09"/>
    <n v="-10270264.09"/>
    <x v="2"/>
  </r>
  <r>
    <s v="M"/>
    <n v="2013000346"/>
    <x v="2"/>
    <n v="409010"/>
    <n v="900"/>
    <n v="101"/>
    <n v="4710"/>
    <n v="8646653.0099999998"/>
    <m/>
    <n v="8646653.0099999998"/>
    <x v="0"/>
  </r>
  <r>
    <s v="M"/>
    <n v="2013000347"/>
    <x v="2"/>
    <n v="409010"/>
    <n v="900"/>
    <n v="101"/>
    <n v="4710"/>
    <n v="11784.42"/>
    <m/>
    <n v="11784.42"/>
    <x v="1"/>
  </r>
  <r>
    <s v="MR"/>
    <n v="2013000115"/>
    <x v="2"/>
    <n v="409010"/>
    <n v="900"/>
    <n v="101"/>
    <n v="4710"/>
    <n v="8328895.4199999999"/>
    <m/>
    <n v="8328895.4199999999"/>
    <x v="2"/>
  </r>
  <r>
    <s v="R"/>
    <n v="2013000126"/>
    <x v="2"/>
    <n v="409010"/>
    <n v="900"/>
    <n v="101"/>
    <n v="4710"/>
    <m/>
    <n v="7772586.5099999998"/>
    <n v="-7772586.5099999998"/>
    <x v="2"/>
  </r>
  <r>
    <s v="M"/>
    <n v="2013000550"/>
    <x v="3"/>
    <n v="409010"/>
    <n v="900"/>
    <n v="101"/>
    <n v="4710"/>
    <n v="8114877.6900000004"/>
    <m/>
    <n v="8114877.6900000004"/>
    <x v="0"/>
  </r>
  <r>
    <s v="M"/>
    <n v="2013000551"/>
    <x v="3"/>
    <n v="409010"/>
    <n v="900"/>
    <n v="101"/>
    <n v="4710"/>
    <n v="11784.42"/>
    <m/>
    <n v="11784.42"/>
    <x v="1"/>
  </r>
  <r>
    <s v="MR"/>
    <n v="2013000154"/>
    <x v="3"/>
    <n v="409010"/>
    <n v="900"/>
    <n v="101"/>
    <n v="4710"/>
    <n v="10686550.470000001"/>
    <m/>
    <n v="10686550.470000001"/>
    <x v="2"/>
  </r>
  <r>
    <s v="R"/>
    <n v="2013000164"/>
    <x v="3"/>
    <n v="409010"/>
    <n v="900"/>
    <n v="101"/>
    <n v="4710"/>
    <m/>
    <n v="8328895.4199999999"/>
    <n v="-8328895.4199999999"/>
    <x v="2"/>
  </r>
  <r>
    <s v="M"/>
    <n v="2013000744"/>
    <x v="4"/>
    <n v="409010"/>
    <n v="900"/>
    <n v="101"/>
    <n v="4710"/>
    <n v="12100298.42"/>
    <m/>
    <n v="12100298.42"/>
    <x v="0"/>
  </r>
  <r>
    <s v="M"/>
    <n v="2013000772"/>
    <x v="4"/>
    <n v="409010"/>
    <n v="900"/>
    <n v="101"/>
    <n v="4710"/>
    <n v="11419.55"/>
    <m/>
    <n v="11419.55"/>
    <x v="1"/>
  </r>
  <r>
    <s v="MR"/>
    <n v="2013000190"/>
    <x v="4"/>
    <n v="409010"/>
    <n v="900"/>
    <n v="101"/>
    <n v="4710"/>
    <n v="12034445.640000001"/>
    <m/>
    <n v="12034445.640000001"/>
    <x v="2"/>
  </r>
  <r>
    <s v="R"/>
    <n v="2013000203"/>
    <x v="4"/>
    <n v="409010"/>
    <n v="900"/>
    <n v="101"/>
    <n v="4710"/>
    <m/>
    <n v="10686550.470000001"/>
    <n v="-10686550.470000001"/>
    <x v="2"/>
  </r>
  <r>
    <s v="I"/>
    <n v="2013005958"/>
    <x v="5"/>
    <n v="409010"/>
    <n v="900"/>
    <n v="101"/>
    <n v="4710"/>
    <m/>
    <n v="1257.22"/>
    <n v="-1257.22"/>
    <x v="5"/>
  </r>
  <r>
    <s v="M"/>
    <n v="2013000922"/>
    <x v="5"/>
    <n v="409010"/>
    <n v="900"/>
    <n v="101"/>
    <n v="4710"/>
    <n v="12491232.279999999"/>
    <m/>
    <n v="12491232.279999999"/>
    <x v="0"/>
  </r>
  <r>
    <s v="M"/>
    <n v="2013000924"/>
    <x v="5"/>
    <n v="409010"/>
    <n v="900"/>
    <n v="101"/>
    <n v="4710"/>
    <n v="11419.55"/>
    <m/>
    <n v="11419.55"/>
    <x v="1"/>
  </r>
  <r>
    <s v="MR"/>
    <n v="2013000229"/>
    <x v="5"/>
    <n v="409010"/>
    <n v="900"/>
    <n v="101"/>
    <n v="4710"/>
    <n v="13711694.630000001"/>
    <m/>
    <n v="13711694.630000001"/>
    <x v="2"/>
  </r>
  <r>
    <s v="R"/>
    <n v="2013000237"/>
    <x v="5"/>
    <n v="409010"/>
    <n v="900"/>
    <n v="101"/>
    <n v="4710"/>
    <m/>
    <n v="12034445.640000001"/>
    <n v="-12034445.640000001"/>
    <x v="2"/>
  </r>
  <r>
    <s v="I"/>
    <n v="2013007916"/>
    <x v="6"/>
    <n v="409010"/>
    <n v="900"/>
    <n v="101"/>
    <n v="4710"/>
    <n v="1089.8699999999999"/>
    <m/>
    <n v="1089.8699999999999"/>
    <x v="6"/>
  </r>
  <r>
    <s v="M"/>
    <n v="2013001091"/>
    <x v="6"/>
    <n v="409010"/>
    <n v="900"/>
    <n v="101"/>
    <n v="4710"/>
    <n v="11419.55"/>
    <m/>
    <n v="11419.55"/>
    <x v="1"/>
  </r>
  <r>
    <s v="M"/>
    <n v="2013001094"/>
    <x v="6"/>
    <n v="409010"/>
    <n v="900"/>
    <n v="101"/>
    <n v="4710"/>
    <n v="10524774.18"/>
    <m/>
    <n v="10524774.18"/>
    <x v="0"/>
  </r>
  <r>
    <s v="MR"/>
    <n v="2013000270"/>
    <x v="6"/>
    <n v="409010"/>
    <n v="900"/>
    <n v="101"/>
    <n v="4710"/>
    <n v="12268215.619999999"/>
    <m/>
    <n v="12268215.619999999"/>
    <x v="2"/>
  </r>
  <r>
    <s v="R"/>
    <n v="2013000272"/>
    <x v="6"/>
    <n v="409010"/>
    <n v="900"/>
    <n v="101"/>
    <n v="4710"/>
    <m/>
    <n v="13711694.630000001"/>
    <n v="-13711694.630000001"/>
    <x v="2"/>
  </r>
  <r>
    <s v="M"/>
    <n v="2013001307"/>
    <x v="7"/>
    <n v="409010"/>
    <n v="900"/>
    <n v="101"/>
    <n v="4710"/>
    <n v="14736725.83"/>
    <m/>
    <n v="14736725.83"/>
    <x v="0"/>
  </r>
  <r>
    <s v="M"/>
    <n v="2013001309"/>
    <x v="7"/>
    <n v="409010"/>
    <n v="900"/>
    <n v="101"/>
    <n v="4710"/>
    <n v="11419.55"/>
    <m/>
    <n v="11419.55"/>
    <x v="1"/>
  </r>
  <r>
    <s v="MR"/>
    <n v="2013000317"/>
    <x v="7"/>
    <n v="409010"/>
    <n v="900"/>
    <n v="101"/>
    <n v="4710"/>
    <n v="12859560.43"/>
    <m/>
    <n v="12859560.43"/>
    <x v="2"/>
  </r>
  <r>
    <s v="R"/>
    <n v="2013000314"/>
    <x v="7"/>
    <n v="409010"/>
    <n v="900"/>
    <n v="101"/>
    <n v="4710"/>
    <m/>
    <n v="12268215.619999999"/>
    <n v="-12268215.619999999"/>
    <x v="2"/>
  </r>
  <r>
    <s v="I"/>
    <n v="2013009427"/>
    <x v="8"/>
    <n v="409010"/>
    <n v="900"/>
    <n v="101"/>
    <n v="4710"/>
    <n v="1807.97"/>
    <m/>
    <n v="1807.97"/>
    <x v="7"/>
  </r>
  <r>
    <s v="I"/>
    <n v="2013010380"/>
    <x v="8"/>
    <n v="409010"/>
    <n v="900"/>
    <n v="101"/>
    <n v="4710"/>
    <n v="317.43"/>
    <m/>
    <n v="317.43"/>
    <x v="5"/>
  </r>
  <r>
    <s v="M"/>
    <n v="2013001514"/>
    <x v="8"/>
    <n v="409010"/>
    <n v="900"/>
    <n v="101"/>
    <n v="4710"/>
    <n v="11419.55"/>
    <m/>
    <n v="11419.55"/>
    <x v="1"/>
  </r>
  <r>
    <s v="M"/>
    <n v="2013001517"/>
    <x v="8"/>
    <n v="409010"/>
    <n v="900"/>
    <n v="101"/>
    <n v="4710"/>
    <n v="10222226.41"/>
    <m/>
    <n v="10222226.41"/>
    <x v="0"/>
  </r>
  <r>
    <s v="MR"/>
    <n v="2013000361"/>
    <x v="8"/>
    <n v="409010"/>
    <n v="900"/>
    <n v="101"/>
    <n v="4710"/>
    <n v="13964967.57"/>
    <m/>
    <n v="13964967.57"/>
    <x v="2"/>
  </r>
  <r>
    <s v="R"/>
    <n v="2013000360"/>
    <x v="8"/>
    <n v="409010"/>
    <n v="900"/>
    <n v="101"/>
    <n v="4710"/>
    <m/>
    <n v="12859560.43"/>
    <n v="-12859560.43"/>
    <x v="2"/>
  </r>
  <r>
    <s v="M"/>
    <n v="2013001740"/>
    <x v="9"/>
    <n v="409010"/>
    <n v="900"/>
    <n v="101"/>
    <n v="4710"/>
    <n v="15080049.34"/>
    <m/>
    <n v="15080049.34"/>
    <x v="0"/>
  </r>
  <r>
    <s v="M"/>
    <n v="2013001741"/>
    <x v="9"/>
    <n v="409010"/>
    <n v="900"/>
    <n v="101"/>
    <n v="4710"/>
    <n v="11419.55"/>
    <m/>
    <n v="11419.55"/>
    <x v="1"/>
  </r>
  <r>
    <s v="MR"/>
    <n v="2013000403"/>
    <x v="9"/>
    <n v="409010"/>
    <n v="900"/>
    <n v="101"/>
    <n v="4710"/>
    <n v="10558463.26"/>
    <m/>
    <n v="10558463.26"/>
    <x v="2"/>
  </r>
  <r>
    <s v="R"/>
    <n v="2013000404"/>
    <x v="9"/>
    <n v="409010"/>
    <n v="900"/>
    <n v="101"/>
    <n v="4710"/>
    <m/>
    <n v="13964967.57"/>
    <n v="-13964967.57"/>
    <x v="2"/>
  </r>
  <r>
    <s v="M"/>
    <n v="2013001956"/>
    <x v="10"/>
    <n v="409010"/>
    <n v="900"/>
    <n v="101"/>
    <n v="4710"/>
    <n v="11419.55"/>
    <m/>
    <n v="11419.55"/>
    <x v="1"/>
  </r>
  <r>
    <s v="M"/>
    <n v="2013001957"/>
    <x v="10"/>
    <n v="409010"/>
    <n v="900"/>
    <n v="101"/>
    <n v="4710"/>
    <n v="10346890.93"/>
    <m/>
    <n v="10346890.93"/>
    <x v="0"/>
  </r>
  <r>
    <s v="MR"/>
    <n v="2013000443"/>
    <x v="10"/>
    <n v="409010"/>
    <n v="900"/>
    <n v="101"/>
    <n v="4710"/>
    <n v="16026607.23"/>
    <m/>
    <n v="16026607.23"/>
    <x v="2"/>
  </r>
  <r>
    <s v="R"/>
    <n v="2013000445"/>
    <x v="10"/>
    <n v="409010"/>
    <n v="900"/>
    <n v="101"/>
    <n v="4710"/>
    <m/>
    <n v="10558463.26"/>
    <n v="-10558463.26"/>
    <x v="2"/>
  </r>
  <r>
    <s v="M"/>
    <n v="2013002255"/>
    <x v="11"/>
    <n v="409010"/>
    <n v="900"/>
    <n v="101"/>
    <n v="4710"/>
    <n v="11419.55"/>
    <m/>
    <n v="11419.55"/>
    <x v="1"/>
  </r>
  <r>
    <s v="M"/>
    <n v="2013002257"/>
    <x v="11"/>
    <n v="409010"/>
    <n v="900"/>
    <n v="101"/>
    <n v="4710"/>
    <n v="13721864.83"/>
    <m/>
    <n v="13721864.83"/>
    <x v="0"/>
  </r>
  <r>
    <s v="MR"/>
    <n v="2013000465"/>
    <x v="11"/>
    <n v="409010"/>
    <n v="900"/>
    <n v="101"/>
    <n v="4710"/>
    <n v="10976550.310000001"/>
    <m/>
    <n v="10976550.310000001"/>
    <x v="2"/>
  </r>
  <r>
    <s v="R"/>
    <n v="2013000485"/>
    <x v="11"/>
    <n v="409010"/>
    <n v="900"/>
    <n v="101"/>
    <n v="4710"/>
    <m/>
    <n v="16026607.23"/>
    <n v="-16026607.23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4">
  <r>
    <s v="I"/>
    <n v="2012003302"/>
    <x v="0"/>
    <n v="409010"/>
    <n v="900"/>
    <n v="101"/>
    <x v="0"/>
    <n v="59801.9"/>
    <x v="0"/>
    <x v="0"/>
    <x v="0"/>
  </r>
  <r>
    <s v="I"/>
    <n v="2012003969"/>
    <x v="1"/>
    <n v="409010"/>
    <n v="900"/>
    <n v="102"/>
    <x v="0"/>
    <n v="1478.01"/>
    <x v="0"/>
    <x v="1"/>
    <x v="1"/>
  </r>
  <r>
    <s v="I"/>
    <n v="2012004064"/>
    <x v="1"/>
    <n v="409010"/>
    <n v="900"/>
    <n v="101"/>
    <x v="0"/>
    <n v="3395.48"/>
    <x v="0"/>
    <x v="2"/>
    <x v="2"/>
  </r>
  <r>
    <s v="M"/>
    <n v="2012000055"/>
    <x v="2"/>
    <n v="409010"/>
    <n v="900"/>
    <n v="101"/>
    <x v="0"/>
    <n v="18516306.559999999"/>
    <x v="0"/>
    <x v="3"/>
    <x v="3"/>
  </r>
  <r>
    <s v="M"/>
    <n v="2012000055"/>
    <x v="2"/>
    <n v="409010"/>
    <n v="900"/>
    <n v="101"/>
    <x v="0"/>
    <m/>
    <x v="1"/>
    <x v="4"/>
    <x v="3"/>
  </r>
  <r>
    <s v="M"/>
    <n v="2012000076"/>
    <x v="2"/>
    <n v="409010"/>
    <n v="900"/>
    <n v="101"/>
    <x v="0"/>
    <n v="8663.0300000000007"/>
    <x v="0"/>
    <x v="5"/>
    <x v="4"/>
  </r>
  <r>
    <s v="M"/>
    <n v="2012000150"/>
    <x v="3"/>
    <n v="409010"/>
    <n v="900"/>
    <n v="101"/>
    <x v="0"/>
    <n v="17361119.23"/>
    <x v="0"/>
    <x v="6"/>
    <x v="3"/>
  </r>
  <r>
    <s v="M"/>
    <n v="2012000150"/>
    <x v="3"/>
    <n v="409010"/>
    <n v="900"/>
    <n v="101"/>
    <x v="0"/>
    <m/>
    <x v="2"/>
    <x v="7"/>
    <x v="3"/>
  </r>
  <r>
    <s v="M"/>
    <n v="2012000204"/>
    <x v="3"/>
    <n v="409010"/>
    <n v="900"/>
    <n v="101"/>
    <x v="0"/>
    <n v="11784.42"/>
    <x v="0"/>
    <x v="8"/>
    <x v="4"/>
  </r>
  <r>
    <s v="M"/>
    <n v="2012000308"/>
    <x v="0"/>
    <n v="409010"/>
    <n v="900"/>
    <n v="101"/>
    <x v="0"/>
    <n v="18981108.32"/>
    <x v="0"/>
    <x v="9"/>
    <x v="5"/>
  </r>
  <r>
    <s v="M"/>
    <n v="2012000308"/>
    <x v="0"/>
    <n v="409010"/>
    <n v="900"/>
    <n v="101"/>
    <x v="0"/>
    <m/>
    <x v="3"/>
    <x v="10"/>
    <x v="5"/>
  </r>
  <r>
    <s v="M"/>
    <n v="2012000318"/>
    <x v="0"/>
    <n v="409010"/>
    <n v="900"/>
    <n v="101"/>
    <x v="0"/>
    <n v="11784.42"/>
    <x v="0"/>
    <x v="8"/>
    <x v="4"/>
  </r>
  <r>
    <s v="M"/>
    <n v="2012000568"/>
    <x v="1"/>
    <n v="409010"/>
    <n v="900"/>
    <n v="101"/>
    <x v="0"/>
    <n v="11784.42"/>
    <x v="0"/>
    <x v="8"/>
    <x v="4"/>
  </r>
  <r>
    <s v="M"/>
    <n v="2012000570"/>
    <x v="1"/>
    <n v="409010"/>
    <n v="900"/>
    <n v="101"/>
    <x v="0"/>
    <n v="22973758.16"/>
    <x v="0"/>
    <x v="11"/>
    <x v="6"/>
  </r>
  <r>
    <s v="M"/>
    <n v="2012000570"/>
    <x v="1"/>
    <n v="409010"/>
    <n v="900"/>
    <n v="101"/>
    <x v="0"/>
    <m/>
    <x v="4"/>
    <x v="12"/>
    <x v="6"/>
  </r>
  <r>
    <s v="M"/>
    <n v="2012000684"/>
    <x v="4"/>
    <n v="409010"/>
    <n v="900"/>
    <n v="101"/>
    <x v="0"/>
    <n v="20649284.41"/>
    <x v="0"/>
    <x v="13"/>
    <x v="7"/>
  </r>
  <r>
    <s v="M"/>
    <n v="2012000684"/>
    <x v="4"/>
    <n v="409010"/>
    <n v="900"/>
    <n v="101"/>
    <x v="0"/>
    <m/>
    <x v="5"/>
    <x v="14"/>
    <x v="7"/>
  </r>
  <r>
    <s v="M"/>
    <n v="2012000716"/>
    <x v="4"/>
    <n v="409010"/>
    <n v="900"/>
    <n v="101"/>
    <x v="0"/>
    <n v="11784.42"/>
    <x v="0"/>
    <x v="8"/>
    <x v="4"/>
  </r>
  <r>
    <s v="M"/>
    <n v="2012000889"/>
    <x v="5"/>
    <n v="409010"/>
    <n v="900"/>
    <n v="101"/>
    <x v="0"/>
    <n v="11784.42"/>
    <x v="0"/>
    <x v="8"/>
    <x v="4"/>
  </r>
  <r>
    <s v="M"/>
    <n v="2012000907"/>
    <x v="5"/>
    <n v="409010"/>
    <n v="900"/>
    <n v="101"/>
    <x v="0"/>
    <n v="20785665.440000001"/>
    <x v="0"/>
    <x v="15"/>
    <x v="3"/>
  </r>
  <r>
    <s v="M"/>
    <n v="2012000907"/>
    <x v="5"/>
    <n v="409010"/>
    <n v="900"/>
    <n v="101"/>
    <x v="0"/>
    <m/>
    <x v="6"/>
    <x v="16"/>
    <x v="3"/>
  </r>
  <r>
    <s v="M"/>
    <n v="2012001035"/>
    <x v="6"/>
    <n v="409010"/>
    <n v="900"/>
    <n v="101"/>
    <x v="0"/>
    <n v="11784.42"/>
    <x v="0"/>
    <x v="8"/>
    <x v="4"/>
  </r>
  <r>
    <s v="M"/>
    <n v="2012001091"/>
    <x v="6"/>
    <n v="409010"/>
    <n v="900"/>
    <n v="101"/>
    <x v="0"/>
    <n v="21749596.41"/>
    <x v="0"/>
    <x v="17"/>
    <x v="3"/>
  </r>
  <r>
    <s v="M"/>
    <n v="2012001091"/>
    <x v="6"/>
    <n v="409010"/>
    <n v="900"/>
    <n v="101"/>
    <x v="0"/>
    <m/>
    <x v="7"/>
    <x v="18"/>
    <x v="3"/>
  </r>
  <r>
    <s v="M"/>
    <n v="2012001320"/>
    <x v="7"/>
    <n v="409010"/>
    <n v="900"/>
    <n v="101"/>
    <x v="0"/>
    <n v="11784.42"/>
    <x v="0"/>
    <x v="8"/>
    <x v="4"/>
  </r>
  <r>
    <s v="M"/>
    <n v="2012001337"/>
    <x v="7"/>
    <n v="409010"/>
    <n v="900"/>
    <n v="101"/>
    <x v="0"/>
    <n v="16531634.02"/>
    <x v="0"/>
    <x v="19"/>
    <x v="3"/>
  </r>
  <r>
    <s v="M"/>
    <n v="2012001337"/>
    <x v="7"/>
    <n v="409010"/>
    <n v="900"/>
    <n v="101"/>
    <x v="0"/>
    <m/>
    <x v="8"/>
    <x v="20"/>
    <x v="3"/>
  </r>
  <r>
    <s v="M"/>
    <n v="2012001373"/>
    <x v="8"/>
    <n v="409010"/>
    <n v="900"/>
    <n v="101"/>
    <x v="0"/>
    <n v="18769405.859999999"/>
    <x v="0"/>
    <x v="21"/>
    <x v="3"/>
  </r>
  <r>
    <s v="M"/>
    <n v="2012001373"/>
    <x v="8"/>
    <n v="409010"/>
    <n v="900"/>
    <n v="101"/>
    <x v="0"/>
    <m/>
    <x v="9"/>
    <x v="22"/>
    <x v="3"/>
  </r>
  <r>
    <s v="M"/>
    <n v="2012001420"/>
    <x v="8"/>
    <n v="409010"/>
    <n v="900"/>
    <n v="101"/>
    <x v="0"/>
    <n v="11784.42"/>
    <x v="0"/>
    <x v="8"/>
    <x v="4"/>
  </r>
  <r>
    <s v="M"/>
    <n v="2012001650"/>
    <x v="9"/>
    <n v="409010"/>
    <n v="900"/>
    <n v="101"/>
    <x v="0"/>
    <n v="4950595.22"/>
    <x v="0"/>
    <x v="23"/>
    <x v="3"/>
  </r>
  <r>
    <s v="M"/>
    <n v="2012001723"/>
    <x v="9"/>
    <n v="409010"/>
    <n v="900"/>
    <n v="101"/>
    <x v="0"/>
    <n v="11784.42"/>
    <x v="0"/>
    <x v="8"/>
    <x v="4"/>
  </r>
  <r>
    <s v="M"/>
    <n v="2012001826"/>
    <x v="10"/>
    <n v="409010"/>
    <n v="900"/>
    <n v="101"/>
    <x v="0"/>
    <n v="10079182.07"/>
    <x v="0"/>
    <x v="24"/>
    <x v="3"/>
  </r>
  <r>
    <s v="M"/>
    <n v="2012001836"/>
    <x v="10"/>
    <n v="409010"/>
    <n v="900"/>
    <n v="101"/>
    <x v="0"/>
    <n v="11784.42"/>
    <x v="0"/>
    <x v="8"/>
    <x v="4"/>
  </r>
  <r>
    <s v="M"/>
    <n v="2012001908"/>
    <x v="10"/>
    <n v="409010"/>
    <n v="900"/>
    <n v="101"/>
    <x v="0"/>
    <m/>
    <x v="10"/>
    <x v="25"/>
    <x v="8"/>
  </r>
  <r>
    <s v="M"/>
    <n v="2012001947"/>
    <x v="11"/>
    <n v="409010"/>
    <n v="900"/>
    <n v="101"/>
    <x v="0"/>
    <n v="10069717.32"/>
    <x v="0"/>
    <x v="26"/>
    <x v="3"/>
  </r>
  <r>
    <s v="M"/>
    <n v="2012002104"/>
    <x v="11"/>
    <n v="409010"/>
    <n v="900"/>
    <n v="101"/>
    <x v="0"/>
    <n v="11784.42"/>
    <x v="0"/>
    <x v="8"/>
    <x v="4"/>
  </r>
  <r>
    <s v="MR"/>
    <n v="2012000024"/>
    <x v="2"/>
    <n v="409010"/>
    <n v="900"/>
    <n v="101"/>
    <x v="0"/>
    <n v="8529691.5299999993"/>
    <x v="0"/>
    <x v="27"/>
    <x v="8"/>
  </r>
  <r>
    <s v="MR"/>
    <n v="2012000079"/>
    <x v="3"/>
    <n v="409010"/>
    <n v="900"/>
    <n v="101"/>
    <x v="0"/>
    <n v="10003302.939999999"/>
    <x v="0"/>
    <x v="28"/>
    <x v="8"/>
  </r>
  <r>
    <s v="MR"/>
    <n v="2012000108"/>
    <x v="0"/>
    <n v="409010"/>
    <n v="900"/>
    <n v="101"/>
    <x v="0"/>
    <n v="12459717.949999999"/>
    <x v="0"/>
    <x v="29"/>
    <x v="8"/>
  </r>
  <r>
    <s v="MR"/>
    <n v="2012000138"/>
    <x v="1"/>
    <n v="409010"/>
    <n v="900"/>
    <n v="101"/>
    <x v="0"/>
    <n v="10194633.58"/>
    <x v="0"/>
    <x v="30"/>
    <x v="9"/>
  </r>
  <r>
    <s v="MR"/>
    <n v="2012000172"/>
    <x v="4"/>
    <n v="409010"/>
    <n v="900"/>
    <n v="101"/>
    <x v="0"/>
    <n v="11570533.32"/>
    <x v="0"/>
    <x v="31"/>
    <x v="8"/>
  </r>
  <r>
    <s v="MR"/>
    <n v="2012000207"/>
    <x v="5"/>
    <n v="409010"/>
    <n v="900"/>
    <n v="101"/>
    <x v="0"/>
    <n v="10853932.15"/>
    <x v="0"/>
    <x v="32"/>
    <x v="8"/>
  </r>
  <r>
    <s v="MR"/>
    <n v="2012000241"/>
    <x v="6"/>
    <n v="409010"/>
    <n v="900"/>
    <n v="101"/>
    <x v="0"/>
    <n v="9976545.2899999991"/>
    <x v="0"/>
    <x v="33"/>
    <x v="8"/>
  </r>
  <r>
    <s v="MR"/>
    <n v="2012000279"/>
    <x v="7"/>
    <n v="409010"/>
    <n v="900"/>
    <n v="101"/>
    <x v="0"/>
    <n v="9671704.4900000002"/>
    <x v="0"/>
    <x v="34"/>
    <x v="8"/>
  </r>
  <r>
    <s v="MR"/>
    <n v="2012000316"/>
    <x v="8"/>
    <n v="409010"/>
    <n v="900"/>
    <n v="101"/>
    <x v="0"/>
    <n v="5533509.7599999998"/>
    <x v="0"/>
    <x v="35"/>
    <x v="8"/>
  </r>
  <r>
    <s v="MR"/>
    <n v="2012000357"/>
    <x v="9"/>
    <n v="409010"/>
    <n v="900"/>
    <n v="101"/>
    <x v="0"/>
    <n v="9486559.6600000001"/>
    <x v="0"/>
    <x v="36"/>
    <x v="8"/>
  </r>
  <r>
    <s v="MR"/>
    <n v="2012000394"/>
    <x v="10"/>
    <n v="409010"/>
    <n v="900"/>
    <n v="101"/>
    <x v="0"/>
    <n v="10586270.16"/>
    <x v="0"/>
    <x v="37"/>
    <x v="8"/>
  </r>
  <r>
    <s v="MR"/>
    <n v="2012000423"/>
    <x v="11"/>
    <n v="409010"/>
    <n v="900"/>
    <n v="101"/>
    <x v="0"/>
    <n v="4191.58"/>
    <x v="0"/>
    <x v="38"/>
    <x v="4"/>
  </r>
  <r>
    <s v="MR"/>
    <n v="2012000427"/>
    <x v="11"/>
    <n v="409010"/>
    <n v="900"/>
    <n v="102"/>
    <x v="0"/>
    <n v="1478.01"/>
    <x v="0"/>
    <x v="1"/>
    <x v="10"/>
  </r>
  <r>
    <s v="MR"/>
    <n v="2012000442"/>
    <x v="11"/>
    <n v="409010"/>
    <n v="900"/>
    <n v="101"/>
    <x v="0"/>
    <n v="8389013.3399999999"/>
    <x v="0"/>
    <x v="39"/>
    <x v="8"/>
  </r>
  <r>
    <s v="R"/>
    <n v="2012000029"/>
    <x v="2"/>
    <n v="409010"/>
    <n v="900"/>
    <n v="101"/>
    <x v="0"/>
    <m/>
    <x v="11"/>
    <x v="40"/>
    <x v="8"/>
  </r>
  <r>
    <s v="R"/>
    <n v="2012000036"/>
    <x v="2"/>
    <n v="409010"/>
    <n v="900"/>
    <n v="101"/>
    <x v="0"/>
    <m/>
    <x v="12"/>
    <x v="41"/>
    <x v="11"/>
  </r>
  <r>
    <s v="R"/>
    <n v="2012000061"/>
    <x v="3"/>
    <n v="409010"/>
    <n v="900"/>
    <n v="101"/>
    <x v="0"/>
    <m/>
    <x v="13"/>
    <x v="42"/>
    <x v="8"/>
  </r>
  <r>
    <s v="R"/>
    <n v="2012000120"/>
    <x v="0"/>
    <n v="409010"/>
    <n v="900"/>
    <n v="101"/>
    <x v="0"/>
    <m/>
    <x v="14"/>
    <x v="43"/>
    <x v="8"/>
  </r>
  <r>
    <s v="R"/>
    <n v="2012000153"/>
    <x v="1"/>
    <n v="409010"/>
    <n v="900"/>
    <n v="101"/>
    <x v="0"/>
    <m/>
    <x v="15"/>
    <x v="44"/>
    <x v="8"/>
  </r>
  <r>
    <s v="R"/>
    <n v="2012000181"/>
    <x v="4"/>
    <n v="409010"/>
    <n v="900"/>
    <n v="101"/>
    <x v="0"/>
    <m/>
    <x v="16"/>
    <x v="45"/>
    <x v="9"/>
  </r>
  <r>
    <s v="R"/>
    <n v="2012000216"/>
    <x v="5"/>
    <n v="409010"/>
    <n v="900"/>
    <n v="101"/>
    <x v="0"/>
    <m/>
    <x v="17"/>
    <x v="46"/>
    <x v="8"/>
  </r>
  <r>
    <s v="R"/>
    <n v="2012000248"/>
    <x v="6"/>
    <n v="409010"/>
    <n v="900"/>
    <n v="101"/>
    <x v="0"/>
    <m/>
    <x v="18"/>
    <x v="47"/>
    <x v="8"/>
  </r>
  <r>
    <s v="R"/>
    <n v="2012000287"/>
    <x v="7"/>
    <n v="409010"/>
    <n v="900"/>
    <n v="101"/>
    <x v="0"/>
    <m/>
    <x v="19"/>
    <x v="48"/>
    <x v="8"/>
  </r>
  <r>
    <s v="R"/>
    <n v="2012000326"/>
    <x v="8"/>
    <n v="409010"/>
    <n v="900"/>
    <n v="101"/>
    <x v="0"/>
    <m/>
    <x v="20"/>
    <x v="49"/>
    <x v="8"/>
  </r>
  <r>
    <s v="R"/>
    <n v="2012000364"/>
    <x v="9"/>
    <n v="409010"/>
    <n v="900"/>
    <n v="101"/>
    <x v="0"/>
    <m/>
    <x v="21"/>
    <x v="50"/>
    <x v="8"/>
  </r>
  <r>
    <s v="R"/>
    <n v="2012000440"/>
    <x v="11"/>
    <n v="409010"/>
    <n v="900"/>
    <n v="101"/>
    <x v="0"/>
    <m/>
    <x v="22"/>
    <x v="51"/>
    <x v="8"/>
  </r>
  <r>
    <m/>
    <m/>
    <x v="12"/>
    <m/>
    <m/>
    <m/>
    <x v="1"/>
    <m/>
    <x v="0"/>
    <x v="52"/>
    <x v="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3">
  <r>
    <s v="I"/>
    <n v="2012003302"/>
    <x v="0"/>
    <n v="409010"/>
    <n v="900"/>
    <n v="101"/>
    <n v="4710"/>
    <n v="59801.9"/>
    <m/>
    <n v="59801.9"/>
    <x v="0"/>
  </r>
  <r>
    <s v="I"/>
    <n v="2012003969"/>
    <x v="1"/>
    <n v="409010"/>
    <n v="900"/>
    <n v="102"/>
    <n v="4710"/>
    <n v="1478.01"/>
    <m/>
    <n v="1478.01"/>
    <x v="1"/>
  </r>
  <r>
    <s v="I"/>
    <n v="2012004064"/>
    <x v="1"/>
    <n v="409010"/>
    <n v="900"/>
    <n v="101"/>
    <n v="4710"/>
    <n v="3395.48"/>
    <m/>
    <n v="3395.48"/>
    <x v="2"/>
  </r>
  <r>
    <s v="M"/>
    <n v="2012000055"/>
    <x v="2"/>
    <n v="409010"/>
    <n v="900"/>
    <n v="101"/>
    <n v="4710"/>
    <n v="18516306.559999999"/>
    <m/>
    <n v="18516306.559999999"/>
    <x v="3"/>
  </r>
  <r>
    <s v="M"/>
    <n v="2012000055"/>
    <x v="2"/>
    <n v="409010"/>
    <n v="900"/>
    <n v="101"/>
    <n v="4710"/>
    <m/>
    <n v="8939950.9700000007"/>
    <n v="-8939950.9700000007"/>
    <x v="3"/>
  </r>
  <r>
    <s v="M"/>
    <n v="2012000076"/>
    <x v="2"/>
    <n v="409010"/>
    <n v="900"/>
    <n v="101"/>
    <n v="4710"/>
    <n v="8663.0300000000007"/>
    <m/>
    <n v="8663.0300000000007"/>
    <x v="4"/>
  </r>
  <r>
    <s v="M"/>
    <n v="2012000150"/>
    <x v="3"/>
    <n v="409010"/>
    <n v="900"/>
    <n v="101"/>
    <n v="4710"/>
    <n v="17361119.23"/>
    <m/>
    <n v="17361119.23"/>
    <x v="3"/>
  </r>
  <r>
    <s v="M"/>
    <n v="2012000150"/>
    <x v="3"/>
    <n v="409010"/>
    <n v="900"/>
    <n v="101"/>
    <n v="4710"/>
    <m/>
    <n v="9048835.1600000001"/>
    <n v="-9048835.1600000001"/>
    <x v="3"/>
  </r>
  <r>
    <s v="M"/>
    <n v="2012000204"/>
    <x v="3"/>
    <n v="409010"/>
    <n v="900"/>
    <n v="101"/>
    <n v="4710"/>
    <n v="11784.42"/>
    <m/>
    <n v="11784.42"/>
    <x v="4"/>
  </r>
  <r>
    <s v="M"/>
    <n v="2012000308"/>
    <x v="0"/>
    <n v="409010"/>
    <n v="900"/>
    <n v="101"/>
    <n v="4710"/>
    <n v="18981108.32"/>
    <m/>
    <n v="18981108.32"/>
    <x v="3"/>
  </r>
  <r>
    <s v="M"/>
    <n v="2012000308"/>
    <x v="0"/>
    <n v="409010"/>
    <n v="900"/>
    <n v="101"/>
    <n v="4710"/>
    <m/>
    <n v="8905414.7899999991"/>
    <n v="-8905414.7899999991"/>
    <x v="3"/>
  </r>
  <r>
    <s v="M"/>
    <n v="2012000318"/>
    <x v="0"/>
    <n v="409010"/>
    <n v="900"/>
    <n v="101"/>
    <n v="4710"/>
    <n v="11784.42"/>
    <m/>
    <n v="11784.42"/>
    <x v="4"/>
  </r>
  <r>
    <s v="M"/>
    <n v="2012000568"/>
    <x v="1"/>
    <n v="409010"/>
    <n v="900"/>
    <n v="101"/>
    <n v="4710"/>
    <n v="11784.42"/>
    <m/>
    <n v="11784.42"/>
    <x v="4"/>
  </r>
  <r>
    <s v="M"/>
    <n v="2012000570"/>
    <x v="1"/>
    <n v="409010"/>
    <n v="900"/>
    <n v="101"/>
    <n v="4710"/>
    <n v="22973758.16"/>
    <m/>
    <n v="22973758.16"/>
    <x v="3"/>
  </r>
  <r>
    <s v="M"/>
    <n v="2012000570"/>
    <x v="1"/>
    <n v="409010"/>
    <n v="900"/>
    <n v="101"/>
    <n v="4710"/>
    <m/>
    <n v="10452039.91"/>
    <n v="-10452039.91"/>
    <x v="3"/>
  </r>
  <r>
    <s v="M"/>
    <n v="2012000684"/>
    <x v="4"/>
    <n v="409010"/>
    <n v="900"/>
    <n v="101"/>
    <n v="4710"/>
    <n v="20649284.41"/>
    <m/>
    <n v="20649284.41"/>
    <x v="3"/>
  </r>
  <r>
    <s v="M"/>
    <n v="2012000684"/>
    <x v="4"/>
    <n v="409010"/>
    <n v="900"/>
    <n v="101"/>
    <n v="4710"/>
    <m/>
    <n v="10364824.800000001"/>
    <n v="-10364824.800000001"/>
    <x v="3"/>
  </r>
  <r>
    <s v="M"/>
    <n v="2012000716"/>
    <x v="4"/>
    <n v="409010"/>
    <n v="900"/>
    <n v="101"/>
    <n v="4710"/>
    <n v="11784.42"/>
    <m/>
    <n v="11784.42"/>
    <x v="4"/>
  </r>
  <r>
    <s v="M"/>
    <n v="2012000889"/>
    <x v="5"/>
    <n v="409010"/>
    <n v="900"/>
    <n v="101"/>
    <n v="4710"/>
    <n v="11784.42"/>
    <m/>
    <n v="11784.42"/>
    <x v="4"/>
  </r>
  <r>
    <s v="M"/>
    <n v="2012000907"/>
    <x v="5"/>
    <n v="409010"/>
    <n v="900"/>
    <n v="101"/>
    <n v="4710"/>
    <n v="20785665.440000001"/>
    <m/>
    <n v="20785665.440000001"/>
    <x v="3"/>
  </r>
  <r>
    <s v="M"/>
    <n v="2012000907"/>
    <x v="5"/>
    <n v="409010"/>
    <n v="900"/>
    <n v="101"/>
    <n v="4710"/>
    <m/>
    <n v="9755158.4800000004"/>
    <n v="-9755158.4800000004"/>
    <x v="3"/>
  </r>
  <r>
    <s v="M"/>
    <n v="2012001035"/>
    <x v="6"/>
    <n v="409010"/>
    <n v="900"/>
    <n v="101"/>
    <n v="4710"/>
    <n v="11784.42"/>
    <m/>
    <n v="11784.42"/>
    <x v="4"/>
  </r>
  <r>
    <s v="M"/>
    <n v="2012001091"/>
    <x v="6"/>
    <n v="409010"/>
    <n v="900"/>
    <n v="101"/>
    <n v="4710"/>
    <n v="21749596.41"/>
    <m/>
    <n v="21749596.41"/>
    <x v="3"/>
  </r>
  <r>
    <s v="M"/>
    <n v="2012001091"/>
    <x v="6"/>
    <n v="409010"/>
    <n v="900"/>
    <n v="101"/>
    <n v="4710"/>
    <m/>
    <n v="11559803.15"/>
    <n v="-11559803.15"/>
    <x v="3"/>
  </r>
  <r>
    <s v="M"/>
    <n v="2012001320"/>
    <x v="7"/>
    <n v="409010"/>
    <n v="900"/>
    <n v="101"/>
    <n v="4710"/>
    <n v="11784.42"/>
    <m/>
    <n v="11784.42"/>
    <x v="4"/>
  </r>
  <r>
    <s v="M"/>
    <n v="2012001337"/>
    <x v="7"/>
    <n v="409010"/>
    <n v="900"/>
    <n v="101"/>
    <n v="4710"/>
    <n v="16531634.02"/>
    <m/>
    <n v="16531634.02"/>
    <x v="3"/>
  </r>
  <r>
    <s v="M"/>
    <n v="2012001337"/>
    <x v="7"/>
    <n v="409010"/>
    <n v="900"/>
    <n v="101"/>
    <n v="4710"/>
    <m/>
    <n v="11629960.92"/>
    <n v="-11629960.92"/>
    <x v="3"/>
  </r>
  <r>
    <s v="M"/>
    <n v="2012001373"/>
    <x v="8"/>
    <n v="409010"/>
    <n v="900"/>
    <n v="101"/>
    <n v="4710"/>
    <n v="18769405.859999999"/>
    <m/>
    <n v="18769405.859999999"/>
    <x v="3"/>
  </r>
  <r>
    <s v="M"/>
    <n v="2012001373"/>
    <x v="8"/>
    <n v="409010"/>
    <n v="900"/>
    <n v="101"/>
    <n v="4710"/>
    <m/>
    <n v="3749099.44"/>
    <n v="-3749099.44"/>
    <x v="3"/>
  </r>
  <r>
    <s v="M"/>
    <n v="2012001420"/>
    <x v="8"/>
    <n v="409010"/>
    <n v="900"/>
    <n v="101"/>
    <n v="4710"/>
    <n v="11784.42"/>
    <m/>
    <n v="11784.42"/>
    <x v="4"/>
  </r>
  <r>
    <s v="M"/>
    <n v="2012001650"/>
    <x v="9"/>
    <n v="409010"/>
    <n v="900"/>
    <n v="101"/>
    <n v="4710"/>
    <n v="4950595.22"/>
    <m/>
    <n v="4950595.22"/>
    <x v="3"/>
  </r>
  <r>
    <s v="M"/>
    <n v="2012001723"/>
    <x v="9"/>
    <n v="409010"/>
    <n v="900"/>
    <n v="101"/>
    <n v="4710"/>
    <n v="11784.42"/>
    <m/>
    <n v="11784.42"/>
    <x v="4"/>
  </r>
  <r>
    <s v="M"/>
    <n v="2012001826"/>
    <x v="10"/>
    <n v="409010"/>
    <n v="900"/>
    <n v="101"/>
    <n v="4710"/>
    <n v="10079182.07"/>
    <m/>
    <n v="10079182.07"/>
    <x v="3"/>
  </r>
  <r>
    <s v="M"/>
    <n v="2012001836"/>
    <x v="10"/>
    <n v="409010"/>
    <n v="900"/>
    <n v="101"/>
    <n v="4710"/>
    <n v="11784.42"/>
    <m/>
    <n v="11784.42"/>
    <x v="4"/>
  </r>
  <r>
    <s v="M"/>
    <n v="2012001908"/>
    <x v="10"/>
    <n v="409010"/>
    <n v="900"/>
    <n v="101"/>
    <n v="4710"/>
    <m/>
    <n v="9486559.6600000001"/>
    <n v="-9486559.6600000001"/>
    <x v="5"/>
  </r>
  <r>
    <s v="M"/>
    <n v="2012001947"/>
    <x v="11"/>
    <n v="409010"/>
    <n v="900"/>
    <n v="101"/>
    <n v="4710"/>
    <n v="10069717.32"/>
    <m/>
    <n v="10069717.32"/>
    <x v="3"/>
  </r>
  <r>
    <s v="M"/>
    <n v="2012002104"/>
    <x v="11"/>
    <n v="409010"/>
    <n v="900"/>
    <n v="101"/>
    <n v="4710"/>
    <n v="11784.42"/>
    <m/>
    <n v="11784.42"/>
    <x v="4"/>
  </r>
  <r>
    <s v="MR"/>
    <n v="2012000024"/>
    <x v="2"/>
    <n v="409010"/>
    <n v="900"/>
    <n v="101"/>
    <n v="4710"/>
    <n v="8529691.5299999993"/>
    <m/>
    <n v="8529691.5299999993"/>
    <x v="5"/>
  </r>
  <r>
    <s v="MR"/>
    <n v="2012000079"/>
    <x v="3"/>
    <n v="409010"/>
    <n v="900"/>
    <n v="101"/>
    <n v="4710"/>
    <n v="10003302.939999999"/>
    <m/>
    <n v="10003302.939999999"/>
    <x v="5"/>
  </r>
  <r>
    <s v="MR"/>
    <n v="2012000108"/>
    <x v="0"/>
    <n v="409010"/>
    <n v="900"/>
    <n v="101"/>
    <n v="4710"/>
    <n v="12459717.949999999"/>
    <m/>
    <n v="12459717.949999999"/>
    <x v="5"/>
  </r>
  <r>
    <s v="MR"/>
    <n v="2012000138"/>
    <x v="1"/>
    <n v="409010"/>
    <n v="900"/>
    <n v="101"/>
    <n v="4710"/>
    <n v="10194633.58"/>
    <m/>
    <n v="10194633.58"/>
    <x v="6"/>
  </r>
  <r>
    <s v="MR"/>
    <n v="2012000172"/>
    <x v="4"/>
    <n v="409010"/>
    <n v="900"/>
    <n v="101"/>
    <n v="4710"/>
    <n v="11570533.32"/>
    <m/>
    <n v="11570533.32"/>
    <x v="5"/>
  </r>
  <r>
    <s v="MR"/>
    <n v="2012000207"/>
    <x v="5"/>
    <n v="409010"/>
    <n v="900"/>
    <n v="101"/>
    <n v="4710"/>
    <n v="10853932.15"/>
    <m/>
    <n v="10853932.15"/>
    <x v="5"/>
  </r>
  <r>
    <s v="MR"/>
    <n v="2012000241"/>
    <x v="6"/>
    <n v="409010"/>
    <n v="900"/>
    <n v="101"/>
    <n v="4710"/>
    <n v="9976545.2899999991"/>
    <m/>
    <n v="9976545.2899999991"/>
    <x v="5"/>
  </r>
  <r>
    <s v="MR"/>
    <n v="2012000279"/>
    <x v="7"/>
    <n v="409010"/>
    <n v="900"/>
    <n v="101"/>
    <n v="4710"/>
    <n v="9671704.4900000002"/>
    <m/>
    <n v="9671704.4900000002"/>
    <x v="5"/>
  </r>
  <r>
    <s v="MR"/>
    <n v="2012000316"/>
    <x v="8"/>
    <n v="409010"/>
    <n v="900"/>
    <n v="101"/>
    <n v="4710"/>
    <n v="5533509.7599999998"/>
    <m/>
    <n v="5533509.7599999998"/>
    <x v="5"/>
  </r>
  <r>
    <s v="MR"/>
    <n v="2012000357"/>
    <x v="9"/>
    <n v="409010"/>
    <n v="900"/>
    <n v="101"/>
    <n v="4710"/>
    <n v="9486559.6600000001"/>
    <m/>
    <n v="9486559.6600000001"/>
    <x v="5"/>
  </r>
  <r>
    <s v="MR"/>
    <n v="2012000394"/>
    <x v="10"/>
    <n v="409010"/>
    <n v="900"/>
    <n v="101"/>
    <n v="4710"/>
    <n v="10586270.16"/>
    <m/>
    <n v="10586270.16"/>
    <x v="5"/>
  </r>
  <r>
    <s v="MR"/>
    <n v="2012000423"/>
    <x v="11"/>
    <n v="409010"/>
    <n v="900"/>
    <n v="101"/>
    <n v="4710"/>
    <n v="4191.58"/>
    <m/>
    <n v="4191.58"/>
    <x v="4"/>
  </r>
  <r>
    <s v="MR"/>
    <n v="2012000427"/>
    <x v="11"/>
    <n v="409010"/>
    <n v="900"/>
    <n v="102"/>
    <n v="4710"/>
    <n v="1478.01"/>
    <m/>
    <n v="1478.01"/>
    <x v="7"/>
  </r>
  <r>
    <s v="MR"/>
    <n v="2012000442"/>
    <x v="11"/>
    <n v="409010"/>
    <n v="900"/>
    <n v="101"/>
    <n v="4710"/>
    <n v="8389013.3399999999"/>
    <m/>
    <n v="8389013.3399999999"/>
    <x v="5"/>
  </r>
  <r>
    <s v="R"/>
    <n v="2012000029"/>
    <x v="2"/>
    <n v="409010"/>
    <n v="900"/>
    <n v="101"/>
    <n v="4710"/>
    <m/>
    <n v="8883625.6300000008"/>
    <n v="-8883625.6300000008"/>
    <x v="5"/>
  </r>
  <r>
    <s v="R"/>
    <n v="2012000036"/>
    <x v="2"/>
    <n v="409010"/>
    <n v="900"/>
    <n v="101"/>
    <n v="4710"/>
    <m/>
    <n v="169021.46"/>
    <n v="-169021.46"/>
    <x v="8"/>
  </r>
  <r>
    <s v="R"/>
    <n v="2012000061"/>
    <x v="3"/>
    <n v="409010"/>
    <n v="900"/>
    <n v="101"/>
    <n v="4710"/>
    <m/>
    <n v="8529691.5299999993"/>
    <n v="-8529691.5299999993"/>
    <x v="5"/>
  </r>
  <r>
    <s v="R"/>
    <n v="2012000120"/>
    <x v="0"/>
    <n v="409010"/>
    <n v="900"/>
    <n v="101"/>
    <n v="4710"/>
    <m/>
    <n v="10003302.939999999"/>
    <n v="-10003302.939999999"/>
    <x v="5"/>
  </r>
  <r>
    <s v="R"/>
    <n v="2012000153"/>
    <x v="1"/>
    <n v="409010"/>
    <n v="900"/>
    <n v="101"/>
    <n v="4710"/>
    <m/>
    <n v="12459717.949999999"/>
    <n v="-12459717.949999999"/>
    <x v="5"/>
  </r>
  <r>
    <s v="R"/>
    <n v="2012000181"/>
    <x v="4"/>
    <n v="409010"/>
    <n v="900"/>
    <n v="101"/>
    <n v="4710"/>
    <m/>
    <n v="10194633.58"/>
    <n v="-10194633.58"/>
    <x v="6"/>
  </r>
  <r>
    <s v="R"/>
    <n v="2012000216"/>
    <x v="5"/>
    <n v="409010"/>
    <n v="900"/>
    <n v="101"/>
    <n v="4710"/>
    <m/>
    <n v="11570533.32"/>
    <n v="-11570533.32"/>
    <x v="5"/>
  </r>
  <r>
    <s v="R"/>
    <n v="2012000248"/>
    <x v="6"/>
    <n v="409010"/>
    <n v="900"/>
    <n v="101"/>
    <n v="4710"/>
    <m/>
    <n v="10853932.15"/>
    <n v="-10853932.15"/>
    <x v="5"/>
  </r>
  <r>
    <s v="R"/>
    <n v="2012000287"/>
    <x v="7"/>
    <n v="409010"/>
    <n v="900"/>
    <n v="101"/>
    <n v="4710"/>
    <m/>
    <n v="9976545.2899999991"/>
    <n v="-9976545.2899999991"/>
    <x v="5"/>
  </r>
  <r>
    <s v="R"/>
    <n v="2012000326"/>
    <x v="8"/>
    <n v="409010"/>
    <n v="900"/>
    <n v="101"/>
    <n v="4710"/>
    <m/>
    <n v="9671704.4900000002"/>
    <n v="-9671704.4900000002"/>
    <x v="5"/>
  </r>
  <r>
    <s v="R"/>
    <n v="2012000364"/>
    <x v="9"/>
    <n v="409010"/>
    <n v="900"/>
    <n v="101"/>
    <n v="4710"/>
    <m/>
    <n v="5533509.7599999998"/>
    <n v="-5533509.7599999998"/>
    <x v="5"/>
  </r>
  <r>
    <s v="R"/>
    <n v="2012000440"/>
    <x v="11"/>
    <n v="409010"/>
    <n v="900"/>
    <n v="101"/>
    <n v="4710"/>
    <m/>
    <n v="10586270.16"/>
    <n v="-10586270.16"/>
    <x v="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8">
  <r>
    <s v="I"/>
    <n v="2014003466"/>
    <x v="0"/>
    <n v="409010"/>
    <n v="900"/>
    <n v="101"/>
    <x v="0"/>
    <n v="3772.38"/>
    <m/>
    <n v="3772.38"/>
    <x v="0"/>
  </r>
  <r>
    <s v="M"/>
    <n v="2014000043"/>
    <x v="1"/>
    <n v="409010"/>
    <n v="900"/>
    <n v="101"/>
    <x v="0"/>
    <n v="14000061.060000001"/>
    <m/>
    <n v="14000061.060000001"/>
    <x v="1"/>
  </r>
  <r>
    <s v="M"/>
    <n v="2014000045"/>
    <x v="1"/>
    <n v="409010"/>
    <n v="900"/>
    <n v="101"/>
    <x v="0"/>
    <n v="11419.55"/>
    <m/>
    <n v="11419.55"/>
    <x v="2"/>
  </r>
  <r>
    <s v="M"/>
    <n v="2014000313"/>
    <x v="2"/>
    <n v="409010"/>
    <n v="900"/>
    <n v="101"/>
    <x v="0"/>
    <n v="11419.55"/>
    <m/>
    <n v="11419.55"/>
    <x v="2"/>
  </r>
  <r>
    <s v="M"/>
    <n v="2014000331"/>
    <x v="2"/>
    <n v="409010"/>
    <n v="900"/>
    <n v="101"/>
    <x v="0"/>
    <n v="2642868.62"/>
    <m/>
    <n v="2642868.62"/>
    <x v="1"/>
  </r>
  <r>
    <s v="M"/>
    <n v="2014000448"/>
    <x v="0"/>
    <n v="409010"/>
    <n v="900"/>
    <n v="101"/>
    <x v="0"/>
    <n v="11419.55"/>
    <m/>
    <n v="11419.55"/>
    <x v="2"/>
  </r>
  <r>
    <s v="M"/>
    <n v="2014000449"/>
    <x v="0"/>
    <n v="409010"/>
    <n v="900"/>
    <n v="101"/>
    <x v="0"/>
    <n v="2606602.64"/>
    <m/>
    <n v="2606602.64"/>
    <x v="1"/>
  </r>
  <r>
    <s v="M"/>
    <n v="2014000562"/>
    <x v="0"/>
    <n v="409010"/>
    <n v="900"/>
    <n v="101"/>
    <x v="0"/>
    <m/>
    <n v="4108333.67"/>
    <n v="-4108333.67"/>
    <x v="3"/>
  </r>
  <r>
    <s v="M"/>
    <n v="2014000563"/>
    <x v="0"/>
    <n v="409010"/>
    <n v="900"/>
    <n v="101"/>
    <x v="0"/>
    <m/>
    <n v="121.02"/>
    <n v="-121.02"/>
    <x v="4"/>
  </r>
  <r>
    <s v="M"/>
    <n v="2014000564"/>
    <x v="0"/>
    <n v="409010"/>
    <n v="900"/>
    <n v="101"/>
    <x v="0"/>
    <m/>
    <n v="111.24"/>
    <n v="-111.24"/>
    <x v="5"/>
  </r>
  <r>
    <s v="MR"/>
    <n v="2014000035"/>
    <x v="1"/>
    <n v="409010"/>
    <n v="900"/>
    <n v="101"/>
    <x v="0"/>
    <n v="2625555.42"/>
    <m/>
    <n v="2625555.42"/>
    <x v="6"/>
  </r>
  <r>
    <s v="MR"/>
    <n v="2014000067"/>
    <x v="2"/>
    <n v="409010"/>
    <n v="900"/>
    <n v="101"/>
    <x v="0"/>
    <n v="2345022.29"/>
    <m/>
    <n v="2345022.29"/>
    <x v="6"/>
  </r>
  <r>
    <s v="MR"/>
    <n v="2014000100"/>
    <x v="0"/>
    <n v="409010"/>
    <n v="900"/>
    <n v="101"/>
    <x v="0"/>
    <m/>
    <n v="1547536.36"/>
    <n v="-1547536.36"/>
    <x v="7"/>
  </r>
  <r>
    <s v="R"/>
    <n v="2014000020"/>
    <x v="1"/>
    <n v="409010"/>
    <n v="900"/>
    <n v="101"/>
    <x v="0"/>
    <m/>
    <n v="10976550.310000001"/>
    <n v="-10976550.310000001"/>
    <x v="6"/>
  </r>
  <r>
    <s v="R"/>
    <n v="2014000060"/>
    <x v="2"/>
    <n v="409010"/>
    <n v="900"/>
    <n v="101"/>
    <x v="0"/>
    <m/>
    <n v="2625555.42"/>
    <n v="-2625555.42"/>
    <x v="6"/>
  </r>
  <r>
    <s v="R"/>
    <n v="2014000092"/>
    <x v="0"/>
    <n v="409010"/>
    <n v="900"/>
    <n v="101"/>
    <x v="0"/>
    <m/>
    <n v="2345022.29"/>
    <n v="-2345022.29"/>
    <x v="6"/>
  </r>
  <r>
    <s v="R"/>
    <n v="2014000125"/>
    <x v="3"/>
    <n v="409010"/>
    <n v="900"/>
    <n v="101"/>
    <x v="0"/>
    <n v="1547536.36"/>
    <m/>
    <n v="1547536.36"/>
    <x v="6"/>
  </r>
  <r>
    <m/>
    <m/>
    <x v="4"/>
    <m/>
    <m/>
    <m/>
    <x v="1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C18" firstHeaderRow="0" firstDataRow="1" firstDataCol="1"/>
  <pivotFields count="11"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  <pivotField axis="axisRow" showAll="0">
      <items count="10">
        <item h="1" x="5"/>
        <item h="1" x="6"/>
        <item h="1" x="7"/>
        <item h="1" x="4"/>
        <item h="1" x="1"/>
        <item h="1" x="2"/>
        <item m="1" x="8"/>
        <item x="0"/>
        <item h="1" x="3"/>
        <item t="default"/>
      </items>
    </pivotField>
  </pivotFields>
  <rowFields count="2">
    <field x="10"/>
    <field x="2"/>
  </rowFields>
  <rowItems count="14"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 Amount" fld="7" baseField="10" baseItem="0"/>
    <dataField name="Sum of Amount" fld="9" baseField="0" baseItem="0" numFmtId="165"/>
  </dataFields>
  <formats count="2">
    <format dxfId="9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9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C18" firstHeaderRow="0" firstDataRow="1" firstDataCol="1"/>
  <pivotFields count="11">
    <pivotField showAll="0"/>
    <pivotField showAll="0"/>
    <pivotField axis="axisRow" showAll="0" sortType="ascending">
      <items count="13">
        <item x="2"/>
        <item x="3"/>
        <item x="0"/>
        <item x="1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  <pivotField axis="axisRow" showAll="0" sortType="ascending">
      <items count="13">
        <item h="1" x="2"/>
        <item h="1" x="0"/>
        <item h="1" x="1"/>
        <item h="1" x="7"/>
        <item h="1" x="6"/>
        <item h="1" x="5"/>
        <item h="1" x="8"/>
        <item h="1" m="1" x="9"/>
        <item h="1" m="1" x="11"/>
        <item h="1" m="1" x="10"/>
        <item x="3"/>
        <item h="1" x="4"/>
        <item t="default"/>
      </items>
    </pivotField>
  </pivotFields>
  <rowFields count="2">
    <field x="10"/>
    <field x="2"/>
  </rowFields>
  <rowItems count="14"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 Amount" fld="7" baseField="10" baseItem="0"/>
    <dataField name="Sum of Amount" fld="9" baseField="0" baseItem="0" numFmtId="165"/>
  </dataFields>
  <formats count="2">
    <format dxfId="9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F26" firstHeaderRow="1" firstDataRow="2" firstDataCol="3"/>
  <pivotFields count="11">
    <pivotField compact="0" outline="0" showAll="0"/>
    <pivotField compact="0" outline="0" showAll="0"/>
    <pivotField axis="axisRow" compact="0" outline="0" showAll="0">
      <items count="6">
        <item x="1"/>
        <item x="2"/>
        <item x="0"/>
        <item x="4"/>
        <item x="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"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  <pivotField axis="axisRow" compact="0" outline="0" showAll="0">
      <items count="9">
        <item x="0"/>
        <item x="6"/>
        <item x="1"/>
        <item x="2"/>
        <item x="3"/>
        <item x="4"/>
        <item x="5"/>
        <item x="7"/>
        <item t="default"/>
      </items>
    </pivotField>
  </pivotFields>
  <rowFields count="3">
    <field x="2"/>
    <field x="6"/>
    <field x="10"/>
  </rowFields>
  <rowItems count="22">
    <i>
      <x/>
      <x/>
      <x v="1"/>
    </i>
    <i r="2">
      <x v="2"/>
    </i>
    <i r="2">
      <x v="3"/>
    </i>
    <i t="default">
      <x/>
    </i>
    <i>
      <x v="1"/>
      <x/>
      <x v="1"/>
    </i>
    <i r="2">
      <x v="2"/>
    </i>
    <i r="2">
      <x v="3"/>
    </i>
    <i t="default">
      <x v="1"/>
    </i>
    <i>
      <x v="2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t="default">
      <x v="2"/>
    </i>
    <i>
      <x v="3"/>
      <x v="1"/>
      <x v="3"/>
    </i>
    <i t="default">
      <x v="3"/>
    </i>
    <i>
      <x v="4"/>
      <x/>
      <x v="1"/>
    </i>
    <i t="default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Debit Amount" fld="7" baseField="10" baseItem="1" numFmtId="4"/>
    <dataField name="Sum of Credit Amount" fld="8" baseField="10" baseItem="1" numFmtId="4"/>
    <dataField name="Sum of Amount" fld="9" baseField="10" baseItem="1" numFmtId="4"/>
  </dataFields>
  <formats count="4">
    <format dxfId="88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6" count="1" selected="0">
            <x v="0"/>
          </reference>
          <reference field="10" count="1" selected="0">
            <x v="1"/>
          </reference>
        </references>
      </pivotArea>
    </format>
    <format dxfId="87">
      <pivotArea outline="0" collapsedLevelsAreSubtotals="1" fieldPosition="0">
        <references count="4">
          <reference field="4294967294" count="1" selected="0">
            <x v="1"/>
          </reference>
          <reference field="2" count="1" selected="0">
            <x v="1"/>
          </reference>
          <reference field="6" count="1" selected="0">
            <x v="0"/>
          </reference>
          <reference field="10" count="1" selected="0">
            <x v="1"/>
          </reference>
        </references>
      </pivotArea>
    </format>
    <format dxfId="86">
      <pivotArea outline="0" collapsedLevelsAreSubtotals="1" fieldPosition="0">
        <references count="4">
          <reference field="4294967294" count="1" selected="0">
            <x v="1"/>
          </reference>
          <reference field="2" count="1" selected="0">
            <x v="2"/>
          </reference>
          <reference field="6" count="1" selected="0">
            <x v="0"/>
          </reference>
          <reference field="10" count="1" selected="0">
            <x v="1"/>
          </reference>
        </references>
      </pivotArea>
    </format>
    <format dxfId="85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6" count="1" selected="0">
            <x v="0"/>
          </reference>
          <reference field="10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useAutoFormatting="1" itemPrintTitles="1" createdVersion="4" indent="0" compact="0" compactData="0" gridDropZones="1" multipleFieldFilters="0">
  <location ref="A3:F59" firstHeaderRow="1" firstDataRow="2" firstDataCol="3"/>
  <pivotFields count="11">
    <pivotField compact="0" outline="0" showAll="0"/>
    <pivotField compact="0" outline="0" showAl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h="1"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axis="axisRow" compact="0" outline="0" showAll="0">
      <items count="10">
        <item x="5"/>
        <item x="6"/>
        <item x="8"/>
        <item x="4"/>
        <item x="2"/>
        <item x="7"/>
        <item x="0"/>
        <item x="3"/>
        <item x="1"/>
        <item t="default"/>
      </items>
    </pivotField>
  </pivotFields>
  <rowFields count="3">
    <field x="2"/>
    <field x="6"/>
    <field x="10"/>
  </rowFields>
  <rowItems count="55">
    <i>
      <x/>
      <x/>
      <x v="3"/>
    </i>
    <i r="2">
      <x v="4"/>
    </i>
    <i r="2">
      <x v="6"/>
    </i>
    <i r="2">
      <x v="7"/>
    </i>
    <i r="2">
      <x v="8"/>
    </i>
    <i t="default" r="1">
      <x/>
    </i>
    <i>
      <x v="1"/>
      <x/>
      <x v="4"/>
    </i>
    <i r="2">
      <x v="6"/>
    </i>
    <i r="2">
      <x v="8"/>
    </i>
    <i t="default" r="1">
      <x/>
    </i>
    <i>
      <x v="2"/>
      <x/>
      <x v="4"/>
    </i>
    <i r="2">
      <x v="6"/>
    </i>
    <i r="2">
      <x v="8"/>
    </i>
    <i t="default" r="1">
      <x/>
    </i>
    <i>
      <x v="3"/>
      <x/>
      <x v="4"/>
    </i>
    <i r="2">
      <x v="6"/>
    </i>
    <i r="2">
      <x v="8"/>
    </i>
    <i t="default" r="1">
      <x/>
    </i>
    <i>
      <x v="4"/>
      <x/>
      <x v="4"/>
    </i>
    <i r="2">
      <x v="6"/>
    </i>
    <i r="2">
      <x v="8"/>
    </i>
    <i t="default" r="1">
      <x/>
    </i>
    <i>
      <x v="5"/>
      <x/>
      <x/>
    </i>
    <i r="2">
      <x v="4"/>
    </i>
    <i r="2">
      <x v="6"/>
    </i>
    <i r="2">
      <x v="8"/>
    </i>
    <i t="default" r="1">
      <x/>
    </i>
    <i>
      <x v="6"/>
      <x/>
      <x v="1"/>
    </i>
    <i r="2">
      <x v="4"/>
    </i>
    <i r="2">
      <x v="5"/>
    </i>
    <i r="2">
      <x v="8"/>
    </i>
    <i t="default" r="1">
      <x/>
    </i>
    <i>
      <x v="7"/>
      <x/>
      <x v="4"/>
    </i>
    <i r="2">
      <x v="6"/>
    </i>
    <i r="2">
      <x v="8"/>
    </i>
    <i t="default" r="1">
      <x/>
    </i>
    <i>
      <x v="8"/>
      <x/>
      <x/>
    </i>
    <i r="2">
      <x v="2"/>
    </i>
    <i r="2">
      <x v="4"/>
    </i>
    <i r="2">
      <x v="6"/>
    </i>
    <i r="2">
      <x v="8"/>
    </i>
    <i t="default" r="1">
      <x/>
    </i>
    <i>
      <x v="9"/>
      <x/>
      <x v="4"/>
    </i>
    <i r="2">
      <x v="6"/>
    </i>
    <i r="2">
      <x v="8"/>
    </i>
    <i t="default" r="1">
      <x/>
    </i>
    <i>
      <x v="10"/>
      <x/>
      <x v="4"/>
    </i>
    <i r="2">
      <x v="6"/>
    </i>
    <i r="2">
      <x v="8"/>
    </i>
    <i t="default" r="1">
      <x/>
    </i>
    <i>
      <x v="11"/>
      <x/>
      <x v="4"/>
    </i>
    <i r="2">
      <x v="6"/>
    </i>
    <i r="2">
      <x v="8"/>
    </i>
    <i t="default"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Debit Amount" fld="7" baseField="6" baseItem="0" numFmtId="4"/>
    <dataField name="Sum of Credit Amount" fld="8" baseField="6" baseItem="0" numFmtId="4"/>
    <dataField name="Sum of Amount" fld="9" baseField="6" baseItem="0" numFmtId="4"/>
  </dataFields>
  <formats count="48">
    <format dxfId="84">
      <pivotArea outline="0" collapsedLevelsAreSubtotals="1" fieldPosition="0">
        <references count="2">
          <reference field="2" count="1" selected="0">
            <x v="0"/>
          </reference>
          <reference field="6" count="1" selected="0" defaultSubtotal="1">
            <x v="0"/>
          </reference>
        </references>
      </pivotArea>
    </format>
    <format dxfId="83">
      <pivotArea dataOnly="0" labelOnly="1" outline="0" offset="IV256" fieldPosition="0">
        <references count="1">
          <reference field="2" count="1">
            <x v="0"/>
          </reference>
        </references>
      </pivotArea>
    </format>
    <format dxfId="82">
      <pivotArea dataOnly="0" labelOnly="1" outline="0" fieldPosition="0">
        <references count="2">
          <reference field="2" count="1" selected="0">
            <x v="0"/>
          </reference>
          <reference field="6" count="1" defaultSubtotal="1">
            <x v="0"/>
          </reference>
        </references>
      </pivotArea>
    </format>
    <format dxfId="81">
      <pivotArea outline="0" collapsedLevelsAreSubtotals="1" fieldPosition="0">
        <references count="2">
          <reference field="2" count="1" selected="0">
            <x v="1"/>
          </reference>
          <reference field="6" count="1" selected="0" defaultSubtotal="1">
            <x v="0"/>
          </reference>
        </references>
      </pivotArea>
    </format>
    <format dxfId="80">
      <pivotArea dataOnly="0" labelOnly="1" outline="0" offset="IV256" fieldPosition="0">
        <references count="1">
          <reference field="2" count="1">
            <x v="1"/>
          </reference>
        </references>
      </pivotArea>
    </format>
    <format dxfId="79">
      <pivotArea dataOnly="0" labelOnly="1" outline="0" fieldPosition="0">
        <references count="2">
          <reference field="2" count="1" selected="0">
            <x v="1"/>
          </reference>
          <reference field="6" count="1" defaultSubtotal="1">
            <x v="0"/>
          </reference>
        </references>
      </pivotArea>
    </format>
    <format dxfId="78">
      <pivotArea outline="0" collapsedLevelsAreSubtotals="1" fieldPosition="0">
        <references count="2">
          <reference field="2" count="1" selected="0">
            <x v="2"/>
          </reference>
          <reference field="6" count="1" selected="0" defaultSubtotal="1">
            <x v="0"/>
          </reference>
        </references>
      </pivotArea>
    </format>
    <format dxfId="77">
      <pivotArea dataOnly="0" labelOnly="1" outline="0" offset="IV256" fieldPosition="0">
        <references count="1">
          <reference field="2" count="1">
            <x v="2"/>
          </reference>
        </references>
      </pivotArea>
    </format>
    <format dxfId="76">
      <pivotArea dataOnly="0" labelOnly="1" outline="0" fieldPosition="0">
        <references count="2">
          <reference field="2" count="1" selected="0">
            <x v="2"/>
          </reference>
          <reference field="6" count="1" defaultSubtotal="1">
            <x v="0"/>
          </reference>
        </references>
      </pivotArea>
    </format>
    <format dxfId="75">
      <pivotArea outline="0" collapsedLevelsAreSubtotals="1" fieldPosition="0">
        <references count="2">
          <reference field="2" count="1" selected="0">
            <x v="3"/>
          </reference>
          <reference field="6" count="1" selected="0" defaultSubtotal="1">
            <x v="0"/>
          </reference>
        </references>
      </pivotArea>
    </format>
    <format dxfId="74">
      <pivotArea dataOnly="0" labelOnly="1" outline="0" offset="IV256" fieldPosition="0">
        <references count="1">
          <reference field="2" count="1">
            <x v="3"/>
          </reference>
        </references>
      </pivotArea>
    </format>
    <format dxfId="73">
      <pivotArea dataOnly="0" labelOnly="1" outline="0" fieldPosition="0">
        <references count="2">
          <reference field="2" count="1" selected="0">
            <x v="3"/>
          </reference>
          <reference field="6" count="1" defaultSubtotal="1">
            <x v="0"/>
          </reference>
        </references>
      </pivotArea>
    </format>
    <format dxfId="72">
      <pivotArea outline="0" collapsedLevelsAreSubtotals="1" fieldPosition="0">
        <references count="2">
          <reference field="2" count="1" selected="0">
            <x v="4"/>
          </reference>
          <reference field="6" count="1" selected="0" defaultSubtotal="1">
            <x v="0"/>
          </reference>
        </references>
      </pivotArea>
    </format>
    <format dxfId="71">
      <pivotArea dataOnly="0" labelOnly="1" outline="0" offset="IV256" fieldPosition="0">
        <references count="1">
          <reference field="2" count="1">
            <x v="4"/>
          </reference>
        </references>
      </pivotArea>
    </format>
    <format dxfId="70">
      <pivotArea dataOnly="0" labelOnly="1" outline="0" fieldPosition="0">
        <references count="2">
          <reference field="2" count="1" selected="0">
            <x v="4"/>
          </reference>
          <reference field="6" count="1" defaultSubtotal="1">
            <x v="0"/>
          </reference>
        </references>
      </pivotArea>
    </format>
    <format dxfId="69">
      <pivotArea outline="0" collapsedLevelsAreSubtotals="1" fieldPosition="0">
        <references count="2">
          <reference field="2" count="1" selected="0">
            <x v="5"/>
          </reference>
          <reference field="6" count="1" selected="0" defaultSubtotal="1">
            <x v="0"/>
          </reference>
        </references>
      </pivotArea>
    </format>
    <format dxfId="68">
      <pivotArea dataOnly="0" labelOnly="1" outline="0" offset="IV256" fieldPosition="0">
        <references count="1">
          <reference field="2" count="1">
            <x v="5"/>
          </reference>
        </references>
      </pivotArea>
    </format>
    <format dxfId="67">
      <pivotArea dataOnly="0" labelOnly="1" outline="0" fieldPosition="0">
        <references count="2">
          <reference field="2" count="1" selected="0">
            <x v="5"/>
          </reference>
          <reference field="6" count="1" defaultSubtotal="1">
            <x v="0"/>
          </reference>
        </references>
      </pivotArea>
    </format>
    <format dxfId="66">
      <pivotArea outline="0" collapsedLevelsAreSubtotals="1" fieldPosition="0">
        <references count="2">
          <reference field="2" count="1" selected="0">
            <x v="6"/>
          </reference>
          <reference field="6" count="1" selected="0" defaultSubtotal="1">
            <x v="0"/>
          </reference>
        </references>
      </pivotArea>
    </format>
    <format dxfId="65">
      <pivotArea dataOnly="0" labelOnly="1" outline="0" offset="IV256" fieldPosition="0">
        <references count="1">
          <reference field="2" count="1">
            <x v="6"/>
          </reference>
        </references>
      </pivotArea>
    </format>
    <format dxfId="64">
      <pivotArea dataOnly="0" labelOnly="1" outline="0" fieldPosition="0">
        <references count="2">
          <reference field="2" count="1" selected="0">
            <x v="6"/>
          </reference>
          <reference field="6" count="1" defaultSubtotal="1">
            <x v="0"/>
          </reference>
        </references>
      </pivotArea>
    </format>
    <format dxfId="63">
      <pivotArea outline="0" collapsedLevelsAreSubtotals="1" fieldPosition="0">
        <references count="2">
          <reference field="2" count="1" selected="0">
            <x v="7"/>
          </reference>
          <reference field="6" count="1" selected="0" defaultSubtotal="1">
            <x v="0"/>
          </reference>
        </references>
      </pivotArea>
    </format>
    <format dxfId="62">
      <pivotArea dataOnly="0" labelOnly="1" outline="0" offset="IV256" fieldPosition="0">
        <references count="1">
          <reference field="2" count="1">
            <x v="7"/>
          </reference>
        </references>
      </pivotArea>
    </format>
    <format dxfId="61">
      <pivotArea dataOnly="0" labelOnly="1" outline="0" fieldPosition="0">
        <references count="2">
          <reference field="2" count="1" selected="0">
            <x v="7"/>
          </reference>
          <reference field="6" count="1" defaultSubtotal="1">
            <x v="0"/>
          </reference>
        </references>
      </pivotArea>
    </format>
    <format dxfId="60">
      <pivotArea outline="0" collapsedLevelsAreSubtotals="1" fieldPosition="0">
        <references count="2">
          <reference field="2" count="1" selected="0">
            <x v="8"/>
          </reference>
          <reference field="6" count="1" selected="0" defaultSubtotal="1">
            <x v="0"/>
          </reference>
        </references>
      </pivotArea>
    </format>
    <format dxfId="59">
      <pivotArea dataOnly="0" labelOnly="1" outline="0" offset="IV256" fieldPosition="0">
        <references count="1">
          <reference field="2" count="1">
            <x v="8"/>
          </reference>
        </references>
      </pivotArea>
    </format>
    <format dxfId="58">
      <pivotArea dataOnly="0" labelOnly="1" outline="0" fieldPosition="0">
        <references count="2">
          <reference field="2" count="1" selected="0">
            <x v="8"/>
          </reference>
          <reference field="6" count="1" defaultSubtotal="1">
            <x v="0"/>
          </reference>
        </references>
      </pivotArea>
    </format>
    <format dxfId="57">
      <pivotArea outline="0" collapsedLevelsAreSubtotals="1" fieldPosition="0">
        <references count="2">
          <reference field="2" count="1" selected="0">
            <x v="9"/>
          </reference>
          <reference field="6" count="1" selected="0" defaultSubtotal="1">
            <x v="0"/>
          </reference>
        </references>
      </pivotArea>
    </format>
    <format dxfId="56">
      <pivotArea dataOnly="0" labelOnly="1" outline="0" offset="IV256" fieldPosition="0">
        <references count="1">
          <reference field="2" count="1">
            <x v="9"/>
          </reference>
        </references>
      </pivotArea>
    </format>
    <format dxfId="55">
      <pivotArea dataOnly="0" labelOnly="1" outline="0" fieldPosition="0">
        <references count="2">
          <reference field="2" count="1" selected="0">
            <x v="9"/>
          </reference>
          <reference field="6" count="1" defaultSubtotal="1">
            <x v="0"/>
          </reference>
        </references>
      </pivotArea>
    </format>
    <format dxfId="54">
      <pivotArea outline="0" collapsedLevelsAreSubtotals="1" fieldPosition="0">
        <references count="2">
          <reference field="2" count="1" selected="0">
            <x v="10"/>
          </reference>
          <reference field="6" count="1" selected="0" defaultSubtotal="1">
            <x v="0"/>
          </reference>
        </references>
      </pivotArea>
    </format>
    <format dxfId="53">
      <pivotArea dataOnly="0" labelOnly="1" outline="0" offset="IV256" fieldPosition="0">
        <references count="1">
          <reference field="2" count="1">
            <x v="10"/>
          </reference>
        </references>
      </pivotArea>
    </format>
    <format dxfId="52">
      <pivotArea dataOnly="0" labelOnly="1" outline="0" fieldPosition="0">
        <references count="2">
          <reference field="2" count="1" selected="0">
            <x v="10"/>
          </reference>
          <reference field="6" count="1" defaultSubtotal="1">
            <x v="0"/>
          </reference>
        </references>
      </pivotArea>
    </format>
    <format dxfId="51">
      <pivotArea outline="0" collapsedLevelsAreSubtotals="1" fieldPosition="0">
        <references count="2">
          <reference field="2" count="1" selected="0">
            <x v="11"/>
          </reference>
          <reference field="6" count="1" selected="0" defaultSubtotal="1">
            <x v="0"/>
          </reference>
        </references>
      </pivotArea>
    </format>
    <format dxfId="50">
      <pivotArea dataOnly="0" labelOnly="1" outline="0" offset="IV256" fieldPosition="0">
        <references count="1">
          <reference field="2" count="1">
            <x v="11"/>
          </reference>
        </references>
      </pivotArea>
    </format>
    <format dxfId="49">
      <pivotArea dataOnly="0" labelOnly="1" outline="0" fieldPosition="0">
        <references count="2">
          <reference field="2" count="1" selected="0">
            <x v="11"/>
          </reference>
          <reference field="6" count="1" defaultSubtotal="1">
            <x v="0"/>
          </reference>
        </references>
      </pivotArea>
    </format>
    <format dxfId="48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6" count="0" selected="0"/>
          <reference field="10" count="1" selected="0">
            <x v="6"/>
          </reference>
        </references>
      </pivotArea>
    </format>
    <format dxfId="47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6" count="0" selected="0"/>
          <reference field="10" count="1" selected="0">
            <x v="6"/>
          </reference>
        </references>
      </pivotArea>
    </format>
    <format dxfId="46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2"/>
          </reference>
          <reference field="6" count="0" selected="0"/>
          <reference field="10" count="1" selected="0">
            <x v="6"/>
          </reference>
        </references>
      </pivotArea>
    </format>
    <format dxfId="45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3"/>
          </reference>
          <reference field="6" count="0" selected="0"/>
          <reference field="10" count="1" selected="0">
            <x v="6"/>
          </reference>
        </references>
      </pivotArea>
    </format>
    <format dxfId="44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4"/>
          </reference>
          <reference field="6" count="0" selected="0"/>
          <reference field="10" count="1" selected="0">
            <x v="6"/>
          </reference>
        </references>
      </pivotArea>
    </format>
    <format dxfId="43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5"/>
          </reference>
          <reference field="6" count="0" selected="0"/>
          <reference field="10" count="1" selected="0">
            <x v="6"/>
          </reference>
        </references>
      </pivotArea>
    </format>
    <format dxfId="42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6"/>
          </reference>
          <reference field="6" count="0" selected="0"/>
          <reference field="10" count="1" selected="0">
            <x v="5"/>
          </reference>
        </references>
      </pivotArea>
    </format>
    <format dxfId="41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7"/>
          </reference>
          <reference field="6" count="0" selected="0"/>
          <reference field="10" count="1" selected="0">
            <x v="6"/>
          </reference>
        </references>
      </pivotArea>
    </format>
    <format dxfId="40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8"/>
          </reference>
          <reference field="6" count="0" selected="0"/>
          <reference field="10" count="1" selected="0">
            <x v="4"/>
          </reference>
        </references>
      </pivotArea>
    </format>
    <format dxfId="39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9"/>
          </reference>
          <reference field="6" count="0" selected="0"/>
          <reference field="10" count="1" selected="0">
            <x v="6"/>
          </reference>
        </references>
      </pivotArea>
    </format>
    <format dxfId="38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10"/>
          </reference>
          <reference field="6" count="0" selected="0"/>
          <reference field="10" count="1" selected="0">
            <x v="6"/>
          </reference>
        </references>
      </pivotArea>
    </format>
    <format dxfId="37">
      <pivotArea outline="0" collapsedLevelsAreSubtotals="1" fieldPosition="0">
        <references count="4">
          <reference field="4294967294" count="1" selected="0">
            <x v="0"/>
          </reference>
          <reference field="2" count="1" selected="0">
            <x v="11"/>
          </reference>
          <reference field="6" count="0" selected="0"/>
          <reference field="10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F60" firstHeaderRow="1" firstDataRow="2" firstDataCol="3"/>
  <pivotFields count="11">
    <pivotField compact="0" outline="0" showAll="0"/>
    <pivotField compact="0" outline="0" showAll="0"/>
    <pivotField axis="axisRow" compact="0" outline="0" showAll="0" defaultSubtotal="0">
      <items count="13">
        <item x="2"/>
        <item x="3"/>
        <item x="0"/>
        <item x="1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h="1" x="1"/>
        <item t="default"/>
      </items>
    </pivotField>
    <pivotField dataField="1" compact="0" outline="0" showAll="0"/>
    <pivotField dataField="1" compact="0" outline="0" showAll="0">
      <items count="24">
        <item x="12"/>
        <item x="9"/>
        <item x="21"/>
        <item x="13"/>
        <item x="11"/>
        <item x="3"/>
        <item x="1"/>
        <item x="2"/>
        <item x="10"/>
        <item x="20"/>
        <item x="6"/>
        <item x="19"/>
        <item x="14"/>
        <item x="16"/>
        <item x="5"/>
        <item x="4"/>
        <item x="22"/>
        <item x="18"/>
        <item x="7"/>
        <item x="17"/>
        <item x="8"/>
        <item x="15"/>
        <item x="0"/>
        <item t="default"/>
      </items>
    </pivotField>
    <pivotField dataField="1" compact="0" outline="0" showAll="0">
      <items count="54">
        <item x="44"/>
        <item x="20"/>
        <item x="46"/>
        <item x="18"/>
        <item x="47"/>
        <item x="51"/>
        <item x="12"/>
        <item x="14"/>
        <item x="45"/>
        <item x="43"/>
        <item x="48"/>
        <item x="16"/>
        <item x="49"/>
        <item x="25"/>
        <item x="7"/>
        <item x="4"/>
        <item x="10"/>
        <item x="40"/>
        <item x="42"/>
        <item x="50"/>
        <item x="22"/>
        <item x="41"/>
        <item x="1"/>
        <item x="2"/>
        <item x="38"/>
        <item x="5"/>
        <item x="8"/>
        <item x="0"/>
        <item x="23"/>
        <item x="35"/>
        <item x="39"/>
        <item x="27"/>
        <item x="36"/>
        <item x="34"/>
        <item x="33"/>
        <item x="28"/>
        <item x="26"/>
        <item x="24"/>
        <item x="30"/>
        <item x="37"/>
        <item x="32"/>
        <item x="31"/>
        <item x="29"/>
        <item x="19"/>
        <item x="6"/>
        <item x="3"/>
        <item x="21"/>
        <item x="9"/>
        <item x="13"/>
        <item x="15"/>
        <item x="17"/>
        <item x="11"/>
        <item x="52"/>
        <item t="default"/>
      </items>
    </pivotField>
    <pivotField axis="axisRow" compact="0" outline="0" showAll="0">
      <items count="13">
        <item x="2"/>
        <item x="0"/>
        <item x="1"/>
        <item x="10"/>
        <item x="9"/>
        <item x="8"/>
        <item x="11"/>
        <item x="7"/>
        <item x="5"/>
        <item x="6"/>
        <item x="3"/>
        <item x="4"/>
        <item t="default"/>
      </items>
    </pivotField>
  </pivotFields>
  <rowFields count="3">
    <field x="2"/>
    <field x="6"/>
    <field x="10"/>
  </rowFields>
  <rowItems count="56">
    <i>
      <x/>
      <x/>
      <x v="5"/>
    </i>
    <i r="2">
      <x v="6"/>
    </i>
    <i r="2">
      <x v="10"/>
    </i>
    <i r="2">
      <x v="11"/>
    </i>
    <i t="default" r="1">
      <x/>
    </i>
    <i>
      <x v="1"/>
      <x/>
      <x v="5"/>
    </i>
    <i r="2">
      <x v="10"/>
    </i>
    <i r="2">
      <x v="11"/>
    </i>
    <i t="default" r="1">
      <x/>
    </i>
    <i>
      <x v="2"/>
      <x/>
      <x v="1"/>
    </i>
    <i r="2">
      <x v="5"/>
    </i>
    <i r="2">
      <x v="8"/>
    </i>
    <i r="2">
      <x v="11"/>
    </i>
    <i t="default" r="1">
      <x/>
    </i>
    <i>
      <x v="3"/>
      <x/>
      <x/>
    </i>
    <i r="2">
      <x v="2"/>
    </i>
    <i r="2">
      <x v="4"/>
    </i>
    <i r="2">
      <x v="5"/>
    </i>
    <i r="2">
      <x v="9"/>
    </i>
    <i r="2">
      <x v="11"/>
    </i>
    <i t="default" r="1">
      <x/>
    </i>
    <i>
      <x v="4"/>
      <x/>
      <x v="4"/>
    </i>
    <i r="2">
      <x v="5"/>
    </i>
    <i r="2">
      <x v="7"/>
    </i>
    <i r="2">
      <x v="11"/>
    </i>
    <i t="default" r="1">
      <x/>
    </i>
    <i>
      <x v="5"/>
      <x/>
      <x v="5"/>
    </i>
    <i r="2">
      <x v="10"/>
    </i>
    <i r="2">
      <x v="11"/>
    </i>
    <i t="default" r="1">
      <x/>
    </i>
    <i>
      <x v="6"/>
      <x/>
      <x v="5"/>
    </i>
    <i r="2">
      <x v="10"/>
    </i>
    <i r="2">
      <x v="11"/>
    </i>
    <i t="default" r="1">
      <x/>
    </i>
    <i>
      <x v="7"/>
      <x/>
      <x v="5"/>
    </i>
    <i r="2">
      <x v="10"/>
    </i>
    <i r="2">
      <x v="11"/>
    </i>
    <i t="default" r="1">
      <x/>
    </i>
    <i>
      <x v="8"/>
      <x/>
      <x v="5"/>
    </i>
    <i r="2">
      <x v="10"/>
    </i>
    <i r="2">
      <x v="11"/>
    </i>
    <i t="default" r="1">
      <x/>
    </i>
    <i>
      <x v="9"/>
      <x/>
      <x v="5"/>
    </i>
    <i r="2">
      <x v="10"/>
    </i>
    <i r="2">
      <x v="11"/>
    </i>
    <i t="default" r="1">
      <x/>
    </i>
    <i>
      <x v="10"/>
      <x/>
      <x v="5"/>
    </i>
    <i r="2">
      <x v="10"/>
    </i>
    <i r="2">
      <x v="11"/>
    </i>
    <i t="default" r="1">
      <x/>
    </i>
    <i>
      <x v="11"/>
      <x/>
      <x v="3"/>
    </i>
    <i r="2">
      <x v="5"/>
    </i>
    <i r="2">
      <x v="10"/>
    </i>
    <i r="2">
      <x v="11"/>
    </i>
    <i t="default"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Debit Amount" fld="7" baseField="6" baseItem="0" numFmtId="4"/>
    <dataField name="Sum of Credit Amount" fld="8" baseField="6" baseItem="0" numFmtId="4"/>
    <dataField name="Sum of Amount" fld="9" baseField="6" baseItem="0" numFmtId="4"/>
  </dataFields>
  <formats count="37">
    <format dxfId="36">
      <pivotArea outline="0" collapsedLevelsAreSubtotals="1" fieldPosition="0">
        <references count="2">
          <reference field="2" count="1" selected="0">
            <x v="0"/>
          </reference>
          <reference field="6" count="1" selected="0" defaultSubtotal="1">
            <x v="0"/>
          </reference>
        </references>
      </pivotArea>
    </format>
    <format dxfId="35">
      <pivotArea dataOnly="0" labelOnly="1" outline="0" offset="IV256" fieldPosition="0">
        <references count="1">
          <reference field="2" count="1">
            <x v="0"/>
          </reference>
        </references>
      </pivotArea>
    </format>
    <format dxfId="34">
      <pivotArea dataOnly="0" labelOnly="1" outline="0" fieldPosition="0">
        <references count="2">
          <reference field="2" count="1" selected="0">
            <x v="0"/>
          </reference>
          <reference field="6" count="1" defaultSubtotal="1">
            <x v="0"/>
          </reference>
        </references>
      </pivotArea>
    </format>
    <format dxfId="33">
      <pivotArea outline="0" collapsedLevelsAreSubtotals="1" fieldPosition="0">
        <references count="2">
          <reference field="2" count="1" selected="0">
            <x v="1"/>
          </reference>
          <reference field="6" count="1" selected="0" defaultSubtotal="1">
            <x v="0"/>
          </reference>
        </references>
      </pivotArea>
    </format>
    <format dxfId="32">
      <pivotArea dataOnly="0" labelOnly="1" outline="0" offset="IV256" fieldPosition="0">
        <references count="1">
          <reference field="2" count="1">
            <x v="1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1"/>
          </reference>
          <reference field="6" count="1" defaultSubtotal="1">
            <x v="0"/>
          </reference>
        </references>
      </pivotArea>
    </format>
    <format dxfId="30">
      <pivotArea outline="0" collapsedLevelsAreSubtotals="1" fieldPosition="0">
        <references count="3">
          <reference field="2" count="1" selected="0">
            <x v="3"/>
          </reference>
          <reference field="6" count="1" selected="0">
            <x v="0"/>
          </reference>
          <reference field="10" count="1" selected="0">
            <x v="0"/>
          </reference>
        </references>
      </pivotArea>
    </format>
    <format dxfId="29">
      <pivotArea dataOnly="0" labelOnly="1" outline="0" offset="IV1" fieldPosition="0">
        <references count="1">
          <reference field="2" count="1">
            <x v="3"/>
          </reference>
        </references>
      </pivotArea>
    </format>
    <format dxfId="28">
      <pivotArea dataOnly="0" labelOnly="1" outline="0" offset="IV1" fieldPosition="0">
        <references count="2">
          <reference field="2" count="1" selected="0">
            <x v="3"/>
          </reference>
          <reference field="6" count="1">
            <x v="0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3"/>
          </reference>
          <reference field="6" count="1" selected="0">
            <x v="0"/>
          </reference>
          <reference field="10" count="1">
            <x v="0"/>
          </reference>
        </references>
      </pivotArea>
    </format>
    <format dxfId="26">
      <pivotArea outline="0" collapsedLevelsAreSubtotals="1" fieldPosition="0">
        <references count="2">
          <reference field="2" count="1" selected="0">
            <x v="3"/>
          </reference>
          <reference field="6" count="1" selected="0" defaultSubtotal="1">
            <x v="0"/>
          </reference>
        </references>
      </pivotArea>
    </format>
    <format dxfId="25">
      <pivotArea dataOnly="0" labelOnly="1" outline="0" offset="IV256" fieldPosition="0">
        <references count="1">
          <reference field="2" count="1">
            <x v="3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3"/>
          </reference>
          <reference field="6" count="1" defaultSubtotal="1">
            <x v="0"/>
          </reference>
        </references>
      </pivotArea>
    </format>
    <format dxfId="23">
      <pivotArea outline="0" collapsedLevelsAreSubtotals="1" fieldPosition="0">
        <references count="2">
          <reference field="2" count="1" selected="0">
            <x v="4"/>
          </reference>
          <reference field="6" count="1" selected="0" defaultSubtotal="1">
            <x v="0"/>
          </reference>
        </references>
      </pivotArea>
    </format>
    <format dxfId="22">
      <pivotArea dataOnly="0" labelOnly="1" outline="0" offset="IV256" fieldPosition="0">
        <references count="1">
          <reference field="2" count="1">
            <x v="4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4"/>
          </reference>
          <reference field="6" count="1" defaultSubtotal="1">
            <x v="0"/>
          </reference>
        </references>
      </pivotArea>
    </format>
    <format dxfId="20">
      <pivotArea outline="0" collapsedLevelsAreSubtotals="1" fieldPosition="0">
        <references count="2">
          <reference field="2" count="1" selected="0">
            <x v="5"/>
          </reference>
          <reference field="6" count="1" selected="0" defaultSubtotal="1">
            <x v="0"/>
          </reference>
        </references>
      </pivotArea>
    </format>
    <format dxfId="19">
      <pivotArea dataOnly="0" labelOnly="1" outline="0" offset="IV256" fieldPosition="0">
        <references count="1">
          <reference field="2" count="1">
            <x v="5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5"/>
          </reference>
          <reference field="6" count="1" defaultSubtotal="1">
            <x v="0"/>
          </reference>
        </references>
      </pivotArea>
    </format>
    <format dxfId="17">
      <pivotArea outline="0" collapsedLevelsAreSubtotals="1" fieldPosition="0">
        <references count="2">
          <reference field="2" count="1" selected="0">
            <x v="6"/>
          </reference>
          <reference field="6" count="1" selected="0" defaultSubtotal="1">
            <x v="0"/>
          </reference>
        </references>
      </pivotArea>
    </format>
    <format dxfId="16">
      <pivotArea dataOnly="0" labelOnly="1" outline="0" offset="IV256" fieldPosition="0">
        <references count="1">
          <reference field="2" count="1">
            <x v="6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6"/>
          </reference>
          <reference field="6" count="1" defaultSubtotal="1">
            <x v="0"/>
          </reference>
        </references>
      </pivotArea>
    </format>
    <format dxfId="14">
      <pivotArea outline="0" collapsedLevelsAreSubtotals="1" fieldPosition="0">
        <references count="2">
          <reference field="2" count="1" selected="0">
            <x v="7"/>
          </reference>
          <reference field="6" count="1" selected="0" defaultSubtotal="1">
            <x v="0"/>
          </reference>
        </references>
      </pivotArea>
    </format>
    <format dxfId="13">
      <pivotArea dataOnly="0" labelOnly="1" outline="0" offset="IV256" fieldPosition="0">
        <references count="1">
          <reference field="2" count="1">
            <x v="7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7"/>
          </reference>
          <reference field="6" count="1" defaultSubtotal="1">
            <x v="0"/>
          </reference>
        </references>
      </pivotArea>
    </format>
    <format dxfId="11">
      <pivotArea outline="0" collapsedLevelsAreSubtotals="1" fieldPosition="0">
        <references count="2">
          <reference field="2" count="1" selected="0">
            <x v="8"/>
          </reference>
          <reference field="6" count="1" selected="0" defaultSubtotal="1">
            <x v="0"/>
          </reference>
        </references>
      </pivotArea>
    </format>
    <format dxfId="10">
      <pivotArea dataOnly="0" labelOnly="1" outline="0" offset="IV256" fieldPosition="0">
        <references count="1">
          <reference field="2" count="1">
            <x v="8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8"/>
          </reference>
          <reference field="6" count="1" defaultSubtotal="1">
            <x v="0"/>
          </reference>
        </references>
      </pivotArea>
    </format>
    <format dxfId="8">
      <pivotArea outline="0" collapsedLevelsAreSubtotals="1" fieldPosition="0">
        <references count="2">
          <reference field="2" count="1" selected="0">
            <x v="9"/>
          </reference>
          <reference field="6" count="1" selected="0" defaultSubtotal="1">
            <x v="0"/>
          </reference>
        </references>
      </pivotArea>
    </format>
    <format dxfId="7">
      <pivotArea dataOnly="0" labelOnly="1" outline="0" offset="IV256" fieldPosition="0">
        <references count="1">
          <reference field="2" count="1">
            <x v="9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9"/>
          </reference>
          <reference field="6" count="1" defaultSubtotal="1">
            <x v="0"/>
          </reference>
        </references>
      </pivotArea>
    </format>
    <format dxfId="5">
      <pivotArea outline="0" collapsedLevelsAreSubtotals="1" fieldPosition="0">
        <references count="2">
          <reference field="2" count="1" selected="0">
            <x v="10"/>
          </reference>
          <reference field="6" count="1" selected="0" defaultSubtotal="1">
            <x v="0"/>
          </reference>
        </references>
      </pivotArea>
    </format>
    <format dxfId="4">
      <pivotArea dataOnly="0" labelOnly="1" outline="0" offset="IV256" fieldPosition="0">
        <references count="1">
          <reference field="2" count="1">
            <x v="10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10"/>
          </reference>
          <reference field="6" count="1" defaultSubtotal="1">
            <x v="0"/>
          </reference>
        </references>
      </pivotArea>
    </format>
    <format dxfId="2">
      <pivotArea outline="0" collapsedLevelsAreSubtotals="1" fieldPosition="0">
        <references count="2">
          <reference field="2" count="1" selected="0">
            <x v="11"/>
          </reference>
          <reference field="6" count="1" selected="0" defaultSubtotal="1">
            <x v="0"/>
          </reference>
        </references>
      </pivotArea>
    </format>
    <format dxfId="1">
      <pivotArea dataOnly="0" labelOnly="1" outline="0" offset="IV256" fieldPosition="0">
        <references count="1">
          <reference field="2" count="1">
            <x v="11"/>
          </reference>
        </references>
      </pivotArea>
    </format>
    <format dxfId="0">
      <pivotArea dataOnly="0" labelOnly="1" outline="0" fieldPosition="0">
        <references count="2">
          <reference field="2" count="1" selected="0">
            <x v="11"/>
          </reference>
          <reference field="6" count="1" defaultSubtotal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6"/>
  <sheetViews>
    <sheetView tabSelected="1" workbookViewId="0"/>
  </sheetViews>
  <sheetFormatPr defaultColWidth="8.58203125" defaultRowHeight="14" x14ac:dyDescent="0.3"/>
  <cols>
    <col min="1" max="1" width="39" style="91" customWidth="1"/>
    <col min="2" max="9" width="14.08203125" style="66" customWidth="1"/>
    <col min="10" max="16384" width="8.58203125" style="66"/>
  </cols>
  <sheetData>
    <row r="1" spans="1:9" ht="14.15" x14ac:dyDescent="0.3">
      <c r="A1" s="83" t="s">
        <v>191</v>
      </c>
    </row>
    <row r="2" spans="1:9" ht="14.5" thickBot="1" x14ac:dyDescent="0.35"/>
    <row r="3" spans="1:9" ht="16" x14ac:dyDescent="0.3">
      <c r="B3" s="134" t="s">
        <v>180</v>
      </c>
      <c r="C3" s="135"/>
      <c r="D3" s="134" t="s">
        <v>181</v>
      </c>
      <c r="E3" s="135"/>
      <c r="F3" s="134" t="s">
        <v>177</v>
      </c>
      <c r="G3" s="135"/>
      <c r="H3" s="136" t="s">
        <v>182</v>
      </c>
      <c r="I3" s="137"/>
    </row>
    <row r="4" spans="1:9" ht="28" x14ac:dyDescent="0.3">
      <c r="A4" s="120" t="s">
        <v>140</v>
      </c>
      <c r="B4" s="122" t="s">
        <v>188</v>
      </c>
      <c r="C4" s="123" t="s">
        <v>189</v>
      </c>
      <c r="D4" s="122" t="s">
        <v>188</v>
      </c>
      <c r="E4" s="123" t="s">
        <v>189</v>
      </c>
      <c r="F4" s="122" t="s">
        <v>188</v>
      </c>
      <c r="G4" s="123" t="s">
        <v>189</v>
      </c>
      <c r="H4" s="122" t="s">
        <v>188</v>
      </c>
      <c r="I4" s="123" t="s">
        <v>189</v>
      </c>
    </row>
    <row r="5" spans="1:9" ht="14.15" x14ac:dyDescent="0.3">
      <c r="A5" s="121">
        <v>2012</v>
      </c>
      <c r="B5" s="124">
        <f>'2012 Summary'!G38</f>
        <v>-3265617.4637380838</v>
      </c>
      <c r="C5" s="125">
        <f>'2012 Summary'!H38</f>
        <v>3265617.463738054</v>
      </c>
      <c r="D5" s="124"/>
      <c r="E5" s="125"/>
      <c r="F5" s="124">
        <f>-'2012_14 Reconciliation 1589'!E25</f>
        <v>-8894.890354039564</v>
      </c>
      <c r="G5" s="125">
        <f>-F5</f>
        <v>8894.890354039564</v>
      </c>
      <c r="H5" s="124">
        <f>B5+D5+F5</f>
        <v>-3274512.3540921235</v>
      </c>
      <c r="I5" s="125">
        <f>C5+E5+G5</f>
        <v>3274512.3540920937</v>
      </c>
    </row>
    <row r="6" spans="1:9" ht="14.15" x14ac:dyDescent="0.3">
      <c r="A6" s="121">
        <v>2013</v>
      </c>
      <c r="B6" s="124">
        <f>'2013 Summary'!G38</f>
        <v>-3747679.0130901635</v>
      </c>
      <c r="C6" s="125">
        <f>'2013 Summary'!H38</f>
        <v>3747679.0130901933</v>
      </c>
      <c r="D6" s="130">
        <f>-'2012_14 Reconciliation 1589'!D42</f>
        <v>2344769.4898861498</v>
      </c>
      <c r="E6" s="131">
        <f>-D6</f>
        <v>-2344769.4898861498</v>
      </c>
      <c r="F6" s="124">
        <f>-'2012_14 Reconciliation 1589'!M25</f>
        <v>-51337.211392369012</v>
      </c>
      <c r="G6" s="125">
        <f>-F6</f>
        <v>51337.211392369012</v>
      </c>
      <c r="H6" s="124">
        <f>B6+D6+F6</f>
        <v>-1454246.7345963828</v>
      </c>
      <c r="I6" s="125">
        <f>C6+E6+G6</f>
        <v>1454246.7345964126</v>
      </c>
    </row>
    <row r="7" spans="1:9" ht="14.15" hidden="1" x14ac:dyDescent="0.3">
      <c r="A7" s="112" t="s">
        <v>95</v>
      </c>
      <c r="B7" s="126">
        <f>SUM(B5:B6)</f>
        <v>-7013296.4768282473</v>
      </c>
      <c r="C7" s="127">
        <f>SUM(C5:C6)</f>
        <v>7013296.4768282473</v>
      </c>
      <c r="D7" s="126">
        <f>SUM(D5:D6)</f>
        <v>2344769.4898861498</v>
      </c>
      <c r="E7" s="127">
        <f>SUM(E5:E6)</f>
        <v>-2344769.4898861498</v>
      </c>
      <c r="F7" s="126"/>
      <c r="G7" s="127"/>
      <c r="H7" s="126"/>
      <c r="I7" s="127"/>
    </row>
    <row r="8" spans="1:9" ht="14.5" customHeight="1" thickBot="1" x14ac:dyDescent="0.35">
      <c r="A8" s="112" t="s">
        <v>143</v>
      </c>
      <c r="B8" s="128">
        <f t="shared" ref="B8:I8" si="0">+B6+B5</f>
        <v>-7013296.4768282473</v>
      </c>
      <c r="C8" s="129">
        <f t="shared" si="0"/>
        <v>7013296.4768282473</v>
      </c>
      <c r="D8" s="128">
        <f t="shared" si="0"/>
        <v>2344769.4898861498</v>
      </c>
      <c r="E8" s="129">
        <f t="shared" si="0"/>
        <v>-2344769.4898861498</v>
      </c>
      <c r="F8" s="128">
        <f t="shared" si="0"/>
        <v>-60232.101746408574</v>
      </c>
      <c r="G8" s="129">
        <f t="shared" si="0"/>
        <v>60232.101746408574</v>
      </c>
      <c r="H8" s="128">
        <f t="shared" si="0"/>
        <v>-4728759.0886885058</v>
      </c>
      <c r="I8" s="129">
        <f t="shared" si="0"/>
        <v>4728759.0886885058</v>
      </c>
    </row>
    <row r="9" spans="1:9" ht="14.15" x14ac:dyDescent="0.3">
      <c r="A9" s="106" t="s">
        <v>190</v>
      </c>
      <c r="B9" s="28"/>
    </row>
    <row r="10" spans="1:9" ht="14.15" x14ac:dyDescent="0.3">
      <c r="B10" s="28"/>
    </row>
    <row r="13" spans="1:9" ht="14.15" x14ac:dyDescent="0.3">
      <c r="A13" s="119" t="s">
        <v>206</v>
      </c>
      <c r="B13" s="19"/>
    </row>
    <row r="14" spans="1:9" ht="39" x14ac:dyDescent="0.3">
      <c r="A14" s="113" t="s">
        <v>192</v>
      </c>
      <c r="B14" s="114" t="s">
        <v>207</v>
      </c>
      <c r="C14" s="115" t="s">
        <v>193</v>
      </c>
      <c r="D14" s="115" t="s">
        <v>194</v>
      </c>
      <c r="E14" s="115" t="s">
        <v>195</v>
      </c>
    </row>
    <row r="15" spans="1:9" ht="14.15" x14ac:dyDescent="0.3">
      <c r="A15" s="34" t="s">
        <v>196</v>
      </c>
      <c r="B15" s="75">
        <v>1550</v>
      </c>
      <c r="C15" s="116">
        <f>+C28</f>
        <v>307086.73999999993</v>
      </c>
      <c r="D15" s="116">
        <v>307086.73999999993</v>
      </c>
      <c r="E15" s="116">
        <f>+C15-C28</f>
        <v>0</v>
      </c>
    </row>
    <row r="16" spans="1:9" ht="14.15" x14ac:dyDescent="0.3">
      <c r="A16" s="34" t="s">
        <v>197</v>
      </c>
      <c r="B16" s="75">
        <v>1551</v>
      </c>
      <c r="C16" s="116">
        <f t="shared" ref="C16:C22" si="1">+C29</f>
        <v>-17981.620000000476</v>
      </c>
      <c r="D16" s="116">
        <v>-17981.620000000476</v>
      </c>
      <c r="E16" s="116">
        <f t="shared" ref="E16:E23" si="2">+C16-C29</f>
        <v>0</v>
      </c>
    </row>
    <row r="17" spans="1:6" x14ac:dyDescent="0.3">
      <c r="A17" s="34" t="s">
        <v>198</v>
      </c>
      <c r="B17" s="75">
        <v>1580</v>
      </c>
      <c r="C17" s="116">
        <f t="shared" si="1"/>
        <v>-10123859.709999997</v>
      </c>
      <c r="D17" s="116">
        <v>-10123859.709999997</v>
      </c>
      <c r="E17" s="116">
        <f t="shared" si="2"/>
        <v>0</v>
      </c>
    </row>
    <row r="18" spans="1:6" x14ac:dyDescent="0.3">
      <c r="A18" s="34" t="s">
        <v>199</v>
      </c>
      <c r="B18" s="75">
        <v>1584</v>
      </c>
      <c r="C18" s="116">
        <f t="shared" si="1"/>
        <v>3583250.649999999</v>
      </c>
      <c r="D18" s="116">
        <v>3583250.649999999</v>
      </c>
      <c r="E18" s="116">
        <f t="shared" si="2"/>
        <v>0</v>
      </c>
    </row>
    <row r="19" spans="1:6" x14ac:dyDescent="0.3">
      <c r="A19" s="34" t="s">
        <v>200</v>
      </c>
      <c r="B19" s="75">
        <v>1586</v>
      </c>
      <c r="C19" s="116">
        <f t="shared" si="1"/>
        <v>1243684.0410000044</v>
      </c>
      <c r="D19" s="116">
        <v>1243684.0410000044</v>
      </c>
      <c r="E19" s="116">
        <f t="shared" si="2"/>
        <v>0</v>
      </c>
    </row>
    <row r="20" spans="1:6" x14ac:dyDescent="0.3">
      <c r="A20" s="34" t="s">
        <v>201</v>
      </c>
      <c r="B20" s="75">
        <v>1588</v>
      </c>
      <c r="C20" s="116">
        <f>+C33+H8</f>
        <v>-4322642.2286884664</v>
      </c>
      <c r="D20" s="116">
        <f>C20</f>
        <v>-4322642.2286884664</v>
      </c>
      <c r="E20" s="116">
        <f t="shared" si="2"/>
        <v>-4728759.0886885058</v>
      </c>
      <c r="F20" s="28"/>
    </row>
    <row r="21" spans="1:6" x14ac:dyDescent="0.3">
      <c r="A21" s="34" t="s">
        <v>202</v>
      </c>
      <c r="B21" s="75">
        <v>1589</v>
      </c>
      <c r="C21" s="116">
        <f>+C34+I8</f>
        <v>-207549.60131151974</v>
      </c>
      <c r="D21" s="116">
        <f>C21</f>
        <v>-207549.60131151974</v>
      </c>
      <c r="E21" s="116">
        <f t="shared" si="2"/>
        <v>4728759.0886885058</v>
      </c>
      <c r="F21" s="28"/>
    </row>
    <row r="22" spans="1:6" x14ac:dyDescent="0.3">
      <c r="A22" s="34" t="s">
        <v>203</v>
      </c>
      <c r="B22" s="75">
        <v>1595</v>
      </c>
      <c r="C22" s="116">
        <f t="shared" si="1"/>
        <v>-2230167.0893564997</v>
      </c>
      <c r="D22" s="116">
        <v>-2230167.0893564997</v>
      </c>
      <c r="E22" s="116">
        <f t="shared" si="2"/>
        <v>0</v>
      </c>
    </row>
    <row r="23" spans="1:6" x14ac:dyDescent="0.3">
      <c r="A23" s="117" t="s">
        <v>204</v>
      </c>
      <c r="B23" s="133"/>
      <c r="C23" s="118">
        <v>-11768178.81835648</v>
      </c>
      <c r="D23" s="118">
        <v>-11768178.81835648</v>
      </c>
      <c r="E23" s="116">
        <f t="shared" si="2"/>
        <v>0</v>
      </c>
    </row>
    <row r="24" spans="1:6" x14ac:dyDescent="0.3">
      <c r="B24" s="91"/>
    </row>
    <row r="25" spans="1:6" x14ac:dyDescent="0.3">
      <c r="B25" s="91"/>
    </row>
    <row r="26" spans="1:6" x14ac:dyDescent="0.3">
      <c r="A26" s="83" t="s">
        <v>205</v>
      </c>
      <c r="B26" s="91"/>
    </row>
    <row r="27" spans="1:6" ht="53.25" customHeight="1" x14ac:dyDescent="0.3">
      <c r="A27" s="113" t="s">
        <v>192</v>
      </c>
      <c r="B27" s="114" t="s">
        <v>207</v>
      </c>
      <c r="C27" s="115" t="s">
        <v>193</v>
      </c>
      <c r="D27" s="115" t="s">
        <v>194</v>
      </c>
      <c r="F27"/>
    </row>
    <row r="28" spans="1:6" x14ac:dyDescent="0.3">
      <c r="A28" s="34" t="s">
        <v>196</v>
      </c>
      <c r="B28" s="75">
        <v>1550</v>
      </c>
      <c r="C28" s="116">
        <v>307086.73999999993</v>
      </c>
      <c r="D28" s="116">
        <f>+C28</f>
        <v>307086.73999999993</v>
      </c>
    </row>
    <row r="29" spans="1:6" x14ac:dyDescent="0.3">
      <c r="A29" s="34" t="s">
        <v>197</v>
      </c>
      <c r="B29" s="75">
        <v>1551</v>
      </c>
      <c r="C29" s="116">
        <v>-17981.620000000476</v>
      </c>
      <c r="D29" s="116">
        <f t="shared" ref="D29:D36" si="3">+C29</f>
        <v>-17981.620000000476</v>
      </c>
    </row>
    <row r="30" spans="1:6" x14ac:dyDescent="0.3">
      <c r="A30" s="34" t="s">
        <v>198</v>
      </c>
      <c r="B30" s="75">
        <v>1580</v>
      </c>
      <c r="C30" s="116">
        <v>-10123859.709999997</v>
      </c>
      <c r="D30" s="116">
        <f t="shared" si="3"/>
        <v>-10123859.709999997</v>
      </c>
    </row>
    <row r="31" spans="1:6" x14ac:dyDescent="0.3">
      <c r="A31" s="34" t="s">
        <v>199</v>
      </c>
      <c r="B31" s="75">
        <v>1584</v>
      </c>
      <c r="C31" s="116">
        <v>3583250.649999999</v>
      </c>
      <c r="D31" s="116">
        <f t="shared" si="3"/>
        <v>3583250.649999999</v>
      </c>
    </row>
    <row r="32" spans="1:6" x14ac:dyDescent="0.3">
      <c r="A32" s="34" t="s">
        <v>200</v>
      </c>
      <c r="B32" s="75">
        <v>1586</v>
      </c>
      <c r="C32" s="116">
        <v>1243684.0410000044</v>
      </c>
      <c r="D32" s="116">
        <f t="shared" si="3"/>
        <v>1243684.0410000044</v>
      </c>
    </row>
    <row r="33" spans="1:4" x14ac:dyDescent="0.3">
      <c r="A33" s="34" t="s">
        <v>201</v>
      </c>
      <c r="B33" s="75">
        <v>1588</v>
      </c>
      <c r="C33" s="116">
        <v>406116.86000003945</v>
      </c>
      <c r="D33" s="116">
        <f t="shared" si="3"/>
        <v>406116.86000003945</v>
      </c>
    </row>
    <row r="34" spans="1:4" x14ac:dyDescent="0.3">
      <c r="A34" s="34" t="s">
        <v>202</v>
      </c>
      <c r="B34" s="75">
        <v>1589</v>
      </c>
      <c r="C34" s="116">
        <v>-4936308.6900000256</v>
      </c>
      <c r="D34" s="116">
        <f t="shared" si="3"/>
        <v>-4936308.6900000256</v>
      </c>
    </row>
    <row r="35" spans="1:4" x14ac:dyDescent="0.3">
      <c r="A35" s="34" t="s">
        <v>203</v>
      </c>
      <c r="B35" s="75">
        <v>1595</v>
      </c>
      <c r="C35" s="116">
        <v>-2230167.0893564997</v>
      </c>
      <c r="D35" s="116">
        <f t="shared" si="3"/>
        <v>-2230167.0893564997</v>
      </c>
    </row>
    <row r="36" spans="1:4" x14ac:dyDescent="0.3">
      <c r="A36" s="117" t="s">
        <v>204</v>
      </c>
      <c r="B36" s="117"/>
      <c r="C36" s="118">
        <v>-11768178.81835648</v>
      </c>
      <c r="D36" s="132">
        <f t="shared" si="3"/>
        <v>-11768178.81835648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  <pageSetup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0"/>
  <sheetViews>
    <sheetView topLeftCell="A25" workbookViewId="0">
      <selection activeCell="D24" sqref="D24"/>
    </sheetView>
  </sheetViews>
  <sheetFormatPr defaultRowHeight="14" x14ac:dyDescent="0.3"/>
  <cols>
    <col min="1" max="1" width="13.08203125" bestFit="1" customWidth="1"/>
    <col min="2" max="2" width="7" bestFit="1" customWidth="1"/>
    <col min="3" max="3" width="54.83203125" customWidth="1"/>
    <col min="4" max="4" width="19.58203125" customWidth="1"/>
    <col min="5" max="5" width="20.33203125" customWidth="1"/>
    <col min="6" max="6" width="14.25" bestFit="1" customWidth="1"/>
    <col min="15" max="15" width="54.83203125" style="66" customWidth="1"/>
    <col min="16" max="16" width="14.25" style="66" bestFit="1" customWidth="1"/>
    <col min="17" max="17" width="9.83203125" bestFit="1" customWidth="1"/>
  </cols>
  <sheetData>
    <row r="3" spans="1:17" ht="14.15" x14ac:dyDescent="0.3">
      <c r="D3" t="s">
        <v>15</v>
      </c>
      <c r="O3" s="66" t="s">
        <v>159</v>
      </c>
    </row>
    <row r="4" spans="1:17" ht="14.15" x14ac:dyDescent="0.3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21</v>
      </c>
      <c r="O4" s="66" t="s">
        <v>18</v>
      </c>
      <c r="P4" s="66" t="s">
        <v>21</v>
      </c>
    </row>
    <row r="5" spans="1:17" ht="14.15" x14ac:dyDescent="0.3">
      <c r="A5">
        <v>201201</v>
      </c>
      <c r="B5">
        <v>4710</v>
      </c>
      <c r="C5" t="s">
        <v>23</v>
      </c>
      <c r="D5" s="17">
        <v>8529691.5299999993</v>
      </c>
      <c r="E5" s="17">
        <v>8883625.6300000008</v>
      </c>
      <c r="F5" s="17">
        <v>-353934.10000000149</v>
      </c>
      <c r="O5" s="66" t="s">
        <v>23</v>
      </c>
      <c r="P5" s="67">
        <v>-353934.10000000149</v>
      </c>
    </row>
    <row r="6" spans="1:17" ht="14.15" x14ac:dyDescent="0.3">
      <c r="C6" t="s">
        <v>67</v>
      </c>
      <c r="D6" s="17"/>
      <c r="E6" s="17">
        <v>169021.46</v>
      </c>
      <c r="F6" s="17">
        <v>-169021.46</v>
      </c>
      <c r="O6" s="66" t="s">
        <v>67</v>
      </c>
      <c r="P6" s="67">
        <v>-169021.46</v>
      </c>
    </row>
    <row r="7" spans="1:17" ht="14.15" x14ac:dyDescent="0.3">
      <c r="C7" t="s">
        <v>24</v>
      </c>
      <c r="D7" s="17">
        <v>18516306.559999999</v>
      </c>
      <c r="E7" s="17">
        <v>8939950.9700000007</v>
      </c>
      <c r="F7" s="17">
        <v>9576355.589999998</v>
      </c>
      <c r="O7" s="66" t="s">
        <v>24</v>
      </c>
      <c r="P7" s="67">
        <v>9576355.589999998</v>
      </c>
    </row>
    <row r="8" spans="1:17" ht="14.15" x14ac:dyDescent="0.3">
      <c r="C8" t="s">
        <v>25</v>
      </c>
      <c r="D8" s="17">
        <v>8663.0300000000007</v>
      </c>
      <c r="E8" s="17"/>
      <c r="F8" s="17">
        <v>8663.0300000000007</v>
      </c>
      <c r="O8" s="66" t="s">
        <v>25</v>
      </c>
      <c r="P8" s="67">
        <v>8663.0300000000007</v>
      </c>
      <c r="Q8" s="67">
        <f>P8</f>
        <v>8663.0300000000007</v>
      </c>
    </row>
    <row r="9" spans="1:17" ht="14.15" x14ac:dyDescent="0.3">
      <c r="A9" s="19"/>
      <c r="B9" s="19" t="s">
        <v>27</v>
      </c>
      <c r="C9" s="19"/>
      <c r="D9" s="20">
        <v>27054661.119999997</v>
      </c>
      <c r="E9" s="20">
        <v>17992598.060000002</v>
      </c>
      <c r="F9" s="20">
        <v>9062063.0599999968</v>
      </c>
      <c r="O9" s="19"/>
      <c r="P9" s="20">
        <v>9062063.0599999968</v>
      </c>
    </row>
    <row r="10" spans="1:17" ht="14.15" x14ac:dyDescent="0.3">
      <c r="A10">
        <v>201202</v>
      </c>
      <c r="B10">
        <v>4710</v>
      </c>
      <c r="C10" t="s">
        <v>23</v>
      </c>
      <c r="D10" s="17">
        <v>10003302.939999999</v>
      </c>
      <c r="E10" s="17">
        <v>8529691.5299999993</v>
      </c>
      <c r="F10" s="17">
        <v>1473611.4100000001</v>
      </c>
      <c r="O10" s="66" t="s">
        <v>23</v>
      </c>
      <c r="P10" s="67">
        <v>1473611.4100000001</v>
      </c>
    </row>
    <row r="11" spans="1:17" ht="14.15" x14ac:dyDescent="0.3">
      <c r="C11" t="s">
        <v>24</v>
      </c>
      <c r="D11" s="17">
        <v>17361119.23</v>
      </c>
      <c r="E11" s="17">
        <v>9048835.1600000001</v>
      </c>
      <c r="F11" s="17">
        <v>8312284.0700000003</v>
      </c>
      <c r="O11" s="66" t="s">
        <v>24</v>
      </c>
      <c r="P11" s="67">
        <v>8312284.0700000003</v>
      </c>
    </row>
    <row r="12" spans="1:17" ht="14.15" x14ac:dyDescent="0.3">
      <c r="C12" t="s">
        <v>25</v>
      </c>
      <c r="D12" s="17">
        <v>11784.42</v>
      </c>
      <c r="E12" s="17"/>
      <c r="F12" s="17">
        <v>11784.42</v>
      </c>
      <c r="O12" s="66" t="s">
        <v>25</v>
      </c>
      <c r="P12" s="67">
        <v>11784.42</v>
      </c>
      <c r="Q12" s="67">
        <f>P12</f>
        <v>11784.42</v>
      </c>
    </row>
    <row r="13" spans="1:17" ht="14.15" x14ac:dyDescent="0.3">
      <c r="A13" s="19"/>
      <c r="B13" s="19" t="s">
        <v>27</v>
      </c>
      <c r="C13" s="19"/>
      <c r="D13" s="20">
        <v>27376206.590000004</v>
      </c>
      <c r="E13" s="20">
        <v>17578526.689999998</v>
      </c>
      <c r="F13" s="20">
        <v>9797679.9000000004</v>
      </c>
      <c r="O13" s="19"/>
      <c r="P13" s="20">
        <v>9797679.9000000004</v>
      </c>
    </row>
    <row r="14" spans="1:17" ht="14.15" x14ac:dyDescent="0.3">
      <c r="A14">
        <v>201203</v>
      </c>
      <c r="B14">
        <v>4710</v>
      </c>
      <c r="C14" t="s">
        <v>29</v>
      </c>
      <c r="D14" s="17">
        <v>59801.9</v>
      </c>
      <c r="E14" s="17"/>
      <c r="F14" s="17">
        <v>59801.9</v>
      </c>
      <c r="O14" s="66" t="s">
        <v>29</v>
      </c>
      <c r="P14" s="67">
        <v>59801.9</v>
      </c>
      <c r="Q14" s="67">
        <f>P14</f>
        <v>59801.9</v>
      </c>
    </row>
    <row r="15" spans="1:17" ht="14.15" x14ac:dyDescent="0.3">
      <c r="C15" t="s">
        <v>23</v>
      </c>
      <c r="D15" s="17">
        <v>12459717.949999999</v>
      </c>
      <c r="E15" s="17">
        <v>10003302.939999999</v>
      </c>
      <c r="F15" s="17">
        <v>2456415.0099999998</v>
      </c>
      <c r="O15" s="66" t="s">
        <v>23</v>
      </c>
      <c r="P15" s="67">
        <v>2456415.0099999998</v>
      </c>
    </row>
    <row r="16" spans="1:17" ht="14.15" x14ac:dyDescent="0.3">
      <c r="C16" t="s">
        <v>63</v>
      </c>
      <c r="D16" s="17">
        <v>18981108.32</v>
      </c>
      <c r="E16" s="17">
        <v>8905414.7899999991</v>
      </c>
      <c r="F16" s="17">
        <v>10075693.530000001</v>
      </c>
      <c r="O16" s="66" t="s">
        <v>63</v>
      </c>
      <c r="P16" s="67">
        <v>10075693.530000001</v>
      </c>
    </row>
    <row r="17" spans="1:17" ht="14.15" x14ac:dyDescent="0.3">
      <c r="C17" t="s">
        <v>25</v>
      </c>
      <c r="D17" s="17">
        <v>11784.42</v>
      </c>
      <c r="E17" s="17"/>
      <c r="F17" s="17">
        <v>11784.42</v>
      </c>
      <c r="O17" s="66" t="s">
        <v>25</v>
      </c>
      <c r="P17" s="67">
        <v>11784.42</v>
      </c>
      <c r="Q17" s="67">
        <f>P17</f>
        <v>11784.42</v>
      </c>
    </row>
    <row r="18" spans="1:17" ht="14.15" x14ac:dyDescent="0.3">
      <c r="B18" t="s">
        <v>27</v>
      </c>
      <c r="D18" s="17">
        <v>31512412.590000004</v>
      </c>
      <c r="E18" s="17">
        <v>18908717.729999997</v>
      </c>
      <c r="F18" s="17">
        <v>12603694.860000001</v>
      </c>
      <c r="P18" s="67">
        <v>12603694.860000001</v>
      </c>
    </row>
    <row r="19" spans="1:17" ht="14.15" x14ac:dyDescent="0.3">
      <c r="A19" s="19">
        <v>201204</v>
      </c>
      <c r="B19" s="19">
        <v>4710</v>
      </c>
      <c r="C19" s="19" t="s">
        <v>62</v>
      </c>
      <c r="D19" s="20">
        <v>3395.48</v>
      </c>
      <c r="E19" s="20"/>
      <c r="F19" s="20">
        <v>3395.48</v>
      </c>
      <c r="O19" s="19" t="s">
        <v>62</v>
      </c>
      <c r="P19" s="20">
        <v>3395.48</v>
      </c>
      <c r="Q19" s="67">
        <f>P19</f>
        <v>3395.48</v>
      </c>
    </row>
    <row r="20" spans="1:17" ht="14.15" x14ac:dyDescent="0.3">
      <c r="C20" t="s">
        <v>31</v>
      </c>
      <c r="D20" s="17">
        <v>1478.01</v>
      </c>
      <c r="E20" s="17"/>
      <c r="F20" s="17">
        <v>1478.01</v>
      </c>
      <c r="O20" s="66" t="s">
        <v>31</v>
      </c>
      <c r="P20" s="67">
        <v>1478.01</v>
      </c>
      <c r="Q20" s="67">
        <f>P20</f>
        <v>1478.01</v>
      </c>
    </row>
    <row r="21" spans="1:17" ht="14.25" x14ac:dyDescent="0.2">
      <c r="C21" t="s">
        <v>66</v>
      </c>
      <c r="D21" s="17">
        <v>10194633.58</v>
      </c>
      <c r="E21" s="17"/>
      <c r="F21" s="17">
        <v>10194633.58</v>
      </c>
      <c r="O21" s="66" t="s">
        <v>66</v>
      </c>
      <c r="P21" s="67">
        <v>10194633.58</v>
      </c>
    </row>
    <row r="22" spans="1:17" ht="14.15" x14ac:dyDescent="0.3">
      <c r="C22" t="s">
        <v>23</v>
      </c>
      <c r="D22" s="17"/>
      <c r="E22" s="17">
        <v>12459717.949999999</v>
      </c>
      <c r="F22" s="17">
        <v>-12459717.949999999</v>
      </c>
      <c r="O22" s="66" t="s">
        <v>23</v>
      </c>
      <c r="P22" s="67">
        <v>-12459717.949999999</v>
      </c>
    </row>
    <row r="23" spans="1:17" ht="14.15" x14ac:dyDescent="0.3">
      <c r="C23" t="s">
        <v>64</v>
      </c>
      <c r="D23" s="17">
        <v>22973758.16</v>
      </c>
      <c r="E23" s="17">
        <v>10452039.91</v>
      </c>
      <c r="F23" s="17">
        <v>12521718.25</v>
      </c>
      <c r="O23" s="66" t="s">
        <v>64</v>
      </c>
      <c r="P23" s="67">
        <v>12521718.25</v>
      </c>
    </row>
    <row r="24" spans="1:17" ht="14.15" x14ac:dyDescent="0.3">
      <c r="C24" t="s">
        <v>25</v>
      </c>
      <c r="D24" s="17">
        <v>11784.42</v>
      </c>
      <c r="E24" s="17"/>
      <c r="F24" s="17">
        <v>11784.42</v>
      </c>
      <c r="O24" s="66" t="s">
        <v>25</v>
      </c>
      <c r="P24" s="67">
        <v>11784.42</v>
      </c>
      <c r="Q24" s="67">
        <f>P24</f>
        <v>11784.42</v>
      </c>
    </row>
    <row r="25" spans="1:17" ht="14.15" x14ac:dyDescent="0.3">
      <c r="A25" s="19"/>
      <c r="B25" s="19" t="s">
        <v>27</v>
      </c>
      <c r="C25" s="19"/>
      <c r="D25" s="20">
        <v>33185049.650000002</v>
      </c>
      <c r="E25" s="20">
        <v>22911757.859999999</v>
      </c>
      <c r="F25" s="20">
        <v>10273291.790000001</v>
      </c>
      <c r="O25" s="19"/>
      <c r="P25" s="20">
        <v>10273291.790000001</v>
      </c>
    </row>
    <row r="26" spans="1:17" ht="14.15" x14ac:dyDescent="0.3">
      <c r="A26">
        <v>201205</v>
      </c>
      <c r="B26">
        <v>4710</v>
      </c>
      <c r="C26" t="s">
        <v>66</v>
      </c>
      <c r="D26" s="17"/>
      <c r="E26" s="17">
        <v>10194633.58</v>
      </c>
      <c r="F26" s="17">
        <v>-10194633.58</v>
      </c>
      <c r="O26" s="66" t="s">
        <v>66</v>
      </c>
      <c r="P26" s="67">
        <v>-10194633.58</v>
      </c>
    </row>
    <row r="27" spans="1:17" ht="14.15" x14ac:dyDescent="0.3">
      <c r="C27" t="s">
        <v>23</v>
      </c>
      <c r="D27" s="17">
        <v>11570533.32</v>
      </c>
      <c r="E27" s="17"/>
      <c r="F27" s="17">
        <v>11570533.32</v>
      </c>
      <c r="O27" s="66" t="s">
        <v>23</v>
      </c>
      <c r="P27" s="67">
        <v>11570533.32</v>
      </c>
    </row>
    <row r="28" spans="1:17" ht="14.15" x14ac:dyDescent="0.3">
      <c r="C28" t="s">
        <v>65</v>
      </c>
      <c r="D28" s="17">
        <v>20649284.41</v>
      </c>
      <c r="E28" s="17">
        <v>10364824.800000001</v>
      </c>
      <c r="F28" s="17">
        <v>10284459.609999999</v>
      </c>
      <c r="O28" s="66" t="s">
        <v>65</v>
      </c>
      <c r="P28" s="67">
        <v>10284459.609999999</v>
      </c>
    </row>
    <row r="29" spans="1:17" ht="14.15" x14ac:dyDescent="0.3">
      <c r="C29" t="s">
        <v>25</v>
      </c>
      <c r="D29" s="17">
        <v>11784.42</v>
      </c>
      <c r="E29" s="17"/>
      <c r="F29" s="17">
        <v>11784.42</v>
      </c>
      <c r="O29" s="66" t="s">
        <v>25</v>
      </c>
      <c r="P29" s="67">
        <v>11784.42</v>
      </c>
      <c r="Q29" s="67">
        <f>P29</f>
        <v>11784.42</v>
      </c>
    </row>
    <row r="30" spans="1:17" ht="14.15" x14ac:dyDescent="0.3">
      <c r="A30" s="19"/>
      <c r="B30" s="19" t="s">
        <v>27</v>
      </c>
      <c r="C30" s="19"/>
      <c r="D30" s="20">
        <v>32231602.150000002</v>
      </c>
      <c r="E30" s="20">
        <v>20559458.380000003</v>
      </c>
      <c r="F30" s="20">
        <v>11672143.77</v>
      </c>
      <c r="O30" s="19"/>
      <c r="P30" s="20">
        <v>11672143.77</v>
      </c>
    </row>
    <row r="31" spans="1:17" ht="14.15" x14ac:dyDescent="0.3">
      <c r="A31">
        <v>201206</v>
      </c>
      <c r="B31">
        <v>4710</v>
      </c>
      <c r="C31" t="s">
        <v>23</v>
      </c>
      <c r="D31" s="17">
        <v>10853932.15</v>
      </c>
      <c r="E31" s="17">
        <v>11570533.32</v>
      </c>
      <c r="F31" s="17">
        <v>-716601.16999999993</v>
      </c>
      <c r="O31" s="66" t="s">
        <v>23</v>
      </c>
      <c r="P31" s="67">
        <v>-716601.16999999993</v>
      </c>
    </row>
    <row r="32" spans="1:17" ht="14.15" x14ac:dyDescent="0.3">
      <c r="C32" t="s">
        <v>24</v>
      </c>
      <c r="D32" s="17">
        <v>20785665.440000001</v>
      </c>
      <c r="E32" s="17">
        <v>9755158.4800000004</v>
      </c>
      <c r="F32" s="17">
        <v>11030506.960000001</v>
      </c>
      <c r="O32" s="66" t="s">
        <v>24</v>
      </c>
      <c r="P32" s="67">
        <v>11030506.960000001</v>
      </c>
    </row>
    <row r="33" spans="1:17" ht="14.15" x14ac:dyDescent="0.3">
      <c r="C33" t="s">
        <v>25</v>
      </c>
      <c r="D33" s="17">
        <v>11784.42</v>
      </c>
      <c r="E33" s="17"/>
      <c r="F33" s="17">
        <v>11784.42</v>
      </c>
      <c r="O33" s="66" t="s">
        <v>25</v>
      </c>
      <c r="P33" s="67">
        <v>11784.42</v>
      </c>
      <c r="Q33" s="67">
        <f>P33</f>
        <v>11784.42</v>
      </c>
    </row>
    <row r="34" spans="1:17" ht="14.15" x14ac:dyDescent="0.3">
      <c r="A34" s="19"/>
      <c r="B34" s="19" t="s">
        <v>27</v>
      </c>
      <c r="C34" s="19"/>
      <c r="D34" s="20">
        <v>31651382.010000005</v>
      </c>
      <c r="E34" s="20">
        <v>21325691.800000001</v>
      </c>
      <c r="F34" s="20">
        <v>10325690.210000001</v>
      </c>
      <c r="O34" s="19"/>
      <c r="P34" s="20">
        <v>10325690.210000001</v>
      </c>
    </row>
    <row r="35" spans="1:17" ht="14.15" x14ac:dyDescent="0.3">
      <c r="A35">
        <v>201207</v>
      </c>
      <c r="B35">
        <v>4710</v>
      </c>
      <c r="C35" t="s">
        <v>23</v>
      </c>
      <c r="D35" s="17">
        <v>9976545.2899999991</v>
      </c>
      <c r="E35" s="17">
        <v>10853932.15</v>
      </c>
      <c r="F35" s="17">
        <v>-877386.86000000127</v>
      </c>
      <c r="O35" s="66" t="s">
        <v>23</v>
      </c>
      <c r="P35" s="67">
        <v>-877386.86000000127</v>
      </c>
    </row>
    <row r="36" spans="1:17" ht="14.15" x14ac:dyDescent="0.3">
      <c r="C36" t="s">
        <v>24</v>
      </c>
      <c r="D36" s="17">
        <v>21749596.41</v>
      </c>
      <c r="E36" s="17">
        <v>11559803.15</v>
      </c>
      <c r="F36" s="17">
        <v>10189793.26</v>
      </c>
      <c r="O36" s="66" t="s">
        <v>24</v>
      </c>
      <c r="P36" s="67">
        <v>10189793.26</v>
      </c>
    </row>
    <row r="37" spans="1:17" ht="14.15" x14ac:dyDescent="0.3">
      <c r="C37" t="s">
        <v>25</v>
      </c>
      <c r="D37" s="17">
        <v>11784.42</v>
      </c>
      <c r="E37" s="17"/>
      <c r="F37" s="17">
        <v>11784.42</v>
      </c>
      <c r="O37" s="66" t="s">
        <v>25</v>
      </c>
      <c r="P37" s="67">
        <v>11784.42</v>
      </c>
      <c r="Q37" s="67">
        <f>P37</f>
        <v>11784.42</v>
      </c>
    </row>
    <row r="38" spans="1:17" ht="14.15" x14ac:dyDescent="0.3">
      <c r="A38" s="19"/>
      <c r="B38" s="19" t="s">
        <v>27</v>
      </c>
      <c r="C38" s="19"/>
      <c r="D38" s="20">
        <v>31737926.120000001</v>
      </c>
      <c r="E38" s="20">
        <v>22413735.300000001</v>
      </c>
      <c r="F38" s="20">
        <v>9324190.8199999984</v>
      </c>
      <c r="O38" s="19"/>
      <c r="P38" s="20">
        <v>9324190.8199999984</v>
      </c>
    </row>
    <row r="39" spans="1:17" ht="14.15" x14ac:dyDescent="0.3">
      <c r="A39">
        <v>201208</v>
      </c>
      <c r="B39">
        <v>4710</v>
      </c>
      <c r="C39" t="s">
        <v>23</v>
      </c>
      <c r="D39" s="17">
        <v>9671704.4900000002</v>
      </c>
      <c r="E39" s="17">
        <v>9976545.2899999991</v>
      </c>
      <c r="F39" s="17">
        <v>-304840.79999999888</v>
      </c>
      <c r="O39" s="66" t="s">
        <v>23</v>
      </c>
      <c r="P39" s="67">
        <v>-304840.79999999888</v>
      </c>
    </row>
    <row r="40" spans="1:17" ht="14.15" x14ac:dyDescent="0.3">
      <c r="C40" t="s">
        <v>24</v>
      </c>
      <c r="D40" s="17">
        <v>16531634.02</v>
      </c>
      <c r="E40" s="17">
        <v>11629960.92</v>
      </c>
      <c r="F40" s="17">
        <v>4901673.0999999996</v>
      </c>
      <c r="O40" s="66" t="s">
        <v>24</v>
      </c>
      <c r="P40" s="67">
        <v>4901673.0999999996</v>
      </c>
    </row>
    <row r="41" spans="1:17" ht="14.15" x14ac:dyDescent="0.3">
      <c r="C41" t="s">
        <v>25</v>
      </c>
      <c r="D41" s="17">
        <v>11784.42</v>
      </c>
      <c r="E41" s="17"/>
      <c r="F41" s="17">
        <v>11784.42</v>
      </c>
      <c r="O41" s="66" t="s">
        <v>25</v>
      </c>
      <c r="P41" s="67">
        <v>11784.42</v>
      </c>
      <c r="Q41" s="67">
        <f>P41</f>
        <v>11784.42</v>
      </c>
    </row>
    <row r="42" spans="1:17" ht="14.15" x14ac:dyDescent="0.3">
      <c r="A42" s="19"/>
      <c r="B42" s="19" t="s">
        <v>27</v>
      </c>
      <c r="C42" s="19"/>
      <c r="D42" s="20">
        <v>26215122.93</v>
      </c>
      <c r="E42" s="20">
        <v>21606506.210000001</v>
      </c>
      <c r="F42" s="20">
        <v>4608616.7200000007</v>
      </c>
      <c r="O42" s="19"/>
      <c r="P42" s="20">
        <v>4608616.7200000007</v>
      </c>
    </row>
    <row r="43" spans="1:17" x14ac:dyDescent="0.3">
      <c r="A43">
        <v>201209</v>
      </c>
      <c r="B43">
        <v>4710</v>
      </c>
      <c r="C43" t="s">
        <v>23</v>
      </c>
      <c r="D43" s="17">
        <v>5533509.7599999998</v>
      </c>
      <c r="E43" s="17">
        <v>9671704.4900000002</v>
      </c>
      <c r="F43" s="17">
        <v>-4138194.7300000004</v>
      </c>
      <c r="O43" s="66" t="s">
        <v>23</v>
      </c>
      <c r="P43" s="67">
        <v>-4138194.7300000004</v>
      </c>
    </row>
    <row r="44" spans="1:17" x14ac:dyDescent="0.3">
      <c r="C44" t="s">
        <v>24</v>
      </c>
      <c r="D44" s="17">
        <v>18769405.859999999</v>
      </c>
      <c r="E44" s="17">
        <v>3749099.44</v>
      </c>
      <c r="F44" s="17">
        <v>15020306.42</v>
      </c>
      <c r="O44" s="66" t="s">
        <v>24</v>
      </c>
      <c r="P44" s="67">
        <v>15020306.42</v>
      </c>
    </row>
    <row r="45" spans="1:17" x14ac:dyDescent="0.3">
      <c r="C45" t="s">
        <v>25</v>
      </c>
      <c r="D45" s="17">
        <v>11784.42</v>
      </c>
      <c r="E45" s="17"/>
      <c r="F45" s="17">
        <v>11784.42</v>
      </c>
      <c r="O45" s="66" t="s">
        <v>25</v>
      </c>
      <c r="P45" s="67">
        <v>11784.42</v>
      </c>
      <c r="Q45" s="67">
        <f>P45</f>
        <v>11784.42</v>
      </c>
    </row>
    <row r="46" spans="1:17" x14ac:dyDescent="0.3">
      <c r="A46" s="19"/>
      <c r="B46" s="19" t="s">
        <v>27</v>
      </c>
      <c r="C46" s="19"/>
      <c r="D46" s="20">
        <v>24314700.039999999</v>
      </c>
      <c r="E46" s="20">
        <v>13420803.93</v>
      </c>
      <c r="F46" s="20">
        <v>10893896.109999999</v>
      </c>
      <c r="O46" s="19"/>
      <c r="P46" s="20">
        <v>10893896.109999999</v>
      </c>
    </row>
    <row r="47" spans="1:17" x14ac:dyDescent="0.3">
      <c r="A47">
        <v>201210</v>
      </c>
      <c r="B47">
        <v>4710</v>
      </c>
      <c r="C47" t="s">
        <v>23</v>
      </c>
      <c r="D47" s="17">
        <v>9486559.6600000001</v>
      </c>
      <c r="E47" s="17">
        <v>5533509.7599999998</v>
      </c>
      <c r="F47" s="17">
        <v>3953049.9000000004</v>
      </c>
      <c r="O47" s="66" t="s">
        <v>23</v>
      </c>
      <c r="P47" s="67">
        <v>3953049.9000000004</v>
      </c>
    </row>
    <row r="48" spans="1:17" x14ac:dyDescent="0.3">
      <c r="C48" t="s">
        <v>24</v>
      </c>
      <c r="D48" s="17">
        <v>4950595.22</v>
      </c>
      <c r="E48" s="17"/>
      <c r="F48" s="17">
        <v>4950595.22</v>
      </c>
      <c r="O48" s="66" t="s">
        <v>24</v>
      </c>
      <c r="P48" s="67">
        <v>4950595.22</v>
      </c>
    </row>
    <row r="49" spans="1:17" x14ac:dyDescent="0.3">
      <c r="C49" t="s">
        <v>25</v>
      </c>
      <c r="D49" s="17">
        <v>11784.42</v>
      </c>
      <c r="E49" s="17"/>
      <c r="F49" s="17">
        <v>11784.42</v>
      </c>
      <c r="O49" s="66" t="s">
        <v>25</v>
      </c>
      <c r="P49" s="67">
        <v>11784.42</v>
      </c>
      <c r="Q49" s="67">
        <f>P49</f>
        <v>11784.42</v>
      </c>
    </row>
    <row r="50" spans="1:17" x14ac:dyDescent="0.3">
      <c r="A50" s="19"/>
      <c r="B50" s="19" t="s">
        <v>27</v>
      </c>
      <c r="C50" s="19"/>
      <c r="D50" s="20">
        <v>14448939.299999999</v>
      </c>
      <c r="E50" s="20">
        <v>5533509.7599999998</v>
      </c>
      <c r="F50" s="20">
        <v>8915429.540000001</v>
      </c>
      <c r="O50" s="19"/>
      <c r="P50" s="20">
        <v>8915429.540000001</v>
      </c>
    </row>
    <row r="51" spans="1:17" x14ac:dyDescent="0.3">
      <c r="A51">
        <v>201211</v>
      </c>
      <c r="B51">
        <v>4710</v>
      </c>
      <c r="C51" t="s">
        <v>23</v>
      </c>
      <c r="D51" s="17">
        <v>10586270.16</v>
      </c>
      <c r="E51" s="17">
        <v>9486559.6600000001</v>
      </c>
      <c r="F51" s="17">
        <v>1099710.5</v>
      </c>
      <c r="O51" s="66" t="s">
        <v>23</v>
      </c>
      <c r="P51" s="67">
        <v>1099710.5</v>
      </c>
    </row>
    <row r="52" spans="1:17" x14ac:dyDescent="0.3">
      <c r="C52" t="s">
        <v>24</v>
      </c>
      <c r="D52" s="17">
        <v>10079182.07</v>
      </c>
      <c r="E52" s="17"/>
      <c r="F52" s="17">
        <v>10079182.07</v>
      </c>
      <c r="O52" s="66" t="s">
        <v>24</v>
      </c>
      <c r="P52" s="67">
        <v>10079182.07</v>
      </c>
    </row>
    <row r="53" spans="1:17" x14ac:dyDescent="0.3">
      <c r="C53" t="s">
        <v>25</v>
      </c>
      <c r="D53" s="17">
        <v>11784.42</v>
      </c>
      <c r="E53" s="17"/>
      <c r="F53" s="17">
        <v>11784.42</v>
      </c>
      <c r="O53" s="66" t="s">
        <v>25</v>
      </c>
      <c r="P53" s="67">
        <v>11784.42</v>
      </c>
      <c r="Q53" s="67">
        <f>P53</f>
        <v>11784.42</v>
      </c>
    </row>
    <row r="54" spans="1:17" x14ac:dyDescent="0.3">
      <c r="A54" s="19"/>
      <c r="B54" s="19" t="s">
        <v>27</v>
      </c>
      <c r="C54" s="19"/>
      <c r="D54" s="20">
        <v>20677236.650000002</v>
      </c>
      <c r="E54" s="20">
        <v>9486559.6600000001</v>
      </c>
      <c r="F54" s="20">
        <v>11190676.99</v>
      </c>
      <c r="O54" s="19"/>
      <c r="P54" s="20">
        <v>11190676.99</v>
      </c>
    </row>
    <row r="55" spans="1:17" x14ac:dyDescent="0.3">
      <c r="A55">
        <v>201212</v>
      </c>
      <c r="B55">
        <v>4710</v>
      </c>
      <c r="C55" t="s">
        <v>22</v>
      </c>
      <c r="D55" s="17">
        <v>1478.01</v>
      </c>
      <c r="E55" s="17"/>
      <c r="F55" s="17">
        <v>1478.01</v>
      </c>
      <c r="O55" s="66" t="s">
        <v>22</v>
      </c>
      <c r="P55" s="67">
        <v>1478.01</v>
      </c>
      <c r="Q55" s="67">
        <f>P55</f>
        <v>1478.01</v>
      </c>
    </row>
    <row r="56" spans="1:17" x14ac:dyDescent="0.3">
      <c r="C56" t="s">
        <v>23</v>
      </c>
      <c r="D56" s="17">
        <v>8389013.3399999999</v>
      </c>
      <c r="E56" s="17">
        <v>10586270.16</v>
      </c>
      <c r="F56" s="17">
        <v>-2197256.8200000003</v>
      </c>
      <c r="O56" s="66" t="s">
        <v>23</v>
      </c>
      <c r="P56" s="67">
        <v>-2197256.8200000003</v>
      </c>
    </row>
    <row r="57" spans="1:17" x14ac:dyDescent="0.3">
      <c r="C57" t="s">
        <v>24</v>
      </c>
      <c r="D57" s="17">
        <v>10069717.32</v>
      </c>
      <c r="E57" s="17"/>
      <c r="F57" s="17">
        <v>10069717.32</v>
      </c>
      <c r="O57" s="66" t="s">
        <v>24</v>
      </c>
      <c r="P57" s="67">
        <v>10069717.32</v>
      </c>
    </row>
    <row r="58" spans="1:17" x14ac:dyDescent="0.3">
      <c r="C58" t="s">
        <v>25</v>
      </c>
      <c r="D58" s="17">
        <v>15976</v>
      </c>
      <c r="E58" s="17"/>
      <c r="F58" s="17">
        <v>15976</v>
      </c>
      <c r="O58" s="66" t="s">
        <v>25</v>
      </c>
      <c r="P58" s="67">
        <v>15976</v>
      </c>
      <c r="Q58" s="67">
        <f>P58</f>
        <v>15976</v>
      </c>
    </row>
    <row r="59" spans="1:17" x14ac:dyDescent="0.3">
      <c r="A59" s="19"/>
      <c r="B59" s="19" t="s">
        <v>27</v>
      </c>
      <c r="C59" s="19"/>
      <c r="D59" s="20">
        <v>18476184.670000002</v>
      </c>
      <c r="E59" s="20">
        <v>10586270.16</v>
      </c>
      <c r="F59" s="20">
        <v>7889914.5099999998</v>
      </c>
      <c r="O59" s="19"/>
      <c r="P59" s="20">
        <v>7889914.5099999998</v>
      </c>
    </row>
    <row r="60" spans="1:17" x14ac:dyDescent="0.3">
      <c r="A60" t="s">
        <v>32</v>
      </c>
      <c r="D60" s="17">
        <v>318881423.81999999</v>
      </c>
      <c r="E60" s="17">
        <v>202324135.53999996</v>
      </c>
      <c r="F60" s="17">
        <v>116557288.28000003</v>
      </c>
      <c r="P60" s="67">
        <v>116557288.28000003</v>
      </c>
      <c r="Q60" s="67">
        <f>SUM(Q8:Q59)</f>
        <v>208636.63000000006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12" sqref="J12"/>
    </sheetView>
  </sheetViews>
  <sheetFormatPr defaultRowHeight="14" x14ac:dyDescent="0.3"/>
  <cols>
    <col min="2" max="2" width="10.83203125" bestFit="1" customWidth="1"/>
    <col min="8" max="9" width="13.75" style="68" bestFit="1" customWidth="1"/>
    <col min="10" max="10" width="14.33203125" style="68" bestFit="1" customWidth="1"/>
    <col min="11" max="11" width="36.08203125" bestFit="1" customWidth="1"/>
  </cols>
  <sheetData>
    <row r="1" spans="1:11" ht="14.15" x14ac:dyDescent="0.2">
      <c r="A1" s="66" t="s">
        <v>33</v>
      </c>
      <c r="B1" s="66" t="s">
        <v>34</v>
      </c>
      <c r="C1" s="66" t="s">
        <v>16</v>
      </c>
      <c r="D1" s="66" t="s">
        <v>35</v>
      </c>
      <c r="E1" s="66" t="s">
        <v>36</v>
      </c>
      <c r="F1" s="66" t="s">
        <v>37</v>
      </c>
      <c r="G1" s="66" t="s">
        <v>17</v>
      </c>
      <c r="H1" s="68" t="s">
        <v>38</v>
      </c>
      <c r="I1" s="68" t="s">
        <v>39</v>
      </c>
      <c r="J1" s="68" t="s">
        <v>40</v>
      </c>
      <c r="K1" s="66" t="s">
        <v>18</v>
      </c>
    </row>
    <row r="2" spans="1:11" ht="14.15" x14ac:dyDescent="0.2">
      <c r="A2" s="66" t="s">
        <v>44</v>
      </c>
      <c r="B2" s="66">
        <v>2014003466</v>
      </c>
      <c r="C2" s="66">
        <v>201403</v>
      </c>
      <c r="D2" s="66">
        <v>409010</v>
      </c>
      <c r="E2" s="66">
        <v>900</v>
      </c>
      <c r="F2" s="66">
        <v>101</v>
      </c>
      <c r="G2" s="66">
        <v>4710</v>
      </c>
      <c r="H2" s="68">
        <v>3772.38</v>
      </c>
      <c r="J2" s="68">
        <v>3772.38</v>
      </c>
      <c r="K2" s="66" t="s">
        <v>62</v>
      </c>
    </row>
    <row r="3" spans="1:11" ht="14.15" x14ac:dyDescent="0.2">
      <c r="A3" s="66" t="s">
        <v>41</v>
      </c>
      <c r="B3" s="66">
        <v>2014000043</v>
      </c>
      <c r="C3" s="66">
        <v>201401</v>
      </c>
      <c r="D3" s="66">
        <v>409010</v>
      </c>
      <c r="E3" s="66">
        <v>900</v>
      </c>
      <c r="F3" s="66">
        <v>101</v>
      </c>
      <c r="G3" s="66">
        <v>4710</v>
      </c>
      <c r="H3" s="68">
        <v>14000061.060000001</v>
      </c>
      <c r="J3" s="68">
        <v>14000061.060000001</v>
      </c>
      <c r="K3" s="66" t="s">
        <v>24</v>
      </c>
    </row>
    <row r="4" spans="1:11" ht="14.15" x14ac:dyDescent="0.2">
      <c r="A4" s="66" t="s">
        <v>41</v>
      </c>
      <c r="B4" s="66">
        <v>2014000045</v>
      </c>
      <c r="C4" s="66">
        <v>201401</v>
      </c>
      <c r="D4" s="66">
        <v>409010</v>
      </c>
      <c r="E4" s="66">
        <v>900</v>
      </c>
      <c r="F4" s="66">
        <v>101</v>
      </c>
      <c r="G4" s="66">
        <v>4710</v>
      </c>
      <c r="H4" s="68">
        <v>11419.55</v>
      </c>
      <c r="J4" s="68">
        <v>11419.55</v>
      </c>
      <c r="K4" s="66"/>
    </row>
    <row r="5" spans="1:11" ht="14.15" x14ac:dyDescent="0.2">
      <c r="A5" s="66" t="s">
        <v>41</v>
      </c>
      <c r="B5" s="66">
        <v>2014000313</v>
      </c>
      <c r="C5" s="66">
        <v>201402</v>
      </c>
      <c r="D5" s="66">
        <v>409010</v>
      </c>
      <c r="E5" s="66">
        <v>900</v>
      </c>
      <c r="F5" s="66">
        <v>101</v>
      </c>
      <c r="G5" s="66">
        <v>4710</v>
      </c>
      <c r="H5" s="68">
        <v>11419.55</v>
      </c>
      <c r="J5" s="68">
        <v>11419.55</v>
      </c>
      <c r="K5" s="66"/>
    </row>
    <row r="6" spans="1:11" ht="14.15" x14ac:dyDescent="0.2">
      <c r="A6" s="66" t="s">
        <v>41</v>
      </c>
      <c r="B6" s="66">
        <v>2014000331</v>
      </c>
      <c r="C6" s="66">
        <v>201402</v>
      </c>
      <c r="D6" s="66">
        <v>409010</v>
      </c>
      <c r="E6" s="66">
        <v>900</v>
      </c>
      <c r="F6" s="66">
        <v>101</v>
      </c>
      <c r="G6" s="66">
        <v>4710</v>
      </c>
      <c r="H6" s="68">
        <v>2642868.62</v>
      </c>
      <c r="J6" s="68">
        <v>2642868.62</v>
      </c>
      <c r="K6" s="66" t="s">
        <v>24</v>
      </c>
    </row>
    <row r="7" spans="1:11" ht="14.15" x14ac:dyDescent="0.2">
      <c r="A7" s="66" t="s">
        <v>41</v>
      </c>
      <c r="B7" s="66">
        <v>2014000448</v>
      </c>
      <c r="C7" s="66">
        <v>201403</v>
      </c>
      <c r="D7" s="66">
        <v>409010</v>
      </c>
      <c r="E7" s="66">
        <v>900</v>
      </c>
      <c r="F7" s="66">
        <v>101</v>
      </c>
      <c r="G7" s="66">
        <v>4710</v>
      </c>
      <c r="H7" s="68">
        <v>11419.55</v>
      </c>
      <c r="J7" s="68">
        <v>11419.55</v>
      </c>
      <c r="K7" s="66"/>
    </row>
    <row r="8" spans="1:11" ht="14.15" x14ac:dyDescent="0.2">
      <c r="A8" s="66" t="s">
        <v>41</v>
      </c>
      <c r="B8" s="66">
        <v>2014000449</v>
      </c>
      <c r="C8" s="66">
        <v>201403</v>
      </c>
      <c r="D8" s="66">
        <v>409010</v>
      </c>
      <c r="E8" s="66">
        <v>900</v>
      </c>
      <c r="F8" s="66">
        <v>101</v>
      </c>
      <c r="G8" s="66">
        <v>4710</v>
      </c>
      <c r="H8" s="68">
        <v>2606602.64</v>
      </c>
      <c r="J8" s="68">
        <v>2606602.64</v>
      </c>
      <c r="K8" s="66" t="s">
        <v>24</v>
      </c>
    </row>
    <row r="9" spans="1:11" ht="14.15" x14ac:dyDescent="0.2">
      <c r="A9" s="66" t="s">
        <v>41</v>
      </c>
      <c r="B9" s="66">
        <v>2014000562</v>
      </c>
      <c r="C9" s="66">
        <v>201403</v>
      </c>
      <c r="D9" s="66">
        <v>409010</v>
      </c>
      <c r="E9" s="66">
        <v>900</v>
      </c>
      <c r="F9" s="66">
        <v>101</v>
      </c>
      <c r="G9" s="66">
        <v>4710</v>
      </c>
      <c r="I9" s="68">
        <v>4108333.67</v>
      </c>
      <c r="J9" s="68">
        <v>-4108333.67</v>
      </c>
      <c r="K9" s="66" t="s">
        <v>160</v>
      </c>
    </row>
    <row r="10" spans="1:11" ht="14.15" x14ac:dyDescent="0.2">
      <c r="A10" s="66" t="s">
        <v>41</v>
      </c>
      <c r="B10" s="66">
        <v>2014000563</v>
      </c>
      <c r="C10" s="66">
        <v>201403</v>
      </c>
      <c r="D10" s="66">
        <v>409010</v>
      </c>
      <c r="E10" s="66">
        <v>900</v>
      </c>
      <c r="F10" s="66">
        <v>101</v>
      </c>
      <c r="G10" s="66">
        <v>4710</v>
      </c>
      <c r="I10" s="68">
        <v>121.02</v>
      </c>
      <c r="J10" s="68">
        <v>-121.02</v>
      </c>
      <c r="K10" s="66" t="s">
        <v>161</v>
      </c>
    </row>
    <row r="11" spans="1:11" ht="14.15" x14ac:dyDescent="0.2">
      <c r="A11" s="66" t="s">
        <v>41</v>
      </c>
      <c r="B11" s="66">
        <v>2014000564</v>
      </c>
      <c r="C11" s="66">
        <v>201403</v>
      </c>
      <c r="D11" s="66">
        <v>409010</v>
      </c>
      <c r="E11" s="66">
        <v>900</v>
      </c>
      <c r="F11" s="66">
        <v>101</v>
      </c>
      <c r="G11" s="66">
        <v>4710</v>
      </c>
      <c r="I11" s="68">
        <v>111.24</v>
      </c>
      <c r="J11" s="68">
        <v>-111.24</v>
      </c>
      <c r="K11" s="66" t="s">
        <v>162</v>
      </c>
    </row>
    <row r="12" spans="1:11" ht="14.15" x14ac:dyDescent="0.2">
      <c r="A12" s="66" t="s">
        <v>42</v>
      </c>
      <c r="B12" s="66">
        <v>2014000035</v>
      </c>
      <c r="C12" s="66">
        <v>201401</v>
      </c>
      <c r="D12" s="66">
        <v>409010</v>
      </c>
      <c r="E12" s="66">
        <v>900</v>
      </c>
      <c r="F12" s="66">
        <v>101</v>
      </c>
      <c r="G12" s="66">
        <v>4710</v>
      </c>
      <c r="H12" s="68">
        <v>2625555.42</v>
      </c>
      <c r="J12" s="68">
        <v>2625555.42</v>
      </c>
      <c r="K12" s="66" t="s">
        <v>23</v>
      </c>
    </row>
    <row r="13" spans="1:11" ht="14.15" x14ac:dyDescent="0.2">
      <c r="A13" s="66" t="s">
        <v>42</v>
      </c>
      <c r="B13" s="66">
        <v>2014000067</v>
      </c>
      <c r="C13" s="66">
        <v>201402</v>
      </c>
      <c r="D13" s="66">
        <v>409010</v>
      </c>
      <c r="E13" s="66">
        <v>900</v>
      </c>
      <c r="F13" s="66">
        <v>101</v>
      </c>
      <c r="G13" s="66">
        <v>4710</v>
      </c>
      <c r="H13" s="68">
        <v>2345022.29</v>
      </c>
      <c r="J13" s="68">
        <v>2345022.29</v>
      </c>
      <c r="K13" s="66" t="s">
        <v>23</v>
      </c>
    </row>
    <row r="14" spans="1:11" ht="14.25" x14ac:dyDescent="0.2">
      <c r="A14" t="s">
        <v>42</v>
      </c>
      <c r="B14">
        <v>2014000100</v>
      </c>
      <c r="C14">
        <v>201403</v>
      </c>
      <c r="D14">
        <v>409010</v>
      </c>
      <c r="E14">
        <v>900</v>
      </c>
      <c r="F14">
        <v>101</v>
      </c>
      <c r="G14">
        <v>4710</v>
      </c>
      <c r="I14" s="68">
        <v>1547536.36</v>
      </c>
      <c r="J14" s="68">
        <v>-1547536.36</v>
      </c>
      <c r="K14" t="s">
        <v>164</v>
      </c>
    </row>
    <row r="15" spans="1:11" ht="14.25" x14ac:dyDescent="0.2">
      <c r="A15" t="s">
        <v>43</v>
      </c>
      <c r="B15">
        <v>2014000020</v>
      </c>
      <c r="C15">
        <v>201401</v>
      </c>
      <c r="D15">
        <v>409010</v>
      </c>
      <c r="E15">
        <v>900</v>
      </c>
      <c r="F15">
        <v>101</v>
      </c>
      <c r="G15">
        <v>4710</v>
      </c>
      <c r="I15" s="68">
        <v>10976550.310000001</v>
      </c>
      <c r="J15" s="68">
        <v>-10976550.310000001</v>
      </c>
      <c r="K15" t="s">
        <v>23</v>
      </c>
    </row>
    <row r="16" spans="1:11" ht="14.25" x14ac:dyDescent="0.2">
      <c r="A16" t="s">
        <v>43</v>
      </c>
      <c r="B16">
        <v>2014000060</v>
      </c>
      <c r="C16">
        <v>201402</v>
      </c>
      <c r="D16">
        <v>409010</v>
      </c>
      <c r="E16">
        <v>900</v>
      </c>
      <c r="F16">
        <v>101</v>
      </c>
      <c r="G16">
        <v>4710</v>
      </c>
      <c r="I16" s="68">
        <v>2625555.42</v>
      </c>
      <c r="J16" s="68">
        <v>-2625555.42</v>
      </c>
      <c r="K16" t="s">
        <v>23</v>
      </c>
    </row>
    <row r="17" spans="1:11" ht="14.25" x14ac:dyDescent="0.2">
      <c r="A17" t="s">
        <v>43</v>
      </c>
      <c r="B17">
        <v>2014000092</v>
      </c>
      <c r="C17">
        <v>201403</v>
      </c>
      <c r="D17">
        <v>409010</v>
      </c>
      <c r="E17">
        <v>900</v>
      </c>
      <c r="F17">
        <v>101</v>
      </c>
      <c r="G17">
        <v>4710</v>
      </c>
      <c r="I17" s="68">
        <v>2345022.29</v>
      </c>
      <c r="J17" s="68">
        <v>-2345022.29</v>
      </c>
      <c r="K17" t="s">
        <v>23</v>
      </c>
    </row>
    <row r="18" spans="1:11" ht="14.25" x14ac:dyDescent="0.2">
      <c r="A18" t="s">
        <v>43</v>
      </c>
      <c r="B18">
        <v>2014000125</v>
      </c>
      <c r="C18">
        <v>201404</v>
      </c>
      <c r="D18">
        <v>409010</v>
      </c>
      <c r="E18">
        <v>900</v>
      </c>
      <c r="F18">
        <v>101</v>
      </c>
      <c r="G18">
        <v>4710</v>
      </c>
      <c r="H18" s="68">
        <v>1547536.36</v>
      </c>
      <c r="J18" s="68">
        <v>1547536.36</v>
      </c>
      <c r="K18" t="s">
        <v>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A2" sqref="A2:XFD2"/>
    </sheetView>
  </sheetViews>
  <sheetFormatPr defaultRowHeight="14" x14ac:dyDescent="0.3"/>
  <cols>
    <col min="1" max="1" width="8.5" bestFit="1" customWidth="1"/>
    <col min="2" max="2" width="10.83203125" bestFit="1" customWidth="1"/>
    <col min="3" max="3" width="14.08203125" bestFit="1" customWidth="1"/>
    <col min="4" max="4" width="7.5" bestFit="1" customWidth="1"/>
    <col min="5" max="5" width="9.08203125" bestFit="1" customWidth="1"/>
    <col min="6" max="6" width="8.83203125" bestFit="1" customWidth="1"/>
    <col min="7" max="7" width="4.83203125" bestFit="1" customWidth="1"/>
    <col min="8" max="8" width="12.33203125" bestFit="1" customWidth="1"/>
    <col min="9" max="9" width="12.5" bestFit="1" customWidth="1"/>
    <col min="10" max="10" width="13.08203125" bestFit="1" customWidth="1"/>
    <col min="11" max="11" width="50.83203125" bestFit="1" customWidth="1"/>
  </cols>
  <sheetData>
    <row r="1" spans="1:11" ht="14.15" x14ac:dyDescent="0.3">
      <c r="A1" t="s">
        <v>33</v>
      </c>
      <c r="B1" t="s">
        <v>34</v>
      </c>
      <c r="C1" t="s">
        <v>16</v>
      </c>
      <c r="D1" t="s">
        <v>35</v>
      </c>
      <c r="E1" t="s">
        <v>36</v>
      </c>
      <c r="F1" t="s">
        <v>37</v>
      </c>
      <c r="G1" t="s">
        <v>17</v>
      </c>
      <c r="H1" t="s">
        <v>38</v>
      </c>
      <c r="I1" t="s">
        <v>39</v>
      </c>
      <c r="J1" t="s">
        <v>40</v>
      </c>
      <c r="K1" t="s">
        <v>18</v>
      </c>
    </row>
    <row r="2" spans="1:11" ht="14.15" x14ac:dyDescent="0.3">
      <c r="A2" t="s">
        <v>41</v>
      </c>
      <c r="B2">
        <v>2013000064</v>
      </c>
      <c r="C2">
        <v>201301</v>
      </c>
      <c r="D2">
        <v>409010</v>
      </c>
      <c r="E2">
        <v>900</v>
      </c>
      <c r="F2">
        <v>101</v>
      </c>
      <c r="G2">
        <v>4710</v>
      </c>
      <c r="H2" s="17">
        <v>8770403.1199999992</v>
      </c>
      <c r="J2" s="17">
        <v>8770403.1199999992</v>
      </c>
      <c r="K2" t="s">
        <v>24</v>
      </c>
    </row>
    <row r="3" spans="1:11" ht="14.15" x14ac:dyDescent="0.3">
      <c r="A3" t="s">
        <v>41</v>
      </c>
      <c r="B3">
        <v>2013000104</v>
      </c>
      <c r="C3">
        <v>201301</v>
      </c>
      <c r="D3">
        <v>409010</v>
      </c>
      <c r="E3">
        <v>900</v>
      </c>
      <c r="F3">
        <v>101</v>
      </c>
      <c r="G3">
        <v>4710</v>
      </c>
      <c r="H3" s="17">
        <v>11784.42</v>
      </c>
      <c r="J3" s="17">
        <v>11784.42</v>
      </c>
      <c r="K3" t="s">
        <v>26</v>
      </c>
    </row>
    <row r="4" spans="1:11" ht="14.15" x14ac:dyDescent="0.3">
      <c r="A4" t="s">
        <v>42</v>
      </c>
      <c r="B4">
        <v>2013000036</v>
      </c>
      <c r="C4">
        <v>201301</v>
      </c>
      <c r="D4">
        <v>409010</v>
      </c>
      <c r="E4">
        <v>900</v>
      </c>
      <c r="F4">
        <v>101</v>
      </c>
      <c r="G4">
        <v>4710</v>
      </c>
      <c r="H4" s="17">
        <v>10270264.09</v>
      </c>
      <c r="J4" s="17">
        <v>10270264.09</v>
      </c>
      <c r="K4" t="s">
        <v>23</v>
      </c>
    </row>
    <row r="5" spans="1:11" ht="14.15" x14ac:dyDescent="0.3">
      <c r="A5" t="s">
        <v>43</v>
      </c>
      <c r="B5">
        <v>2013000024</v>
      </c>
      <c r="C5">
        <v>201301</v>
      </c>
      <c r="D5">
        <v>409010</v>
      </c>
      <c r="E5">
        <v>900</v>
      </c>
      <c r="F5">
        <v>101</v>
      </c>
      <c r="G5">
        <v>4710</v>
      </c>
      <c r="I5" s="17">
        <v>4191.58</v>
      </c>
      <c r="J5" s="17">
        <v>-4191.58</v>
      </c>
    </row>
    <row r="6" spans="1:11" ht="14.15" x14ac:dyDescent="0.3">
      <c r="A6" t="s">
        <v>43</v>
      </c>
      <c r="B6">
        <v>2013000028</v>
      </c>
      <c r="C6">
        <v>201301</v>
      </c>
      <c r="D6">
        <v>409010</v>
      </c>
      <c r="E6">
        <v>900</v>
      </c>
      <c r="F6">
        <v>102</v>
      </c>
      <c r="G6">
        <v>4710</v>
      </c>
      <c r="I6" s="17">
        <v>1478.01</v>
      </c>
      <c r="J6" s="17">
        <v>-1478.01</v>
      </c>
      <c r="K6" t="s">
        <v>22</v>
      </c>
    </row>
    <row r="7" spans="1:11" ht="14.15" x14ac:dyDescent="0.3">
      <c r="A7" t="s">
        <v>43</v>
      </c>
      <c r="B7">
        <v>2013000043</v>
      </c>
      <c r="C7">
        <v>201301</v>
      </c>
      <c r="D7">
        <v>409010</v>
      </c>
      <c r="E7">
        <v>900</v>
      </c>
      <c r="F7">
        <v>101</v>
      </c>
      <c r="G7">
        <v>4710</v>
      </c>
      <c r="I7" s="17">
        <v>8389013.3399999999</v>
      </c>
      <c r="J7" s="17">
        <v>-8389013.3399999999</v>
      </c>
      <c r="K7" t="s">
        <v>23</v>
      </c>
    </row>
    <row r="8" spans="1:11" ht="14.15" x14ac:dyDescent="0.3">
      <c r="A8" t="s">
        <v>41</v>
      </c>
      <c r="B8">
        <v>2013000199</v>
      </c>
      <c r="C8">
        <v>201302</v>
      </c>
      <c r="D8">
        <v>409010</v>
      </c>
      <c r="E8">
        <v>900</v>
      </c>
      <c r="F8">
        <v>101</v>
      </c>
      <c r="G8">
        <v>4710</v>
      </c>
      <c r="H8" s="17">
        <v>11784.42</v>
      </c>
      <c r="J8" s="17">
        <v>11784.42</v>
      </c>
      <c r="K8" t="s">
        <v>26</v>
      </c>
    </row>
    <row r="9" spans="1:11" ht="14.15" x14ac:dyDescent="0.3">
      <c r="A9" t="s">
        <v>41</v>
      </c>
      <c r="B9">
        <v>2013000200</v>
      </c>
      <c r="C9">
        <v>201302</v>
      </c>
      <c r="D9">
        <v>409010</v>
      </c>
      <c r="E9">
        <v>900</v>
      </c>
      <c r="F9">
        <v>101</v>
      </c>
      <c r="G9">
        <v>4710</v>
      </c>
      <c r="H9" s="17">
        <v>9953438.3699999992</v>
      </c>
      <c r="J9" s="17">
        <v>9953438.3699999992</v>
      </c>
      <c r="K9" t="s">
        <v>24</v>
      </c>
    </row>
    <row r="10" spans="1:11" ht="14.15" x14ac:dyDescent="0.3">
      <c r="A10" t="s">
        <v>42</v>
      </c>
      <c r="B10">
        <v>2013000078</v>
      </c>
      <c r="C10">
        <v>201302</v>
      </c>
      <c r="D10">
        <v>409010</v>
      </c>
      <c r="E10">
        <v>900</v>
      </c>
      <c r="F10">
        <v>101</v>
      </c>
      <c r="G10">
        <v>4710</v>
      </c>
      <c r="H10" s="17">
        <v>7772586.5099999998</v>
      </c>
      <c r="J10" s="17">
        <v>7772586.5099999998</v>
      </c>
      <c r="K10" t="s">
        <v>23</v>
      </c>
    </row>
    <row r="11" spans="1:11" ht="14.15" x14ac:dyDescent="0.3">
      <c r="A11" t="s">
        <v>43</v>
      </c>
      <c r="B11">
        <v>2013000085</v>
      </c>
      <c r="C11">
        <v>201302</v>
      </c>
      <c r="D11">
        <v>409010</v>
      </c>
      <c r="E11">
        <v>900</v>
      </c>
      <c r="F11">
        <v>101</v>
      </c>
      <c r="G11">
        <v>4710</v>
      </c>
      <c r="I11" s="17">
        <v>10270264.09</v>
      </c>
      <c r="J11" s="17">
        <v>-10270264.09</v>
      </c>
      <c r="K11" t="s">
        <v>23</v>
      </c>
    </row>
    <row r="12" spans="1:11" ht="14.15" x14ac:dyDescent="0.3">
      <c r="A12" t="s">
        <v>41</v>
      </c>
      <c r="B12">
        <v>2013000346</v>
      </c>
      <c r="C12">
        <v>201303</v>
      </c>
      <c r="D12">
        <v>409010</v>
      </c>
      <c r="E12">
        <v>900</v>
      </c>
      <c r="F12">
        <v>101</v>
      </c>
      <c r="G12">
        <v>4710</v>
      </c>
      <c r="H12" s="17">
        <v>8646653.0099999998</v>
      </c>
      <c r="J12" s="17">
        <v>8646653.0099999998</v>
      </c>
      <c r="K12" t="s">
        <v>24</v>
      </c>
    </row>
    <row r="13" spans="1:11" ht="14.15" x14ac:dyDescent="0.3">
      <c r="A13" t="s">
        <v>41</v>
      </c>
      <c r="B13">
        <v>2013000347</v>
      </c>
      <c r="C13">
        <v>201303</v>
      </c>
      <c r="D13">
        <v>409010</v>
      </c>
      <c r="E13">
        <v>900</v>
      </c>
      <c r="F13">
        <v>101</v>
      </c>
      <c r="G13">
        <v>4710</v>
      </c>
      <c r="H13" s="17">
        <v>11784.42</v>
      </c>
      <c r="J13" s="17">
        <v>11784.42</v>
      </c>
      <c r="K13" t="s">
        <v>26</v>
      </c>
    </row>
    <row r="14" spans="1:11" ht="14.15" x14ac:dyDescent="0.3">
      <c r="A14" t="s">
        <v>42</v>
      </c>
      <c r="B14">
        <v>2013000115</v>
      </c>
      <c r="C14">
        <v>201303</v>
      </c>
      <c r="D14">
        <v>409010</v>
      </c>
      <c r="E14">
        <v>900</v>
      </c>
      <c r="F14">
        <v>101</v>
      </c>
      <c r="G14">
        <v>4710</v>
      </c>
      <c r="H14" s="17">
        <v>8328895.4199999999</v>
      </c>
      <c r="J14" s="17">
        <v>8328895.4199999999</v>
      </c>
      <c r="K14" t="s">
        <v>23</v>
      </c>
    </row>
    <row r="15" spans="1:11" ht="14.15" x14ac:dyDescent="0.3">
      <c r="A15" t="s">
        <v>43</v>
      </c>
      <c r="B15">
        <v>2013000126</v>
      </c>
      <c r="C15">
        <v>201303</v>
      </c>
      <c r="D15">
        <v>409010</v>
      </c>
      <c r="E15">
        <v>900</v>
      </c>
      <c r="F15">
        <v>101</v>
      </c>
      <c r="G15">
        <v>4710</v>
      </c>
      <c r="I15" s="17">
        <v>7772586.5099999998</v>
      </c>
      <c r="J15" s="17">
        <v>-7772586.5099999998</v>
      </c>
      <c r="K15" t="s">
        <v>23</v>
      </c>
    </row>
    <row r="16" spans="1:11" ht="14.15" x14ac:dyDescent="0.3">
      <c r="A16" t="s">
        <v>41</v>
      </c>
      <c r="B16">
        <v>2013000550</v>
      </c>
      <c r="C16">
        <v>201304</v>
      </c>
      <c r="D16">
        <v>409010</v>
      </c>
      <c r="E16">
        <v>900</v>
      </c>
      <c r="F16">
        <v>101</v>
      </c>
      <c r="G16">
        <v>4710</v>
      </c>
      <c r="H16" s="17">
        <v>8114877.6900000004</v>
      </c>
      <c r="J16" s="17">
        <v>8114877.6900000004</v>
      </c>
      <c r="K16" t="s">
        <v>24</v>
      </c>
    </row>
    <row r="17" spans="1:11" ht="14.15" x14ac:dyDescent="0.3">
      <c r="A17" t="s">
        <v>41</v>
      </c>
      <c r="B17">
        <v>2013000551</v>
      </c>
      <c r="C17">
        <v>201304</v>
      </c>
      <c r="D17">
        <v>409010</v>
      </c>
      <c r="E17">
        <v>900</v>
      </c>
      <c r="F17">
        <v>101</v>
      </c>
      <c r="G17">
        <v>4710</v>
      </c>
      <c r="H17" s="17">
        <v>11784.42</v>
      </c>
      <c r="J17" s="17">
        <v>11784.42</v>
      </c>
      <c r="K17" t="s">
        <v>26</v>
      </c>
    </row>
    <row r="18" spans="1:11" ht="14.25" x14ac:dyDescent="0.2">
      <c r="A18" t="s">
        <v>42</v>
      </c>
      <c r="B18">
        <v>2013000154</v>
      </c>
      <c r="C18">
        <v>201304</v>
      </c>
      <c r="D18">
        <v>409010</v>
      </c>
      <c r="E18">
        <v>900</v>
      </c>
      <c r="F18">
        <v>101</v>
      </c>
      <c r="G18">
        <v>4710</v>
      </c>
      <c r="H18" s="17">
        <v>10686550.470000001</v>
      </c>
      <c r="J18" s="17">
        <v>10686550.470000001</v>
      </c>
      <c r="K18" t="s">
        <v>23</v>
      </c>
    </row>
    <row r="19" spans="1:11" x14ac:dyDescent="0.3">
      <c r="A19" t="s">
        <v>43</v>
      </c>
      <c r="B19">
        <v>2013000164</v>
      </c>
      <c r="C19">
        <v>201304</v>
      </c>
      <c r="D19">
        <v>409010</v>
      </c>
      <c r="E19">
        <v>900</v>
      </c>
      <c r="F19">
        <v>101</v>
      </c>
      <c r="G19">
        <v>4710</v>
      </c>
      <c r="I19" s="17">
        <v>8328895.4199999999</v>
      </c>
      <c r="J19" s="17">
        <v>-8328895.4199999999</v>
      </c>
      <c r="K19" t="s">
        <v>23</v>
      </c>
    </row>
    <row r="20" spans="1:11" x14ac:dyDescent="0.3">
      <c r="A20" t="s">
        <v>41</v>
      </c>
      <c r="B20">
        <v>2013000744</v>
      </c>
      <c r="C20">
        <v>201305</v>
      </c>
      <c r="D20">
        <v>409010</v>
      </c>
      <c r="E20">
        <v>900</v>
      </c>
      <c r="F20">
        <v>101</v>
      </c>
      <c r="G20">
        <v>4710</v>
      </c>
      <c r="H20" s="17">
        <v>12100298.42</v>
      </c>
      <c r="J20" s="17">
        <v>12100298.42</v>
      </c>
      <c r="K20" t="s">
        <v>24</v>
      </c>
    </row>
    <row r="21" spans="1:11" x14ac:dyDescent="0.3">
      <c r="A21" t="s">
        <v>41</v>
      </c>
      <c r="B21">
        <v>2013000772</v>
      </c>
      <c r="C21">
        <v>201305</v>
      </c>
      <c r="D21">
        <v>409010</v>
      </c>
      <c r="E21">
        <v>900</v>
      </c>
      <c r="F21">
        <v>101</v>
      </c>
      <c r="G21">
        <v>4710</v>
      </c>
      <c r="H21" s="17">
        <v>11419.55</v>
      </c>
      <c r="J21" s="17">
        <v>11419.55</v>
      </c>
      <c r="K21" t="s">
        <v>26</v>
      </c>
    </row>
    <row r="22" spans="1:11" x14ac:dyDescent="0.3">
      <c r="A22" t="s">
        <v>42</v>
      </c>
      <c r="B22">
        <v>2013000190</v>
      </c>
      <c r="C22">
        <v>201305</v>
      </c>
      <c r="D22">
        <v>409010</v>
      </c>
      <c r="E22">
        <v>900</v>
      </c>
      <c r="F22">
        <v>101</v>
      </c>
      <c r="G22">
        <v>4710</v>
      </c>
      <c r="H22" s="17">
        <v>12034445.640000001</v>
      </c>
      <c r="J22" s="17">
        <v>12034445.640000001</v>
      </c>
      <c r="K22" t="s">
        <v>23</v>
      </c>
    </row>
    <row r="23" spans="1:11" x14ac:dyDescent="0.3">
      <c r="A23" t="s">
        <v>43</v>
      </c>
      <c r="B23">
        <v>2013000203</v>
      </c>
      <c r="C23">
        <v>201305</v>
      </c>
      <c r="D23">
        <v>409010</v>
      </c>
      <c r="E23">
        <v>900</v>
      </c>
      <c r="F23">
        <v>101</v>
      </c>
      <c r="G23">
        <v>4710</v>
      </c>
      <c r="I23" s="17">
        <v>10686550.470000001</v>
      </c>
      <c r="J23" s="17">
        <v>-10686550.470000001</v>
      </c>
      <c r="K23" t="s">
        <v>23</v>
      </c>
    </row>
    <row r="24" spans="1:11" x14ac:dyDescent="0.3">
      <c r="A24" t="s">
        <v>44</v>
      </c>
      <c r="B24">
        <v>2013005958</v>
      </c>
      <c r="C24">
        <v>201306</v>
      </c>
      <c r="D24">
        <v>409010</v>
      </c>
      <c r="E24">
        <v>900</v>
      </c>
      <c r="F24">
        <v>101</v>
      </c>
      <c r="G24">
        <v>4710</v>
      </c>
      <c r="I24" s="17">
        <v>1257.22</v>
      </c>
      <c r="J24" s="17">
        <v>-1257.22</v>
      </c>
      <c r="K24" t="s">
        <v>28</v>
      </c>
    </row>
    <row r="25" spans="1:11" x14ac:dyDescent="0.3">
      <c r="A25" t="s">
        <v>41</v>
      </c>
      <c r="B25">
        <v>2013000922</v>
      </c>
      <c r="C25">
        <v>201306</v>
      </c>
      <c r="D25">
        <v>409010</v>
      </c>
      <c r="E25">
        <v>900</v>
      </c>
      <c r="F25">
        <v>101</v>
      </c>
      <c r="G25">
        <v>4710</v>
      </c>
      <c r="H25" s="17">
        <v>12491232.279999999</v>
      </c>
      <c r="J25" s="17">
        <v>12491232.279999999</v>
      </c>
      <c r="K25" t="s">
        <v>24</v>
      </c>
    </row>
    <row r="26" spans="1:11" x14ac:dyDescent="0.3">
      <c r="A26" t="s">
        <v>41</v>
      </c>
      <c r="B26">
        <v>2013000924</v>
      </c>
      <c r="C26">
        <v>201306</v>
      </c>
      <c r="D26">
        <v>409010</v>
      </c>
      <c r="E26">
        <v>900</v>
      </c>
      <c r="F26">
        <v>101</v>
      </c>
      <c r="G26">
        <v>4710</v>
      </c>
      <c r="H26" s="17">
        <v>11419.55</v>
      </c>
      <c r="J26" s="17">
        <v>11419.55</v>
      </c>
      <c r="K26" t="s">
        <v>26</v>
      </c>
    </row>
    <row r="27" spans="1:11" x14ac:dyDescent="0.3">
      <c r="A27" t="s">
        <v>42</v>
      </c>
      <c r="B27">
        <v>2013000229</v>
      </c>
      <c r="C27">
        <v>201306</v>
      </c>
      <c r="D27">
        <v>409010</v>
      </c>
      <c r="E27">
        <v>900</v>
      </c>
      <c r="F27">
        <v>101</v>
      </c>
      <c r="G27">
        <v>4710</v>
      </c>
      <c r="H27" s="17">
        <v>13711694.630000001</v>
      </c>
      <c r="J27" s="17">
        <v>13711694.630000001</v>
      </c>
      <c r="K27" t="s">
        <v>23</v>
      </c>
    </row>
    <row r="28" spans="1:11" x14ac:dyDescent="0.3">
      <c r="A28" t="s">
        <v>43</v>
      </c>
      <c r="B28">
        <v>2013000237</v>
      </c>
      <c r="C28">
        <v>201306</v>
      </c>
      <c r="D28">
        <v>409010</v>
      </c>
      <c r="E28">
        <v>900</v>
      </c>
      <c r="F28">
        <v>101</v>
      </c>
      <c r="G28">
        <v>4710</v>
      </c>
      <c r="I28" s="17">
        <v>12034445.640000001</v>
      </c>
      <c r="J28" s="17">
        <v>-12034445.640000001</v>
      </c>
      <c r="K28" t="s">
        <v>23</v>
      </c>
    </row>
    <row r="29" spans="1:11" x14ac:dyDescent="0.3">
      <c r="A29" t="s">
        <v>44</v>
      </c>
      <c r="B29">
        <v>2013007916</v>
      </c>
      <c r="C29">
        <v>201307</v>
      </c>
      <c r="D29">
        <v>409010</v>
      </c>
      <c r="E29">
        <v>900</v>
      </c>
      <c r="F29">
        <v>101</v>
      </c>
      <c r="G29">
        <v>4710</v>
      </c>
      <c r="H29" s="17">
        <v>1089.8699999999999</v>
      </c>
      <c r="J29" s="17">
        <v>1089.8699999999999</v>
      </c>
      <c r="K29" t="s">
        <v>29</v>
      </c>
    </row>
    <row r="30" spans="1:11" x14ac:dyDescent="0.3">
      <c r="A30" t="s">
        <v>41</v>
      </c>
      <c r="B30">
        <v>2013001091</v>
      </c>
      <c r="C30">
        <v>201307</v>
      </c>
      <c r="D30">
        <v>409010</v>
      </c>
      <c r="E30">
        <v>900</v>
      </c>
      <c r="F30">
        <v>101</v>
      </c>
      <c r="G30">
        <v>4710</v>
      </c>
      <c r="H30" s="17">
        <v>11419.55</v>
      </c>
      <c r="J30" s="17">
        <v>11419.55</v>
      </c>
      <c r="K30" t="s">
        <v>26</v>
      </c>
    </row>
    <row r="31" spans="1:11" x14ac:dyDescent="0.3">
      <c r="A31" t="s">
        <v>41</v>
      </c>
      <c r="B31">
        <v>2013001094</v>
      </c>
      <c r="C31">
        <v>201307</v>
      </c>
      <c r="D31">
        <v>409010</v>
      </c>
      <c r="E31">
        <v>900</v>
      </c>
      <c r="F31">
        <v>101</v>
      </c>
      <c r="G31">
        <v>4710</v>
      </c>
      <c r="H31" s="17">
        <v>10524774.18</v>
      </c>
      <c r="J31" s="17">
        <v>10524774.18</v>
      </c>
      <c r="K31" t="s">
        <v>24</v>
      </c>
    </row>
    <row r="32" spans="1:11" x14ac:dyDescent="0.3">
      <c r="A32" t="s">
        <v>42</v>
      </c>
      <c r="B32">
        <v>2013000270</v>
      </c>
      <c r="C32">
        <v>201307</v>
      </c>
      <c r="D32">
        <v>409010</v>
      </c>
      <c r="E32">
        <v>900</v>
      </c>
      <c r="F32">
        <v>101</v>
      </c>
      <c r="G32">
        <v>4710</v>
      </c>
      <c r="H32" s="17">
        <v>12268215.619999999</v>
      </c>
      <c r="J32" s="17">
        <v>12268215.619999999</v>
      </c>
      <c r="K32" t="s">
        <v>23</v>
      </c>
    </row>
    <row r="33" spans="1:11" x14ac:dyDescent="0.3">
      <c r="A33" t="s">
        <v>43</v>
      </c>
      <c r="B33">
        <v>2013000272</v>
      </c>
      <c r="C33">
        <v>201307</v>
      </c>
      <c r="D33">
        <v>409010</v>
      </c>
      <c r="E33">
        <v>900</v>
      </c>
      <c r="F33">
        <v>101</v>
      </c>
      <c r="G33">
        <v>4710</v>
      </c>
      <c r="I33" s="17">
        <v>13711694.630000001</v>
      </c>
      <c r="J33" s="17">
        <v>-13711694.630000001</v>
      </c>
      <c r="K33" t="s">
        <v>23</v>
      </c>
    </row>
    <row r="34" spans="1:11" x14ac:dyDescent="0.3">
      <c r="A34" t="s">
        <v>41</v>
      </c>
      <c r="B34">
        <v>2013001307</v>
      </c>
      <c r="C34">
        <v>201308</v>
      </c>
      <c r="D34">
        <v>409010</v>
      </c>
      <c r="E34">
        <v>900</v>
      </c>
      <c r="F34">
        <v>101</v>
      </c>
      <c r="G34">
        <v>4710</v>
      </c>
      <c r="H34" s="17">
        <v>14736725.83</v>
      </c>
      <c r="J34" s="17">
        <v>14736725.83</v>
      </c>
      <c r="K34" t="s">
        <v>24</v>
      </c>
    </row>
    <row r="35" spans="1:11" x14ac:dyDescent="0.3">
      <c r="A35" t="s">
        <v>41</v>
      </c>
      <c r="B35">
        <v>2013001309</v>
      </c>
      <c r="C35">
        <v>201308</v>
      </c>
      <c r="D35">
        <v>409010</v>
      </c>
      <c r="E35">
        <v>900</v>
      </c>
      <c r="F35">
        <v>101</v>
      </c>
      <c r="G35">
        <v>4710</v>
      </c>
      <c r="H35" s="17">
        <v>11419.55</v>
      </c>
      <c r="J35" s="17">
        <v>11419.55</v>
      </c>
      <c r="K35" t="s">
        <v>26</v>
      </c>
    </row>
    <row r="36" spans="1:11" x14ac:dyDescent="0.3">
      <c r="A36" t="s">
        <v>42</v>
      </c>
      <c r="B36">
        <v>2013000317</v>
      </c>
      <c r="C36">
        <v>201308</v>
      </c>
      <c r="D36">
        <v>409010</v>
      </c>
      <c r="E36">
        <v>900</v>
      </c>
      <c r="F36">
        <v>101</v>
      </c>
      <c r="G36">
        <v>4710</v>
      </c>
      <c r="H36" s="17">
        <v>12859560.43</v>
      </c>
      <c r="J36" s="17">
        <v>12859560.43</v>
      </c>
      <c r="K36" t="s">
        <v>23</v>
      </c>
    </row>
    <row r="37" spans="1:11" x14ac:dyDescent="0.3">
      <c r="A37" t="s">
        <v>43</v>
      </c>
      <c r="B37">
        <v>2013000314</v>
      </c>
      <c r="C37">
        <v>201308</v>
      </c>
      <c r="D37">
        <v>409010</v>
      </c>
      <c r="E37">
        <v>900</v>
      </c>
      <c r="F37">
        <v>101</v>
      </c>
      <c r="G37">
        <v>4710</v>
      </c>
      <c r="I37" s="17">
        <v>12268215.619999999</v>
      </c>
      <c r="J37" s="17">
        <v>-12268215.619999999</v>
      </c>
      <c r="K37" t="s">
        <v>23</v>
      </c>
    </row>
    <row r="38" spans="1:11" x14ac:dyDescent="0.3">
      <c r="A38" t="s">
        <v>44</v>
      </c>
      <c r="B38">
        <v>2013009427</v>
      </c>
      <c r="C38">
        <v>201309</v>
      </c>
      <c r="D38">
        <v>409010</v>
      </c>
      <c r="E38">
        <v>900</v>
      </c>
      <c r="F38">
        <v>101</v>
      </c>
      <c r="G38">
        <v>4710</v>
      </c>
      <c r="H38" s="17">
        <v>1807.97</v>
      </c>
      <c r="J38" s="17">
        <v>1807.97</v>
      </c>
      <c r="K38" t="s">
        <v>31</v>
      </c>
    </row>
    <row r="39" spans="1:11" x14ac:dyDescent="0.3">
      <c r="A39" t="s">
        <v>44</v>
      </c>
      <c r="B39">
        <v>2013010380</v>
      </c>
      <c r="C39">
        <v>201309</v>
      </c>
      <c r="D39">
        <v>409010</v>
      </c>
      <c r="E39">
        <v>900</v>
      </c>
      <c r="F39">
        <v>101</v>
      </c>
      <c r="G39">
        <v>4710</v>
      </c>
      <c r="H39">
        <v>317.43</v>
      </c>
      <c r="J39">
        <v>317.43</v>
      </c>
      <c r="K39" t="s">
        <v>28</v>
      </c>
    </row>
    <row r="40" spans="1:11" x14ac:dyDescent="0.3">
      <c r="A40" t="s">
        <v>41</v>
      </c>
      <c r="B40">
        <v>2013001514</v>
      </c>
      <c r="C40">
        <v>201309</v>
      </c>
      <c r="D40">
        <v>409010</v>
      </c>
      <c r="E40">
        <v>900</v>
      </c>
      <c r="F40">
        <v>101</v>
      </c>
      <c r="G40">
        <v>4710</v>
      </c>
      <c r="H40" s="17">
        <v>11419.55</v>
      </c>
      <c r="J40" s="17">
        <v>11419.55</v>
      </c>
      <c r="K40" t="s">
        <v>26</v>
      </c>
    </row>
    <row r="41" spans="1:11" x14ac:dyDescent="0.3">
      <c r="A41" t="s">
        <v>41</v>
      </c>
      <c r="B41">
        <v>2013001517</v>
      </c>
      <c r="C41">
        <v>201309</v>
      </c>
      <c r="D41">
        <v>409010</v>
      </c>
      <c r="E41">
        <v>900</v>
      </c>
      <c r="F41">
        <v>101</v>
      </c>
      <c r="G41">
        <v>4710</v>
      </c>
      <c r="H41" s="17">
        <v>10222226.41</v>
      </c>
      <c r="J41" s="17">
        <v>10222226.41</v>
      </c>
      <c r="K41" t="s">
        <v>24</v>
      </c>
    </row>
    <row r="42" spans="1:11" x14ac:dyDescent="0.3">
      <c r="A42" t="s">
        <v>42</v>
      </c>
      <c r="B42">
        <v>2013000361</v>
      </c>
      <c r="C42">
        <v>201309</v>
      </c>
      <c r="D42">
        <v>409010</v>
      </c>
      <c r="E42">
        <v>900</v>
      </c>
      <c r="F42">
        <v>101</v>
      </c>
      <c r="G42">
        <v>4710</v>
      </c>
      <c r="H42" s="17">
        <v>13964967.57</v>
      </c>
      <c r="J42" s="17">
        <v>13964967.57</v>
      </c>
      <c r="K42" t="s">
        <v>23</v>
      </c>
    </row>
    <row r="43" spans="1:11" x14ac:dyDescent="0.3">
      <c r="A43" t="s">
        <v>43</v>
      </c>
      <c r="B43">
        <v>2013000360</v>
      </c>
      <c r="C43">
        <v>201309</v>
      </c>
      <c r="D43">
        <v>409010</v>
      </c>
      <c r="E43">
        <v>900</v>
      </c>
      <c r="F43">
        <v>101</v>
      </c>
      <c r="G43">
        <v>4710</v>
      </c>
      <c r="I43" s="17">
        <v>12859560.43</v>
      </c>
      <c r="J43" s="17">
        <v>-12859560.43</v>
      </c>
      <c r="K43" t="s">
        <v>23</v>
      </c>
    </row>
    <row r="44" spans="1:11" x14ac:dyDescent="0.3">
      <c r="A44" t="s">
        <v>41</v>
      </c>
      <c r="B44">
        <v>2013001740</v>
      </c>
      <c r="C44">
        <v>201310</v>
      </c>
      <c r="D44">
        <v>409010</v>
      </c>
      <c r="E44">
        <v>900</v>
      </c>
      <c r="F44">
        <v>101</v>
      </c>
      <c r="G44">
        <v>4710</v>
      </c>
      <c r="H44" s="17">
        <v>15080049.34</v>
      </c>
      <c r="J44" s="17">
        <v>15080049.34</v>
      </c>
      <c r="K44" t="s">
        <v>24</v>
      </c>
    </row>
    <row r="45" spans="1:11" x14ac:dyDescent="0.3">
      <c r="A45" t="s">
        <v>41</v>
      </c>
      <c r="B45">
        <v>2013001741</v>
      </c>
      <c r="C45">
        <v>201310</v>
      </c>
      <c r="D45">
        <v>409010</v>
      </c>
      <c r="E45">
        <v>900</v>
      </c>
      <c r="F45">
        <v>101</v>
      </c>
      <c r="G45">
        <v>4710</v>
      </c>
      <c r="H45" s="17">
        <v>11419.55</v>
      </c>
      <c r="J45" s="17">
        <v>11419.55</v>
      </c>
      <c r="K45" t="s">
        <v>26</v>
      </c>
    </row>
    <row r="46" spans="1:11" x14ac:dyDescent="0.3">
      <c r="A46" t="s">
        <v>42</v>
      </c>
      <c r="B46">
        <v>2013000403</v>
      </c>
      <c r="C46">
        <v>201310</v>
      </c>
      <c r="D46">
        <v>409010</v>
      </c>
      <c r="E46">
        <v>900</v>
      </c>
      <c r="F46">
        <v>101</v>
      </c>
      <c r="G46">
        <v>4710</v>
      </c>
      <c r="H46" s="17">
        <v>10558463.26</v>
      </c>
      <c r="J46" s="17">
        <v>10558463.26</v>
      </c>
      <c r="K46" t="s">
        <v>23</v>
      </c>
    </row>
    <row r="47" spans="1:11" x14ac:dyDescent="0.3">
      <c r="A47" t="s">
        <v>43</v>
      </c>
      <c r="B47">
        <v>2013000404</v>
      </c>
      <c r="C47">
        <v>201310</v>
      </c>
      <c r="D47">
        <v>409010</v>
      </c>
      <c r="E47">
        <v>900</v>
      </c>
      <c r="F47">
        <v>101</v>
      </c>
      <c r="G47">
        <v>4710</v>
      </c>
      <c r="I47" s="17">
        <v>13964967.57</v>
      </c>
      <c r="J47" s="17">
        <v>-13964967.57</v>
      </c>
      <c r="K47" t="s">
        <v>23</v>
      </c>
    </row>
    <row r="48" spans="1:11" x14ac:dyDescent="0.3">
      <c r="A48" t="s">
        <v>41</v>
      </c>
      <c r="B48">
        <v>2013001956</v>
      </c>
      <c r="C48">
        <v>201311</v>
      </c>
      <c r="D48">
        <v>409010</v>
      </c>
      <c r="E48">
        <v>900</v>
      </c>
      <c r="F48">
        <v>101</v>
      </c>
      <c r="G48">
        <v>4710</v>
      </c>
      <c r="H48" s="17">
        <v>11419.55</v>
      </c>
      <c r="J48" s="17">
        <v>11419.55</v>
      </c>
      <c r="K48" t="s">
        <v>26</v>
      </c>
    </row>
    <row r="49" spans="1:11" x14ac:dyDescent="0.3">
      <c r="A49" t="s">
        <v>41</v>
      </c>
      <c r="B49">
        <v>2013001957</v>
      </c>
      <c r="C49">
        <v>201311</v>
      </c>
      <c r="D49">
        <v>409010</v>
      </c>
      <c r="E49">
        <v>900</v>
      </c>
      <c r="F49">
        <v>101</v>
      </c>
      <c r="G49">
        <v>4710</v>
      </c>
      <c r="H49" s="17">
        <v>10346890.93</v>
      </c>
      <c r="J49" s="17">
        <v>10346890.93</v>
      </c>
      <c r="K49" t="s">
        <v>24</v>
      </c>
    </row>
    <row r="50" spans="1:11" x14ac:dyDescent="0.3">
      <c r="A50" t="s">
        <v>42</v>
      </c>
      <c r="B50">
        <v>2013000443</v>
      </c>
      <c r="C50">
        <v>201311</v>
      </c>
      <c r="D50">
        <v>409010</v>
      </c>
      <c r="E50">
        <v>900</v>
      </c>
      <c r="F50">
        <v>101</v>
      </c>
      <c r="G50">
        <v>4710</v>
      </c>
      <c r="H50" s="17">
        <v>16026607.23</v>
      </c>
      <c r="J50" s="17">
        <v>16026607.23</v>
      </c>
      <c r="K50" t="s">
        <v>23</v>
      </c>
    </row>
    <row r="51" spans="1:11" x14ac:dyDescent="0.3">
      <c r="A51" t="s">
        <v>43</v>
      </c>
      <c r="B51">
        <v>2013000445</v>
      </c>
      <c r="C51">
        <v>201311</v>
      </c>
      <c r="D51">
        <v>409010</v>
      </c>
      <c r="E51">
        <v>900</v>
      </c>
      <c r="F51">
        <v>101</v>
      </c>
      <c r="G51">
        <v>4710</v>
      </c>
      <c r="I51" s="17">
        <v>10558463.26</v>
      </c>
      <c r="J51" s="17">
        <v>-10558463.26</v>
      </c>
      <c r="K51" t="s">
        <v>23</v>
      </c>
    </row>
    <row r="52" spans="1:11" x14ac:dyDescent="0.3">
      <c r="A52" t="s">
        <v>41</v>
      </c>
      <c r="B52">
        <v>2013002255</v>
      </c>
      <c r="C52">
        <v>201312</v>
      </c>
      <c r="D52">
        <v>409010</v>
      </c>
      <c r="E52">
        <v>900</v>
      </c>
      <c r="F52">
        <v>101</v>
      </c>
      <c r="G52">
        <v>4710</v>
      </c>
      <c r="H52" s="17">
        <v>11419.55</v>
      </c>
      <c r="J52" s="17">
        <v>11419.55</v>
      </c>
      <c r="K52" t="s">
        <v>26</v>
      </c>
    </row>
    <row r="53" spans="1:11" x14ac:dyDescent="0.3">
      <c r="A53" t="s">
        <v>41</v>
      </c>
      <c r="B53">
        <v>2013002257</v>
      </c>
      <c r="C53">
        <v>201312</v>
      </c>
      <c r="D53">
        <v>409010</v>
      </c>
      <c r="E53">
        <v>900</v>
      </c>
      <c r="F53">
        <v>101</v>
      </c>
      <c r="G53">
        <v>4710</v>
      </c>
      <c r="H53" s="17">
        <v>13721864.83</v>
      </c>
      <c r="J53" s="17">
        <v>13721864.83</v>
      </c>
      <c r="K53" t="s">
        <v>24</v>
      </c>
    </row>
    <row r="54" spans="1:11" x14ac:dyDescent="0.3">
      <c r="A54" t="s">
        <v>42</v>
      </c>
      <c r="B54">
        <v>2013000465</v>
      </c>
      <c r="C54">
        <v>201312</v>
      </c>
      <c r="D54">
        <v>409010</v>
      </c>
      <c r="E54">
        <v>900</v>
      </c>
      <c r="F54">
        <v>101</v>
      </c>
      <c r="G54">
        <v>4710</v>
      </c>
      <c r="H54" s="17">
        <v>10976550.310000001</v>
      </c>
      <c r="J54" s="17">
        <v>10976550.310000001</v>
      </c>
      <c r="K54" t="s">
        <v>23</v>
      </c>
    </row>
    <row r="55" spans="1:11" x14ac:dyDescent="0.3">
      <c r="A55" t="s">
        <v>43</v>
      </c>
      <c r="B55">
        <v>2013000485</v>
      </c>
      <c r="C55">
        <v>201312</v>
      </c>
      <c r="D55">
        <v>409010</v>
      </c>
      <c r="E55">
        <v>900</v>
      </c>
      <c r="F55">
        <v>101</v>
      </c>
      <c r="G55">
        <v>4710</v>
      </c>
      <c r="I55" s="17">
        <v>16026607.23</v>
      </c>
      <c r="J55" s="17">
        <v>-16026607.23</v>
      </c>
      <c r="K55" t="s">
        <v>23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B41" sqref="B41"/>
    </sheetView>
  </sheetViews>
  <sheetFormatPr defaultRowHeight="14" x14ac:dyDescent="0.3"/>
  <cols>
    <col min="2" max="2" width="10.83203125" bestFit="1" customWidth="1"/>
    <col min="4" max="4" width="7.5" bestFit="1" customWidth="1"/>
    <col min="5" max="5" width="9.08203125" bestFit="1" customWidth="1"/>
    <col min="8" max="8" width="12.33203125" bestFit="1" customWidth="1"/>
    <col min="9" max="9" width="12.5" bestFit="1" customWidth="1"/>
    <col min="10" max="10" width="13.08203125" bestFit="1" customWidth="1"/>
    <col min="11" max="11" width="54.83203125" bestFit="1" customWidth="1"/>
  </cols>
  <sheetData>
    <row r="1" spans="1:11" ht="14.25" x14ac:dyDescent="0.3">
      <c r="A1" t="s">
        <v>33</v>
      </c>
      <c r="B1" t="s">
        <v>34</v>
      </c>
      <c r="C1" t="s">
        <v>16</v>
      </c>
      <c r="D1" t="s">
        <v>35</v>
      </c>
      <c r="E1" t="s">
        <v>36</v>
      </c>
      <c r="F1" t="s">
        <v>37</v>
      </c>
      <c r="G1" t="s">
        <v>17</v>
      </c>
      <c r="H1" t="s">
        <v>38</v>
      </c>
      <c r="I1" t="s">
        <v>39</v>
      </c>
      <c r="J1" t="s">
        <v>40</v>
      </c>
      <c r="K1" t="s">
        <v>18</v>
      </c>
    </row>
    <row r="2" spans="1:11" ht="14.25" x14ac:dyDescent="0.3">
      <c r="A2" t="s">
        <v>44</v>
      </c>
      <c r="B2">
        <v>2012003302</v>
      </c>
      <c r="C2">
        <v>201203</v>
      </c>
      <c r="D2">
        <v>409010</v>
      </c>
      <c r="E2">
        <v>900</v>
      </c>
      <c r="F2">
        <v>101</v>
      </c>
      <c r="G2">
        <v>4710</v>
      </c>
      <c r="H2" s="17">
        <v>59801.9</v>
      </c>
      <c r="J2" s="17">
        <v>59801.9</v>
      </c>
      <c r="K2" t="s">
        <v>29</v>
      </c>
    </row>
    <row r="3" spans="1:11" ht="14.25" x14ac:dyDescent="0.3">
      <c r="A3" t="s">
        <v>44</v>
      </c>
      <c r="B3">
        <v>2012003969</v>
      </c>
      <c r="C3">
        <v>201204</v>
      </c>
      <c r="D3">
        <v>409010</v>
      </c>
      <c r="E3">
        <v>900</v>
      </c>
      <c r="F3">
        <v>102</v>
      </c>
      <c r="G3">
        <v>4710</v>
      </c>
      <c r="H3" s="17">
        <v>1478.01</v>
      </c>
      <c r="J3" s="17">
        <v>1478.01</v>
      </c>
      <c r="K3" t="s">
        <v>31</v>
      </c>
    </row>
    <row r="4" spans="1:11" ht="14.25" x14ac:dyDescent="0.3">
      <c r="A4" t="s">
        <v>44</v>
      </c>
      <c r="B4">
        <v>2012004064</v>
      </c>
      <c r="C4">
        <v>201204</v>
      </c>
      <c r="D4">
        <v>409010</v>
      </c>
      <c r="E4">
        <v>900</v>
      </c>
      <c r="F4">
        <v>101</v>
      </c>
      <c r="G4">
        <v>4710</v>
      </c>
      <c r="H4" s="17">
        <v>3395.48</v>
      </c>
      <c r="J4" s="17">
        <v>3395.48</v>
      </c>
      <c r="K4" t="s">
        <v>62</v>
      </c>
    </row>
    <row r="5" spans="1:11" ht="14.25" x14ac:dyDescent="0.3">
      <c r="A5" t="s">
        <v>41</v>
      </c>
      <c r="B5">
        <v>2012000055</v>
      </c>
      <c r="C5">
        <v>201201</v>
      </c>
      <c r="D5">
        <v>409010</v>
      </c>
      <c r="E5">
        <v>900</v>
      </c>
      <c r="F5">
        <v>101</v>
      </c>
      <c r="G5">
        <v>4710</v>
      </c>
      <c r="H5" s="17">
        <v>18516306.559999999</v>
      </c>
      <c r="J5" s="17">
        <v>18516306.559999999</v>
      </c>
      <c r="K5" t="s">
        <v>24</v>
      </c>
    </row>
    <row r="6" spans="1:11" ht="14.25" x14ac:dyDescent="0.3">
      <c r="A6" t="s">
        <v>41</v>
      </c>
      <c r="B6">
        <v>2012000055</v>
      </c>
      <c r="C6">
        <v>201201</v>
      </c>
      <c r="D6">
        <v>409010</v>
      </c>
      <c r="E6">
        <v>900</v>
      </c>
      <c r="F6">
        <v>101</v>
      </c>
      <c r="G6">
        <v>4710</v>
      </c>
      <c r="I6" s="17">
        <v>8939950.9700000007</v>
      </c>
      <c r="J6" s="17">
        <v>-8939950.9700000007</v>
      </c>
      <c r="K6" t="s">
        <v>24</v>
      </c>
    </row>
    <row r="7" spans="1:11" ht="14.25" x14ac:dyDescent="0.3">
      <c r="A7" t="s">
        <v>41</v>
      </c>
      <c r="B7">
        <v>2012000076</v>
      </c>
      <c r="C7">
        <v>201201</v>
      </c>
      <c r="D7">
        <v>409010</v>
      </c>
      <c r="E7">
        <v>900</v>
      </c>
      <c r="F7">
        <v>101</v>
      </c>
      <c r="G7">
        <v>4710</v>
      </c>
      <c r="H7" s="17">
        <v>8663.0300000000007</v>
      </c>
      <c r="J7" s="17">
        <v>8663.0300000000007</v>
      </c>
    </row>
    <row r="8" spans="1:11" ht="14.25" x14ac:dyDescent="0.3">
      <c r="A8" t="s">
        <v>41</v>
      </c>
      <c r="B8">
        <v>2012000150</v>
      </c>
      <c r="C8">
        <v>201202</v>
      </c>
      <c r="D8">
        <v>409010</v>
      </c>
      <c r="E8">
        <v>900</v>
      </c>
      <c r="F8">
        <v>101</v>
      </c>
      <c r="G8">
        <v>4710</v>
      </c>
      <c r="H8" s="17">
        <v>17361119.23</v>
      </c>
      <c r="J8" s="17">
        <v>17361119.23</v>
      </c>
      <c r="K8" t="s">
        <v>24</v>
      </c>
    </row>
    <row r="9" spans="1:11" ht="14.25" x14ac:dyDescent="0.3">
      <c r="A9" t="s">
        <v>41</v>
      </c>
      <c r="B9">
        <v>2012000150</v>
      </c>
      <c r="C9">
        <v>201202</v>
      </c>
      <c r="D9">
        <v>409010</v>
      </c>
      <c r="E9">
        <v>900</v>
      </c>
      <c r="F9">
        <v>101</v>
      </c>
      <c r="G9">
        <v>4710</v>
      </c>
      <c r="I9" s="17">
        <v>9048835.1600000001</v>
      </c>
      <c r="J9" s="17">
        <v>-9048835.1600000001</v>
      </c>
      <c r="K9" t="s">
        <v>24</v>
      </c>
    </row>
    <row r="10" spans="1:11" ht="14.25" x14ac:dyDescent="0.3">
      <c r="A10" t="s">
        <v>41</v>
      </c>
      <c r="B10">
        <v>2012000204</v>
      </c>
      <c r="C10">
        <v>201202</v>
      </c>
      <c r="D10">
        <v>409010</v>
      </c>
      <c r="E10">
        <v>900</v>
      </c>
      <c r="F10">
        <v>101</v>
      </c>
      <c r="G10">
        <v>4710</v>
      </c>
      <c r="H10" s="17">
        <v>11784.42</v>
      </c>
      <c r="J10" s="17">
        <v>11784.42</v>
      </c>
    </row>
    <row r="11" spans="1:11" ht="14.25" x14ac:dyDescent="0.3">
      <c r="A11" t="s">
        <v>41</v>
      </c>
      <c r="B11">
        <v>2012000308</v>
      </c>
      <c r="C11">
        <v>201203</v>
      </c>
      <c r="D11">
        <v>409010</v>
      </c>
      <c r="E11">
        <v>900</v>
      </c>
      <c r="F11">
        <v>101</v>
      </c>
      <c r="G11">
        <v>4710</v>
      </c>
      <c r="H11" s="17">
        <v>18981108.32</v>
      </c>
      <c r="J11" s="17">
        <v>18981108.32</v>
      </c>
      <c r="K11" t="s">
        <v>24</v>
      </c>
    </row>
    <row r="12" spans="1:11" ht="14.25" x14ac:dyDescent="0.3">
      <c r="A12" t="s">
        <v>41</v>
      </c>
      <c r="B12">
        <v>2012000308</v>
      </c>
      <c r="C12">
        <v>201203</v>
      </c>
      <c r="D12">
        <v>409010</v>
      </c>
      <c r="E12">
        <v>900</v>
      </c>
      <c r="F12">
        <v>101</v>
      </c>
      <c r="G12">
        <v>4710</v>
      </c>
      <c r="I12" s="17">
        <v>8905414.7899999991</v>
      </c>
      <c r="J12" s="17">
        <v>-8905414.7899999991</v>
      </c>
      <c r="K12" t="s">
        <v>24</v>
      </c>
    </row>
    <row r="13" spans="1:11" ht="14.25" x14ac:dyDescent="0.3">
      <c r="A13" t="s">
        <v>41</v>
      </c>
      <c r="B13">
        <v>2012000318</v>
      </c>
      <c r="C13">
        <v>201203</v>
      </c>
      <c r="D13">
        <v>409010</v>
      </c>
      <c r="E13">
        <v>900</v>
      </c>
      <c r="F13">
        <v>101</v>
      </c>
      <c r="G13">
        <v>4710</v>
      </c>
      <c r="H13" s="17">
        <v>11784.42</v>
      </c>
      <c r="J13" s="17">
        <v>11784.42</v>
      </c>
    </row>
    <row r="14" spans="1:11" ht="14.25" x14ac:dyDescent="0.3">
      <c r="A14" t="s">
        <v>41</v>
      </c>
      <c r="B14">
        <v>2012000568</v>
      </c>
      <c r="C14">
        <v>201204</v>
      </c>
      <c r="D14">
        <v>409010</v>
      </c>
      <c r="E14">
        <v>900</v>
      </c>
      <c r="F14">
        <v>101</v>
      </c>
      <c r="G14">
        <v>4710</v>
      </c>
      <c r="H14" s="17">
        <v>11784.42</v>
      </c>
      <c r="J14" s="17">
        <v>11784.42</v>
      </c>
    </row>
    <row r="15" spans="1:11" ht="14.25" x14ac:dyDescent="0.3">
      <c r="A15" t="s">
        <v>41</v>
      </c>
      <c r="B15">
        <v>2012000570</v>
      </c>
      <c r="C15">
        <v>201204</v>
      </c>
      <c r="D15">
        <v>409010</v>
      </c>
      <c r="E15">
        <v>900</v>
      </c>
      <c r="F15">
        <v>101</v>
      </c>
      <c r="G15">
        <v>4710</v>
      </c>
      <c r="H15" s="17">
        <v>22973758.16</v>
      </c>
      <c r="J15" s="17">
        <v>22973758.16</v>
      </c>
      <c r="K15" t="s">
        <v>24</v>
      </c>
    </row>
    <row r="16" spans="1:11" ht="14.25" x14ac:dyDescent="0.3">
      <c r="A16" t="s">
        <v>41</v>
      </c>
      <c r="B16">
        <v>2012000570</v>
      </c>
      <c r="C16">
        <v>201204</v>
      </c>
      <c r="D16">
        <v>409010</v>
      </c>
      <c r="E16">
        <v>900</v>
      </c>
      <c r="F16">
        <v>101</v>
      </c>
      <c r="G16">
        <v>4710</v>
      </c>
      <c r="I16" s="17">
        <v>10452039.91</v>
      </c>
      <c r="J16" s="17">
        <v>-10452039.91</v>
      </c>
      <c r="K16" t="s">
        <v>24</v>
      </c>
    </row>
    <row r="17" spans="1:11" ht="14.25" x14ac:dyDescent="0.3">
      <c r="A17" t="s">
        <v>41</v>
      </c>
      <c r="B17">
        <v>2012000684</v>
      </c>
      <c r="C17">
        <v>201205</v>
      </c>
      <c r="D17">
        <v>409010</v>
      </c>
      <c r="E17">
        <v>900</v>
      </c>
      <c r="F17">
        <v>101</v>
      </c>
      <c r="G17">
        <v>4710</v>
      </c>
      <c r="H17" s="17">
        <v>20649284.41</v>
      </c>
      <c r="J17" s="17">
        <v>20649284.41</v>
      </c>
      <c r="K17" t="s">
        <v>24</v>
      </c>
    </row>
    <row r="18" spans="1:11" ht="14.25" x14ac:dyDescent="0.2">
      <c r="A18" t="s">
        <v>41</v>
      </c>
      <c r="B18">
        <v>2012000684</v>
      </c>
      <c r="C18">
        <v>201205</v>
      </c>
      <c r="D18">
        <v>409010</v>
      </c>
      <c r="E18">
        <v>900</v>
      </c>
      <c r="F18">
        <v>101</v>
      </c>
      <c r="G18">
        <v>4710</v>
      </c>
      <c r="I18" s="17">
        <v>10364824.800000001</v>
      </c>
      <c r="J18" s="17">
        <v>-10364824.800000001</v>
      </c>
      <c r="K18" t="s">
        <v>24</v>
      </c>
    </row>
    <row r="19" spans="1:11" x14ac:dyDescent="0.3">
      <c r="A19" t="s">
        <v>41</v>
      </c>
      <c r="B19">
        <v>2012000716</v>
      </c>
      <c r="C19">
        <v>201205</v>
      </c>
      <c r="D19">
        <v>409010</v>
      </c>
      <c r="E19">
        <v>900</v>
      </c>
      <c r="F19">
        <v>101</v>
      </c>
      <c r="G19">
        <v>4710</v>
      </c>
      <c r="H19" s="17">
        <v>11784.42</v>
      </c>
      <c r="J19" s="17">
        <v>11784.42</v>
      </c>
    </row>
    <row r="20" spans="1:11" x14ac:dyDescent="0.3">
      <c r="A20" t="s">
        <v>41</v>
      </c>
      <c r="B20">
        <v>2012000889</v>
      </c>
      <c r="C20">
        <v>201206</v>
      </c>
      <c r="D20">
        <v>409010</v>
      </c>
      <c r="E20">
        <v>900</v>
      </c>
      <c r="F20">
        <v>101</v>
      </c>
      <c r="G20">
        <v>4710</v>
      </c>
      <c r="H20" s="17">
        <v>11784.42</v>
      </c>
      <c r="J20" s="17">
        <v>11784.42</v>
      </c>
    </row>
    <row r="21" spans="1:11" x14ac:dyDescent="0.3">
      <c r="A21" t="s">
        <v>41</v>
      </c>
      <c r="B21">
        <v>2012000907</v>
      </c>
      <c r="C21">
        <v>201206</v>
      </c>
      <c r="D21">
        <v>409010</v>
      </c>
      <c r="E21">
        <v>900</v>
      </c>
      <c r="F21">
        <v>101</v>
      </c>
      <c r="G21">
        <v>4710</v>
      </c>
      <c r="H21" s="17">
        <v>20785665.440000001</v>
      </c>
      <c r="J21" s="17">
        <v>20785665.440000001</v>
      </c>
      <c r="K21" t="s">
        <v>24</v>
      </c>
    </row>
    <row r="22" spans="1:11" x14ac:dyDescent="0.3">
      <c r="A22" t="s">
        <v>41</v>
      </c>
      <c r="B22">
        <v>2012000907</v>
      </c>
      <c r="C22">
        <v>201206</v>
      </c>
      <c r="D22">
        <v>409010</v>
      </c>
      <c r="E22">
        <v>900</v>
      </c>
      <c r="F22">
        <v>101</v>
      </c>
      <c r="G22">
        <v>4710</v>
      </c>
      <c r="I22" s="17">
        <v>9755158.4800000004</v>
      </c>
      <c r="J22" s="17">
        <v>-9755158.4800000004</v>
      </c>
      <c r="K22" t="s">
        <v>24</v>
      </c>
    </row>
    <row r="23" spans="1:11" x14ac:dyDescent="0.3">
      <c r="A23" t="s">
        <v>41</v>
      </c>
      <c r="B23">
        <v>2012001035</v>
      </c>
      <c r="C23">
        <v>201207</v>
      </c>
      <c r="D23">
        <v>409010</v>
      </c>
      <c r="E23">
        <v>900</v>
      </c>
      <c r="F23">
        <v>101</v>
      </c>
      <c r="G23">
        <v>4710</v>
      </c>
      <c r="H23" s="17">
        <v>11784.42</v>
      </c>
      <c r="J23" s="17">
        <v>11784.42</v>
      </c>
    </row>
    <row r="24" spans="1:11" x14ac:dyDescent="0.3">
      <c r="A24" t="s">
        <v>41</v>
      </c>
      <c r="B24">
        <v>2012001091</v>
      </c>
      <c r="C24">
        <v>201207</v>
      </c>
      <c r="D24">
        <v>409010</v>
      </c>
      <c r="E24">
        <v>900</v>
      </c>
      <c r="F24">
        <v>101</v>
      </c>
      <c r="G24">
        <v>4710</v>
      </c>
      <c r="H24" s="17">
        <v>21749596.41</v>
      </c>
      <c r="J24" s="17">
        <v>21749596.41</v>
      </c>
      <c r="K24" t="s">
        <v>24</v>
      </c>
    </row>
    <row r="25" spans="1:11" x14ac:dyDescent="0.3">
      <c r="A25" t="s">
        <v>41</v>
      </c>
      <c r="B25">
        <v>2012001091</v>
      </c>
      <c r="C25">
        <v>201207</v>
      </c>
      <c r="D25">
        <v>409010</v>
      </c>
      <c r="E25">
        <v>900</v>
      </c>
      <c r="F25">
        <v>101</v>
      </c>
      <c r="G25">
        <v>4710</v>
      </c>
      <c r="I25" s="17">
        <v>11559803.15</v>
      </c>
      <c r="J25" s="17">
        <v>-11559803.15</v>
      </c>
      <c r="K25" t="s">
        <v>24</v>
      </c>
    </row>
    <row r="26" spans="1:11" x14ac:dyDescent="0.3">
      <c r="A26" t="s">
        <v>41</v>
      </c>
      <c r="B26">
        <v>2012001320</v>
      </c>
      <c r="C26">
        <v>201208</v>
      </c>
      <c r="D26">
        <v>409010</v>
      </c>
      <c r="E26">
        <v>900</v>
      </c>
      <c r="F26">
        <v>101</v>
      </c>
      <c r="G26">
        <v>4710</v>
      </c>
      <c r="H26" s="17">
        <v>11784.42</v>
      </c>
      <c r="J26" s="17">
        <v>11784.42</v>
      </c>
    </row>
    <row r="27" spans="1:11" x14ac:dyDescent="0.3">
      <c r="A27" t="s">
        <v>41</v>
      </c>
      <c r="B27">
        <v>2012001337</v>
      </c>
      <c r="C27">
        <v>201208</v>
      </c>
      <c r="D27">
        <v>409010</v>
      </c>
      <c r="E27">
        <v>900</v>
      </c>
      <c r="F27">
        <v>101</v>
      </c>
      <c r="G27">
        <v>4710</v>
      </c>
      <c r="H27" s="17">
        <v>16531634.02</v>
      </c>
      <c r="J27" s="17">
        <v>16531634.02</v>
      </c>
      <c r="K27" t="s">
        <v>24</v>
      </c>
    </row>
    <row r="28" spans="1:11" x14ac:dyDescent="0.3">
      <c r="A28" t="s">
        <v>41</v>
      </c>
      <c r="B28">
        <v>2012001337</v>
      </c>
      <c r="C28">
        <v>201208</v>
      </c>
      <c r="D28">
        <v>409010</v>
      </c>
      <c r="E28">
        <v>900</v>
      </c>
      <c r="F28">
        <v>101</v>
      </c>
      <c r="G28">
        <v>4710</v>
      </c>
      <c r="I28" s="17">
        <v>11629960.92</v>
      </c>
      <c r="J28" s="17">
        <v>-11629960.92</v>
      </c>
      <c r="K28" t="s">
        <v>24</v>
      </c>
    </row>
    <row r="29" spans="1:11" x14ac:dyDescent="0.3">
      <c r="A29" t="s">
        <v>41</v>
      </c>
      <c r="B29">
        <v>2012001373</v>
      </c>
      <c r="C29">
        <v>201209</v>
      </c>
      <c r="D29">
        <v>409010</v>
      </c>
      <c r="E29">
        <v>900</v>
      </c>
      <c r="F29">
        <v>101</v>
      </c>
      <c r="G29">
        <v>4710</v>
      </c>
      <c r="H29" s="17">
        <v>18769405.859999999</v>
      </c>
      <c r="J29" s="17">
        <v>18769405.859999999</v>
      </c>
      <c r="K29" t="s">
        <v>24</v>
      </c>
    </row>
    <row r="30" spans="1:11" x14ac:dyDescent="0.3">
      <c r="A30" t="s">
        <v>41</v>
      </c>
      <c r="B30">
        <v>2012001373</v>
      </c>
      <c r="C30">
        <v>201209</v>
      </c>
      <c r="D30">
        <v>409010</v>
      </c>
      <c r="E30">
        <v>900</v>
      </c>
      <c r="F30">
        <v>101</v>
      </c>
      <c r="G30">
        <v>4710</v>
      </c>
      <c r="I30" s="17">
        <v>3749099.44</v>
      </c>
      <c r="J30" s="17">
        <v>-3749099.44</v>
      </c>
      <c r="K30" t="s">
        <v>24</v>
      </c>
    </row>
    <row r="31" spans="1:11" x14ac:dyDescent="0.3">
      <c r="A31" t="s">
        <v>41</v>
      </c>
      <c r="B31">
        <v>2012001420</v>
      </c>
      <c r="C31">
        <v>201209</v>
      </c>
      <c r="D31">
        <v>409010</v>
      </c>
      <c r="E31">
        <v>900</v>
      </c>
      <c r="F31">
        <v>101</v>
      </c>
      <c r="G31">
        <v>4710</v>
      </c>
      <c r="H31" s="17">
        <v>11784.42</v>
      </c>
      <c r="J31" s="17">
        <v>11784.42</v>
      </c>
    </row>
    <row r="32" spans="1:11" x14ac:dyDescent="0.3">
      <c r="A32" t="s">
        <v>41</v>
      </c>
      <c r="B32">
        <v>2012001650</v>
      </c>
      <c r="C32">
        <v>201210</v>
      </c>
      <c r="D32">
        <v>409010</v>
      </c>
      <c r="E32">
        <v>900</v>
      </c>
      <c r="F32">
        <v>101</v>
      </c>
      <c r="G32">
        <v>4710</v>
      </c>
      <c r="H32" s="17">
        <v>4950595.22</v>
      </c>
      <c r="J32" s="17">
        <v>4950595.22</v>
      </c>
      <c r="K32" t="s">
        <v>24</v>
      </c>
    </row>
    <row r="33" spans="1:11" x14ac:dyDescent="0.3">
      <c r="A33" t="s">
        <v>41</v>
      </c>
      <c r="B33">
        <v>2012001723</v>
      </c>
      <c r="C33">
        <v>201210</v>
      </c>
      <c r="D33">
        <v>409010</v>
      </c>
      <c r="E33">
        <v>900</v>
      </c>
      <c r="F33">
        <v>101</v>
      </c>
      <c r="G33">
        <v>4710</v>
      </c>
      <c r="H33" s="17">
        <v>11784.42</v>
      </c>
      <c r="J33" s="17">
        <v>11784.42</v>
      </c>
    </row>
    <row r="34" spans="1:11" x14ac:dyDescent="0.3">
      <c r="A34" t="s">
        <v>41</v>
      </c>
      <c r="B34">
        <v>2012001826</v>
      </c>
      <c r="C34">
        <v>201211</v>
      </c>
      <c r="D34">
        <v>409010</v>
      </c>
      <c r="E34">
        <v>900</v>
      </c>
      <c r="F34">
        <v>101</v>
      </c>
      <c r="G34">
        <v>4710</v>
      </c>
      <c r="H34" s="17">
        <v>10079182.07</v>
      </c>
      <c r="J34" s="17">
        <v>10079182.07</v>
      </c>
      <c r="K34" t="s">
        <v>24</v>
      </c>
    </row>
    <row r="35" spans="1:11" x14ac:dyDescent="0.3">
      <c r="A35" t="s">
        <v>41</v>
      </c>
      <c r="B35">
        <v>2012001836</v>
      </c>
      <c r="C35">
        <v>201211</v>
      </c>
      <c r="D35">
        <v>409010</v>
      </c>
      <c r="E35">
        <v>900</v>
      </c>
      <c r="F35">
        <v>101</v>
      </c>
      <c r="G35">
        <v>4710</v>
      </c>
      <c r="H35" s="17">
        <v>11784.42</v>
      </c>
      <c r="J35" s="17">
        <v>11784.42</v>
      </c>
    </row>
    <row r="36" spans="1:11" x14ac:dyDescent="0.3">
      <c r="A36" t="s">
        <v>41</v>
      </c>
      <c r="B36">
        <v>2012001908</v>
      </c>
      <c r="C36">
        <v>201211</v>
      </c>
      <c r="D36">
        <v>409010</v>
      </c>
      <c r="E36">
        <v>900</v>
      </c>
      <c r="F36">
        <v>101</v>
      </c>
      <c r="G36">
        <v>4710</v>
      </c>
      <c r="I36" s="17">
        <v>9486559.6600000001</v>
      </c>
      <c r="J36" s="17">
        <v>-9486559.6600000001</v>
      </c>
      <c r="K36" t="s">
        <v>23</v>
      </c>
    </row>
    <row r="37" spans="1:11" x14ac:dyDescent="0.3">
      <c r="A37" t="s">
        <v>41</v>
      </c>
      <c r="B37">
        <v>2012001947</v>
      </c>
      <c r="C37">
        <v>201212</v>
      </c>
      <c r="D37">
        <v>409010</v>
      </c>
      <c r="E37">
        <v>900</v>
      </c>
      <c r="F37">
        <v>101</v>
      </c>
      <c r="G37">
        <v>4710</v>
      </c>
      <c r="H37" s="17">
        <v>10069717.32</v>
      </c>
      <c r="J37" s="17">
        <v>10069717.32</v>
      </c>
      <c r="K37" t="s">
        <v>24</v>
      </c>
    </row>
    <row r="38" spans="1:11" x14ac:dyDescent="0.3">
      <c r="A38" t="s">
        <v>41</v>
      </c>
      <c r="B38">
        <v>2012002104</v>
      </c>
      <c r="C38">
        <v>201212</v>
      </c>
      <c r="D38">
        <v>409010</v>
      </c>
      <c r="E38">
        <v>900</v>
      </c>
      <c r="F38">
        <v>101</v>
      </c>
      <c r="G38">
        <v>4710</v>
      </c>
      <c r="H38" s="17">
        <v>11784.42</v>
      </c>
      <c r="J38" s="17">
        <v>11784.42</v>
      </c>
    </row>
    <row r="39" spans="1:11" x14ac:dyDescent="0.3">
      <c r="A39" t="s">
        <v>42</v>
      </c>
      <c r="B39">
        <v>2012000024</v>
      </c>
      <c r="C39">
        <v>201201</v>
      </c>
      <c r="D39">
        <v>409010</v>
      </c>
      <c r="E39">
        <v>900</v>
      </c>
      <c r="F39">
        <v>101</v>
      </c>
      <c r="G39">
        <v>4710</v>
      </c>
      <c r="H39" s="17">
        <v>8529691.5299999993</v>
      </c>
      <c r="J39" s="17">
        <v>8529691.5299999993</v>
      </c>
      <c r="K39" t="s">
        <v>23</v>
      </c>
    </row>
    <row r="40" spans="1:11" x14ac:dyDescent="0.3">
      <c r="A40" t="s">
        <v>42</v>
      </c>
      <c r="B40">
        <v>2012000079</v>
      </c>
      <c r="C40">
        <v>201202</v>
      </c>
      <c r="D40">
        <v>409010</v>
      </c>
      <c r="E40">
        <v>900</v>
      </c>
      <c r="F40">
        <v>101</v>
      </c>
      <c r="G40">
        <v>4710</v>
      </c>
      <c r="H40" s="17">
        <v>10003302.939999999</v>
      </c>
      <c r="J40" s="17">
        <v>10003302.939999999</v>
      </c>
      <c r="K40" t="s">
        <v>23</v>
      </c>
    </row>
    <row r="41" spans="1:11" x14ac:dyDescent="0.3">
      <c r="A41" t="s">
        <v>42</v>
      </c>
      <c r="B41">
        <v>2012000108</v>
      </c>
      <c r="C41">
        <v>201203</v>
      </c>
      <c r="D41">
        <v>409010</v>
      </c>
      <c r="E41">
        <v>900</v>
      </c>
      <c r="F41">
        <v>101</v>
      </c>
      <c r="G41">
        <v>4710</v>
      </c>
      <c r="H41" s="17">
        <v>12459717.949999999</v>
      </c>
      <c r="J41" s="17">
        <v>12459717.949999999</v>
      </c>
      <c r="K41" t="s">
        <v>23</v>
      </c>
    </row>
    <row r="42" spans="1:11" x14ac:dyDescent="0.3">
      <c r="A42" t="s">
        <v>42</v>
      </c>
      <c r="B42">
        <v>2012000138</v>
      </c>
      <c r="C42">
        <v>201204</v>
      </c>
      <c r="D42">
        <v>409010</v>
      </c>
      <c r="E42">
        <v>900</v>
      </c>
      <c r="F42">
        <v>101</v>
      </c>
      <c r="G42">
        <v>4710</v>
      </c>
      <c r="H42" s="17">
        <v>10194633.58</v>
      </c>
      <c r="J42" s="17">
        <v>10194633.58</v>
      </c>
      <c r="K42" t="s">
        <v>66</v>
      </c>
    </row>
    <row r="43" spans="1:11" x14ac:dyDescent="0.3">
      <c r="A43" t="s">
        <v>42</v>
      </c>
      <c r="B43">
        <v>2012000172</v>
      </c>
      <c r="C43">
        <v>201205</v>
      </c>
      <c r="D43">
        <v>409010</v>
      </c>
      <c r="E43">
        <v>900</v>
      </c>
      <c r="F43">
        <v>101</v>
      </c>
      <c r="G43">
        <v>4710</v>
      </c>
      <c r="H43" s="17">
        <v>11570533.32</v>
      </c>
      <c r="J43" s="17">
        <v>11570533.32</v>
      </c>
      <c r="K43" t="s">
        <v>23</v>
      </c>
    </row>
    <row r="44" spans="1:11" x14ac:dyDescent="0.3">
      <c r="A44" t="s">
        <v>42</v>
      </c>
      <c r="B44">
        <v>2012000207</v>
      </c>
      <c r="C44">
        <v>201206</v>
      </c>
      <c r="D44">
        <v>409010</v>
      </c>
      <c r="E44">
        <v>900</v>
      </c>
      <c r="F44">
        <v>101</v>
      </c>
      <c r="G44">
        <v>4710</v>
      </c>
      <c r="H44" s="17">
        <v>10853932.15</v>
      </c>
      <c r="J44" s="17">
        <v>10853932.15</v>
      </c>
      <c r="K44" t="s">
        <v>23</v>
      </c>
    </row>
    <row r="45" spans="1:11" x14ac:dyDescent="0.3">
      <c r="A45" t="s">
        <v>42</v>
      </c>
      <c r="B45">
        <v>2012000241</v>
      </c>
      <c r="C45">
        <v>201207</v>
      </c>
      <c r="D45">
        <v>409010</v>
      </c>
      <c r="E45">
        <v>900</v>
      </c>
      <c r="F45">
        <v>101</v>
      </c>
      <c r="G45">
        <v>4710</v>
      </c>
      <c r="H45" s="17">
        <v>9976545.2899999991</v>
      </c>
      <c r="J45" s="17">
        <v>9976545.2899999991</v>
      </c>
      <c r="K45" t="s">
        <v>23</v>
      </c>
    </row>
    <row r="46" spans="1:11" x14ac:dyDescent="0.3">
      <c r="A46" t="s">
        <v>42</v>
      </c>
      <c r="B46">
        <v>2012000279</v>
      </c>
      <c r="C46">
        <v>201208</v>
      </c>
      <c r="D46">
        <v>409010</v>
      </c>
      <c r="E46">
        <v>900</v>
      </c>
      <c r="F46">
        <v>101</v>
      </c>
      <c r="G46">
        <v>4710</v>
      </c>
      <c r="H46" s="17">
        <v>9671704.4900000002</v>
      </c>
      <c r="J46" s="17">
        <v>9671704.4900000002</v>
      </c>
      <c r="K46" t="s">
        <v>23</v>
      </c>
    </row>
    <row r="47" spans="1:11" x14ac:dyDescent="0.3">
      <c r="A47" t="s">
        <v>42</v>
      </c>
      <c r="B47">
        <v>2012000316</v>
      </c>
      <c r="C47">
        <v>201209</v>
      </c>
      <c r="D47">
        <v>409010</v>
      </c>
      <c r="E47">
        <v>900</v>
      </c>
      <c r="F47">
        <v>101</v>
      </c>
      <c r="G47">
        <v>4710</v>
      </c>
      <c r="H47" s="17">
        <v>5533509.7599999998</v>
      </c>
      <c r="J47" s="17">
        <v>5533509.7599999998</v>
      </c>
      <c r="K47" t="s">
        <v>23</v>
      </c>
    </row>
    <row r="48" spans="1:11" x14ac:dyDescent="0.3">
      <c r="A48" t="s">
        <v>42</v>
      </c>
      <c r="B48">
        <v>2012000357</v>
      </c>
      <c r="C48">
        <v>201210</v>
      </c>
      <c r="D48">
        <v>409010</v>
      </c>
      <c r="E48">
        <v>900</v>
      </c>
      <c r="F48">
        <v>101</v>
      </c>
      <c r="G48">
        <v>4710</v>
      </c>
      <c r="H48" s="17">
        <v>9486559.6600000001</v>
      </c>
      <c r="J48" s="17">
        <v>9486559.6600000001</v>
      </c>
      <c r="K48" t="s">
        <v>23</v>
      </c>
    </row>
    <row r="49" spans="1:11" x14ac:dyDescent="0.3">
      <c r="A49" t="s">
        <v>42</v>
      </c>
      <c r="B49">
        <v>2012000394</v>
      </c>
      <c r="C49">
        <v>201211</v>
      </c>
      <c r="D49">
        <v>409010</v>
      </c>
      <c r="E49">
        <v>900</v>
      </c>
      <c r="F49">
        <v>101</v>
      </c>
      <c r="G49">
        <v>4710</v>
      </c>
      <c r="H49" s="17">
        <v>10586270.16</v>
      </c>
      <c r="J49" s="17">
        <v>10586270.16</v>
      </c>
      <c r="K49" t="s">
        <v>23</v>
      </c>
    </row>
    <row r="50" spans="1:11" x14ac:dyDescent="0.3">
      <c r="A50" t="s">
        <v>42</v>
      </c>
      <c r="B50">
        <v>2012000423</v>
      </c>
      <c r="C50">
        <v>201212</v>
      </c>
      <c r="D50">
        <v>409010</v>
      </c>
      <c r="E50">
        <v>900</v>
      </c>
      <c r="F50">
        <v>101</v>
      </c>
      <c r="G50">
        <v>4710</v>
      </c>
      <c r="H50" s="17">
        <v>4191.58</v>
      </c>
      <c r="J50" s="17">
        <v>4191.58</v>
      </c>
    </row>
    <row r="51" spans="1:11" x14ac:dyDescent="0.3">
      <c r="A51" t="s">
        <v>42</v>
      </c>
      <c r="B51">
        <v>2012000427</v>
      </c>
      <c r="C51">
        <v>201212</v>
      </c>
      <c r="D51">
        <v>409010</v>
      </c>
      <c r="E51">
        <v>900</v>
      </c>
      <c r="F51">
        <v>102</v>
      </c>
      <c r="G51">
        <v>4710</v>
      </c>
      <c r="H51" s="17">
        <v>1478.01</v>
      </c>
      <c r="J51" s="17">
        <v>1478.01</v>
      </c>
      <c r="K51" t="s">
        <v>22</v>
      </c>
    </row>
    <row r="52" spans="1:11" x14ac:dyDescent="0.3">
      <c r="A52" t="s">
        <v>42</v>
      </c>
      <c r="B52">
        <v>2012000442</v>
      </c>
      <c r="C52">
        <v>201212</v>
      </c>
      <c r="D52">
        <v>409010</v>
      </c>
      <c r="E52">
        <v>900</v>
      </c>
      <c r="F52">
        <v>101</v>
      </c>
      <c r="G52">
        <v>4710</v>
      </c>
      <c r="H52" s="17">
        <v>8389013.3399999999</v>
      </c>
      <c r="J52" s="17">
        <v>8389013.3399999999</v>
      </c>
      <c r="K52" t="s">
        <v>23</v>
      </c>
    </row>
    <row r="53" spans="1:11" x14ac:dyDescent="0.3">
      <c r="A53" t="s">
        <v>43</v>
      </c>
      <c r="B53">
        <v>2012000029</v>
      </c>
      <c r="C53">
        <v>201201</v>
      </c>
      <c r="D53">
        <v>409010</v>
      </c>
      <c r="E53">
        <v>900</v>
      </c>
      <c r="F53">
        <v>101</v>
      </c>
      <c r="G53">
        <v>4710</v>
      </c>
      <c r="I53" s="17">
        <v>8883625.6300000008</v>
      </c>
      <c r="J53" s="17">
        <v>-8883625.6300000008</v>
      </c>
      <c r="K53" t="s">
        <v>23</v>
      </c>
    </row>
    <row r="54" spans="1:11" x14ac:dyDescent="0.3">
      <c r="A54" t="s">
        <v>43</v>
      </c>
      <c r="B54">
        <v>2012000036</v>
      </c>
      <c r="C54">
        <v>201201</v>
      </c>
      <c r="D54">
        <v>409010</v>
      </c>
      <c r="E54">
        <v>900</v>
      </c>
      <c r="F54">
        <v>101</v>
      </c>
      <c r="G54">
        <v>4710</v>
      </c>
      <c r="I54" s="17">
        <v>169021.46</v>
      </c>
      <c r="J54" s="17">
        <v>-169021.46</v>
      </c>
      <c r="K54" t="s">
        <v>67</v>
      </c>
    </row>
    <row r="55" spans="1:11" x14ac:dyDescent="0.3">
      <c r="A55" t="s">
        <v>43</v>
      </c>
      <c r="B55">
        <v>2012000061</v>
      </c>
      <c r="C55">
        <v>201202</v>
      </c>
      <c r="D55">
        <v>409010</v>
      </c>
      <c r="E55">
        <v>900</v>
      </c>
      <c r="F55">
        <v>101</v>
      </c>
      <c r="G55">
        <v>4710</v>
      </c>
      <c r="I55" s="17">
        <v>8529691.5299999993</v>
      </c>
      <c r="J55" s="17">
        <v>-8529691.5299999993</v>
      </c>
      <c r="K55" t="s">
        <v>23</v>
      </c>
    </row>
    <row r="56" spans="1:11" x14ac:dyDescent="0.3">
      <c r="A56" t="s">
        <v>43</v>
      </c>
      <c r="B56">
        <v>2012000120</v>
      </c>
      <c r="C56">
        <v>201203</v>
      </c>
      <c r="D56">
        <v>409010</v>
      </c>
      <c r="E56">
        <v>900</v>
      </c>
      <c r="F56">
        <v>101</v>
      </c>
      <c r="G56">
        <v>4710</v>
      </c>
      <c r="I56" s="17">
        <v>10003302.939999999</v>
      </c>
      <c r="J56" s="17">
        <v>-10003302.939999999</v>
      </c>
      <c r="K56" t="s">
        <v>23</v>
      </c>
    </row>
    <row r="57" spans="1:11" x14ac:dyDescent="0.3">
      <c r="A57" t="s">
        <v>43</v>
      </c>
      <c r="B57">
        <v>2012000153</v>
      </c>
      <c r="C57">
        <v>201204</v>
      </c>
      <c r="D57">
        <v>409010</v>
      </c>
      <c r="E57">
        <v>900</v>
      </c>
      <c r="F57">
        <v>101</v>
      </c>
      <c r="G57">
        <v>4710</v>
      </c>
      <c r="I57" s="17">
        <v>12459717.949999999</v>
      </c>
      <c r="J57" s="17">
        <v>-12459717.949999999</v>
      </c>
      <c r="K57" t="s">
        <v>23</v>
      </c>
    </row>
    <row r="58" spans="1:11" x14ac:dyDescent="0.3">
      <c r="A58" t="s">
        <v>43</v>
      </c>
      <c r="B58">
        <v>2012000181</v>
      </c>
      <c r="C58">
        <v>201205</v>
      </c>
      <c r="D58">
        <v>409010</v>
      </c>
      <c r="E58">
        <v>900</v>
      </c>
      <c r="F58">
        <v>101</v>
      </c>
      <c r="G58">
        <v>4710</v>
      </c>
      <c r="I58" s="17">
        <v>10194633.58</v>
      </c>
      <c r="J58" s="17">
        <v>-10194633.58</v>
      </c>
      <c r="K58" t="s">
        <v>66</v>
      </c>
    </row>
    <row r="59" spans="1:11" x14ac:dyDescent="0.3">
      <c r="A59" t="s">
        <v>43</v>
      </c>
      <c r="B59">
        <v>2012000216</v>
      </c>
      <c r="C59">
        <v>201206</v>
      </c>
      <c r="D59">
        <v>409010</v>
      </c>
      <c r="E59">
        <v>900</v>
      </c>
      <c r="F59">
        <v>101</v>
      </c>
      <c r="G59">
        <v>4710</v>
      </c>
      <c r="I59" s="17">
        <v>11570533.32</v>
      </c>
      <c r="J59" s="17">
        <v>-11570533.32</v>
      </c>
      <c r="K59" t="s">
        <v>23</v>
      </c>
    </row>
    <row r="60" spans="1:11" x14ac:dyDescent="0.3">
      <c r="A60" t="s">
        <v>43</v>
      </c>
      <c r="B60">
        <v>2012000248</v>
      </c>
      <c r="C60">
        <v>201207</v>
      </c>
      <c r="D60">
        <v>409010</v>
      </c>
      <c r="E60">
        <v>900</v>
      </c>
      <c r="F60">
        <v>101</v>
      </c>
      <c r="G60">
        <v>4710</v>
      </c>
      <c r="I60" s="17">
        <v>10853932.15</v>
      </c>
      <c r="J60" s="17">
        <v>-10853932.15</v>
      </c>
      <c r="K60" t="s">
        <v>23</v>
      </c>
    </row>
    <row r="61" spans="1:11" x14ac:dyDescent="0.3">
      <c r="A61" t="s">
        <v>43</v>
      </c>
      <c r="B61">
        <v>2012000287</v>
      </c>
      <c r="C61">
        <v>201208</v>
      </c>
      <c r="D61">
        <v>409010</v>
      </c>
      <c r="E61">
        <v>900</v>
      </c>
      <c r="F61">
        <v>101</v>
      </c>
      <c r="G61">
        <v>4710</v>
      </c>
      <c r="I61" s="17">
        <v>9976545.2899999991</v>
      </c>
      <c r="J61" s="17">
        <v>-9976545.2899999991</v>
      </c>
      <c r="K61" t="s">
        <v>23</v>
      </c>
    </row>
    <row r="62" spans="1:11" x14ac:dyDescent="0.3">
      <c r="A62" t="s">
        <v>43</v>
      </c>
      <c r="B62">
        <v>2012000326</v>
      </c>
      <c r="C62">
        <v>201209</v>
      </c>
      <c r="D62">
        <v>409010</v>
      </c>
      <c r="E62">
        <v>900</v>
      </c>
      <c r="F62">
        <v>101</v>
      </c>
      <c r="G62">
        <v>4710</v>
      </c>
      <c r="I62" s="17">
        <v>9671704.4900000002</v>
      </c>
      <c r="J62" s="17">
        <v>-9671704.4900000002</v>
      </c>
      <c r="K62" t="s">
        <v>23</v>
      </c>
    </row>
    <row r="63" spans="1:11" x14ac:dyDescent="0.3">
      <c r="A63" t="s">
        <v>43</v>
      </c>
      <c r="B63">
        <v>2012000364</v>
      </c>
      <c r="C63">
        <v>201210</v>
      </c>
      <c r="D63">
        <v>409010</v>
      </c>
      <c r="E63">
        <v>900</v>
      </c>
      <c r="F63">
        <v>101</v>
      </c>
      <c r="G63">
        <v>4710</v>
      </c>
      <c r="I63" s="17">
        <v>5533509.7599999998</v>
      </c>
      <c r="J63" s="17">
        <v>-5533509.7599999998</v>
      </c>
      <c r="K63" t="s">
        <v>23</v>
      </c>
    </row>
    <row r="64" spans="1:11" x14ac:dyDescent="0.3">
      <c r="A64" t="s">
        <v>43</v>
      </c>
      <c r="B64">
        <v>2012000440</v>
      </c>
      <c r="C64">
        <v>201212</v>
      </c>
      <c r="D64">
        <v>409010</v>
      </c>
      <c r="E64">
        <v>900</v>
      </c>
      <c r="F64">
        <v>101</v>
      </c>
      <c r="G64">
        <v>4710</v>
      </c>
      <c r="I64" s="17">
        <v>10586270.16</v>
      </c>
      <c r="J64" s="17">
        <v>-10586270.16</v>
      </c>
      <c r="K6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40"/>
  <sheetViews>
    <sheetView topLeftCell="A32" zoomScale="90" zoomScaleNormal="90" workbookViewId="0">
      <selection activeCell="D44" sqref="D44"/>
    </sheetView>
  </sheetViews>
  <sheetFormatPr defaultColWidth="19.08203125" defaultRowHeight="14" x14ac:dyDescent="0.3"/>
  <cols>
    <col min="2" max="2" width="19.08203125" hidden="1" customWidth="1"/>
    <col min="3" max="3" width="22.08203125" bestFit="1" customWidth="1"/>
  </cols>
  <sheetData>
    <row r="1" spans="1:9" ht="18" x14ac:dyDescent="0.4">
      <c r="A1" s="45" t="s">
        <v>70</v>
      </c>
    </row>
    <row r="3" spans="1:9" ht="15.65" x14ac:dyDescent="0.35">
      <c r="A3" s="6" t="s">
        <v>47</v>
      </c>
      <c r="D3" s="138" t="s">
        <v>53</v>
      </c>
      <c r="E3" s="138"/>
      <c r="F3" s="138"/>
      <c r="G3" s="138"/>
      <c r="H3" s="138"/>
    </row>
    <row r="4" spans="1:9" ht="30" customHeight="1" x14ac:dyDescent="0.3">
      <c r="A4" s="21" t="s">
        <v>45</v>
      </c>
      <c r="B4" t="s">
        <v>19</v>
      </c>
      <c r="C4" t="s">
        <v>21</v>
      </c>
      <c r="D4" s="32" t="s">
        <v>58</v>
      </c>
      <c r="E4" s="32" t="s">
        <v>59</v>
      </c>
      <c r="F4" s="32" t="s">
        <v>60</v>
      </c>
      <c r="G4" s="33" t="s">
        <v>61</v>
      </c>
      <c r="H4" s="33" t="s">
        <v>94</v>
      </c>
    </row>
    <row r="5" spans="1:9" ht="14.15" x14ac:dyDescent="0.3">
      <c r="A5" s="22" t="s">
        <v>24</v>
      </c>
      <c r="B5" s="24">
        <v>134709434.41</v>
      </c>
      <c r="C5" s="24">
        <v>134709434.41</v>
      </c>
      <c r="D5" s="34"/>
      <c r="E5" s="34"/>
      <c r="F5" s="34"/>
      <c r="G5" s="34"/>
      <c r="H5" s="34"/>
    </row>
    <row r="6" spans="1:9" ht="14.25" x14ac:dyDescent="0.2">
      <c r="A6" s="23">
        <v>201301</v>
      </c>
      <c r="B6" s="24">
        <v>8770403.1199999992</v>
      </c>
      <c r="C6" s="24">
        <v>8770403.1199999992</v>
      </c>
      <c r="D6" s="35">
        <v>1298781.24</v>
      </c>
      <c r="E6" s="35">
        <v>2972985.12</v>
      </c>
      <c r="F6" s="35">
        <f>GETPIVOTDATA("Sum of Amount",$A$4,"Year Period Key",201301,"Text","To record the IESO invoice payment.")-D6-E6</f>
        <v>4498636.7599999988</v>
      </c>
      <c r="G6" s="35">
        <f>'[1]IESO Invoice JE'!$I$15</f>
        <v>8770403.1230862383</v>
      </c>
      <c r="H6" s="36">
        <f>+'Summary Invoice 2012-2014'!N15</f>
        <v>10052590.086913761</v>
      </c>
      <c r="I6" s="28"/>
    </row>
    <row r="7" spans="1:9" ht="14.15" x14ac:dyDescent="0.3">
      <c r="A7" s="23">
        <v>201302</v>
      </c>
      <c r="B7" s="24">
        <v>9953438.3699999992</v>
      </c>
      <c r="C7" s="24">
        <v>9953438.3699999992</v>
      </c>
      <c r="D7" s="35">
        <f>'[2]IESO Invoices for 2013'!$H$12</f>
        <v>1699846.92</v>
      </c>
      <c r="E7" s="35">
        <f>'[2]IESO Invoices for 2013'!$H$10</f>
        <v>1398271.76</v>
      </c>
      <c r="F7" s="35">
        <f>GETPIVOTDATA("Sum of Amount",$A$4,"Year Period Key",201302,"Text","To record the IESO invoice payment.")-D7-E7</f>
        <v>6855319.6899999995</v>
      </c>
      <c r="G7" s="35">
        <f>'[3]IESO Invoice JE'!$I$15</f>
        <v>9953438.3729038518</v>
      </c>
      <c r="H7" s="36">
        <f>+'Summary Invoice 2012-2014'!N16</f>
        <v>11890706.007096149</v>
      </c>
      <c r="I7" s="28"/>
    </row>
    <row r="8" spans="1:9" ht="14.15" x14ac:dyDescent="0.3">
      <c r="A8" s="23">
        <v>201303</v>
      </c>
      <c r="B8" s="24">
        <v>8646653.0099999998</v>
      </c>
      <c r="C8" s="24">
        <v>8646653.0099999998</v>
      </c>
      <c r="D8" s="35">
        <f>'[2]IESO Invoices for 2013'!$I$12</f>
        <v>1487608.04</v>
      </c>
      <c r="E8" s="35">
        <f>'[2]IESO Invoices for 2013'!$I$10</f>
        <v>-1761915.61</v>
      </c>
      <c r="F8" s="35">
        <f>GETPIVOTDATA("Sum of Amount",$A$4,"Year Period Key",201303,"Text","To record the IESO invoice payment.")-D8-E8</f>
        <v>8920960.5800000001</v>
      </c>
      <c r="G8" s="35">
        <f>'[4]IESO Invoice JE'!$I$15</f>
        <v>8646653.0076563116</v>
      </c>
      <c r="H8" s="36">
        <f>+'Summary Invoice 2012-2014'!N17</f>
        <v>7569851.9723436898</v>
      </c>
      <c r="I8" s="28"/>
    </row>
    <row r="9" spans="1:9" ht="14.15" x14ac:dyDescent="0.3">
      <c r="A9" s="23">
        <v>201304</v>
      </c>
      <c r="B9" s="24">
        <v>8114877.6900000004</v>
      </c>
      <c r="C9" s="24">
        <v>8114877.6900000004</v>
      </c>
      <c r="D9" s="35">
        <f>'[2]IESO Invoices for 2013'!$J$12</f>
        <v>1556363.95</v>
      </c>
      <c r="E9" s="35">
        <f>'[2]IESO Invoices for 2013'!$J$10</f>
        <v>-815334.12</v>
      </c>
      <c r="F9" s="35">
        <f>GETPIVOTDATA("Sum of Amount",$A$4,"Year Period Key",201304,"Text","To record the IESO invoice payment.")-D9-E9</f>
        <v>7373847.8600000003</v>
      </c>
      <c r="G9" s="35">
        <f>'[5]IESO Invoice JE'!$I$15</f>
        <v>8114877.6900000023</v>
      </c>
      <c r="H9" s="36">
        <f>+'Summary Invoice 2012-2014'!N18</f>
        <v>10147046.92</v>
      </c>
      <c r="I9" s="28"/>
    </row>
    <row r="10" spans="1:9" ht="14.15" x14ac:dyDescent="0.3">
      <c r="A10" s="23">
        <v>201305</v>
      </c>
      <c r="B10" s="24">
        <v>12100298.42</v>
      </c>
      <c r="C10" s="24">
        <v>12100298.42</v>
      </c>
      <c r="D10" s="35">
        <f>'[2]IESO Invoices for 2013'!$K$12</f>
        <v>1724674.35</v>
      </c>
      <c r="E10" s="35">
        <f>'[2]IESO Invoices for 2013'!$K$10</f>
        <v>-625683.57999999996</v>
      </c>
      <c r="F10" s="35">
        <f>GETPIVOTDATA("Sum of Amount",$A$4,"Year Period Key",201305,"Text","To record the IESO invoice payment.")-D10-E10</f>
        <v>11001307.65</v>
      </c>
      <c r="G10" s="35">
        <f>'[6]IESO Invoice JE'!$I$15</f>
        <v>12100298.422638359</v>
      </c>
      <c r="H10" s="36">
        <f>+'Summary Invoice 2012-2014'!N19</f>
        <v>7891260.7773616426</v>
      </c>
      <c r="I10" s="28"/>
    </row>
    <row r="11" spans="1:9" ht="14.15" x14ac:dyDescent="0.3">
      <c r="A11" s="23">
        <v>201306</v>
      </c>
      <c r="B11" s="24">
        <v>12491232.279999999</v>
      </c>
      <c r="C11" s="24">
        <v>12491232.279999999</v>
      </c>
      <c r="D11" s="35">
        <f>'[2]IESO Invoices for 2013'!$L$12</f>
        <v>1843602.69</v>
      </c>
      <c r="E11" s="35">
        <f>'[2]IESO Invoices for 2013'!$L$10</f>
        <v>-1603826.45</v>
      </c>
      <c r="F11" s="35">
        <f>GETPIVOTDATA("Sum of Amount",$A$4,"Year Period Key",201306,"Text","To record the IESO invoice payment.")-D11-E11</f>
        <v>12251456.039999999</v>
      </c>
      <c r="G11" s="35">
        <f>'[7]IESO Invoice JE'!$I$15</f>
        <v>12491232.279601591</v>
      </c>
      <c r="H11" s="36">
        <f>+'Summary Invoice 2012-2014'!N20</f>
        <v>9648945.5103984103</v>
      </c>
      <c r="I11" s="28"/>
    </row>
    <row r="12" spans="1:9" ht="14.15" x14ac:dyDescent="0.3">
      <c r="A12" s="23">
        <v>201307</v>
      </c>
      <c r="B12" s="24">
        <v>10524774.18</v>
      </c>
      <c r="C12" s="24">
        <v>10524774.18</v>
      </c>
      <c r="D12" s="35">
        <f>'[2]IESO Invoices for 2013'!$M$12</f>
        <v>2025937.32</v>
      </c>
      <c r="E12" s="35">
        <f>'[2]IESO Invoices for 2013'!$M$10</f>
        <v>-3934592.83</v>
      </c>
      <c r="F12" s="35">
        <f>GETPIVOTDATA("Sum of Amount",$A$4,"Year Period Key",201307,"Text","To record the IESO invoice payment.")-D12-E12</f>
        <v>12433429.689999999</v>
      </c>
      <c r="G12" s="35">
        <f>'[8]IESO Invoice JE'!$I$15</f>
        <v>10524774.178662525</v>
      </c>
      <c r="H12" s="36">
        <f>+'Summary Invoice 2012-2014'!N21</f>
        <v>12373496.851337476</v>
      </c>
      <c r="I12" s="28"/>
    </row>
    <row r="13" spans="1:9" ht="14.15" x14ac:dyDescent="0.3">
      <c r="A13" s="23">
        <v>201308</v>
      </c>
      <c r="B13" s="24">
        <v>14736725.83</v>
      </c>
      <c r="C13" s="24">
        <v>14736725.83</v>
      </c>
      <c r="D13" s="35">
        <f>'[2]IESO Invoices for 2013'!$N$12</f>
        <v>1802558.05</v>
      </c>
      <c r="E13" s="35">
        <f>'[2]IESO Invoices for 2013'!$N$10</f>
        <v>3820403.32</v>
      </c>
      <c r="F13" s="35">
        <f>GETPIVOTDATA("Sum of Amount",$A$4,"Year Period Key",201308,"Text","To record the IESO invoice payment.")-D13-E13</f>
        <v>9113764.459999999</v>
      </c>
      <c r="G13" s="35">
        <f>'[9]IESO Invoice JE'!$I$15</f>
        <v>14736725.8307564</v>
      </c>
      <c r="H13" s="36">
        <f>+'Summary Invoice 2012-2014'!N22</f>
        <v>12845746.5092436</v>
      </c>
      <c r="I13" s="28"/>
    </row>
    <row r="14" spans="1:9" ht="14.15" x14ac:dyDescent="0.3">
      <c r="A14" s="23">
        <v>201309</v>
      </c>
      <c r="B14" s="24">
        <v>10222226.41</v>
      </c>
      <c r="C14" s="24">
        <v>10222226.41</v>
      </c>
      <c r="D14" s="35">
        <f>'[2]IESO Invoices for 2013'!$O$12</f>
        <v>2061936.74</v>
      </c>
      <c r="E14" s="35">
        <f>'[2]IESO Invoices for 2013'!$O$10</f>
        <v>-3518779.46</v>
      </c>
      <c r="F14" s="35">
        <f>GETPIVOTDATA("Sum of Amount",$A$4,"Year Period Key",201309,"Text","To record the IESO invoice payment.")-D14-E14</f>
        <v>11679069.129999999</v>
      </c>
      <c r="G14" s="35">
        <f>'[10]IESO Invoice JE'!$I$15</f>
        <v>10222226.412755782</v>
      </c>
      <c r="H14" s="36">
        <f>+'Summary Invoice 2012-2014'!N23</f>
        <v>12692163.007244218</v>
      </c>
      <c r="I14" s="28"/>
    </row>
    <row r="15" spans="1:9" ht="14.15" x14ac:dyDescent="0.3">
      <c r="A15" s="23">
        <v>201310</v>
      </c>
      <c r="B15" s="24">
        <v>15080049.34</v>
      </c>
      <c r="C15" s="24">
        <v>15080049.34</v>
      </c>
      <c r="D15" s="35">
        <f>'[2]IESO Invoices for 2013'!$P$12</f>
        <v>1936593.22</v>
      </c>
      <c r="E15" s="35">
        <f>'[2]IESO Invoices for 2013'!$P$10</f>
        <v>925112.74</v>
      </c>
      <c r="F15" s="35">
        <f>GETPIVOTDATA("Sum of Amount",$A$4,"Year Period Key",201310,"Text","To record the IESO invoice payment.")-D15-E15</f>
        <v>12218343.379999999</v>
      </c>
      <c r="G15" s="35">
        <f>'[11]IESO Invoice JE'!$I$15</f>
        <v>15080049.335986136</v>
      </c>
      <c r="H15" s="36">
        <f>+'Summary Invoice 2012-2014'!N24</f>
        <v>10124934.884013865</v>
      </c>
      <c r="I15" s="28"/>
    </row>
    <row r="16" spans="1:9" ht="14.15" x14ac:dyDescent="0.3">
      <c r="A16" s="23">
        <v>201311</v>
      </c>
      <c r="B16" s="24">
        <v>10346890.93</v>
      </c>
      <c r="C16" s="24">
        <v>10346890.93</v>
      </c>
      <c r="D16" s="35">
        <f>'[2]IESO Invoices for 2013'!$Q$12</f>
        <v>1868296.99</v>
      </c>
      <c r="E16" s="35">
        <f>'[2]IESO Invoices for 2013'!$Q$10</f>
        <v>-1869581.95</v>
      </c>
      <c r="F16" s="35">
        <f>GETPIVOTDATA("Sum of Amount",$A$4,"Year Period Key",201311,"Text","To record the IESO invoice payment.")-D16-E16</f>
        <v>10348175.889999999</v>
      </c>
      <c r="G16" s="35">
        <f>'[12]IESO Invoice JE'!$I$15</f>
        <v>10346890.93251206</v>
      </c>
      <c r="H16" s="36">
        <f>+'Summary Invoice 2012-2014'!N25</f>
        <v>10537158.117487943</v>
      </c>
      <c r="I16" s="28"/>
    </row>
    <row r="17" spans="1:10" ht="14.15" x14ac:dyDescent="0.3">
      <c r="A17" s="23">
        <v>201312</v>
      </c>
      <c r="B17" s="24">
        <v>13721864.83</v>
      </c>
      <c r="C17" s="24">
        <v>13721864.83</v>
      </c>
      <c r="D17" s="35">
        <f>'[2]IESO Invoices for 2013'!$R$12</f>
        <v>2495276.5699999998</v>
      </c>
      <c r="E17" s="35">
        <f>'[2]IESO Invoices for 2013'!$R$10</f>
        <v>-2156555.54</v>
      </c>
      <c r="F17" s="35">
        <f>GETPIVOTDATA("Sum of Amount",$A$4,"Year Period Key",201312,"Text","To record the IESO invoice payment.")-D17-E17</f>
        <v>13383143.800000001</v>
      </c>
      <c r="G17" s="35">
        <f>'[13]IESO Invoice JE'!$I$15</f>
        <v>13721864.834423561</v>
      </c>
      <c r="H17" s="36">
        <f>+'Summary Invoice 2012-2014'!N26</f>
        <v>13639141.355576441</v>
      </c>
      <c r="I17" s="28"/>
    </row>
    <row r="18" spans="1:10" ht="14.15" x14ac:dyDescent="0.3">
      <c r="A18" s="22" t="s">
        <v>32</v>
      </c>
      <c r="B18" s="24">
        <v>134709434.41</v>
      </c>
      <c r="C18" s="24">
        <v>134709434.41</v>
      </c>
      <c r="D18" s="37">
        <f>SUM(D6:D17)</f>
        <v>21801476.079999998</v>
      </c>
      <c r="E18" s="37">
        <f>SUM(E6:E17)</f>
        <v>-7169496.6000000015</v>
      </c>
      <c r="F18" s="37">
        <f>SUM(F6:F17)</f>
        <v>120077454.92999998</v>
      </c>
      <c r="G18" s="38">
        <f>SUM(G6:G17)</f>
        <v>134709434.42098284</v>
      </c>
      <c r="H18" s="37">
        <f>SUM(H6:H17)</f>
        <v>129413041.99901718</v>
      </c>
    </row>
    <row r="20" spans="1:10" ht="15.5" x14ac:dyDescent="0.35">
      <c r="D20" s="139" t="s">
        <v>52</v>
      </c>
      <c r="E20" s="139"/>
      <c r="F20" s="139"/>
      <c r="G20" s="139"/>
      <c r="H20" s="139"/>
    </row>
    <row r="21" spans="1:10" ht="30" customHeight="1" x14ac:dyDescent="0.3">
      <c r="D21" s="32" t="s">
        <v>58</v>
      </c>
      <c r="E21" s="32" t="s">
        <v>59</v>
      </c>
      <c r="F21" s="32" t="s">
        <v>60</v>
      </c>
      <c r="G21" s="33" t="s">
        <v>185</v>
      </c>
      <c r="H21" s="33" t="s">
        <v>186</v>
      </c>
    </row>
    <row r="22" spans="1:10" x14ac:dyDescent="0.3">
      <c r="D22" s="34"/>
      <c r="E22" s="34"/>
      <c r="F22" s="34"/>
      <c r="G22" s="34"/>
      <c r="H22" s="34"/>
    </row>
    <row r="23" spans="1:10" x14ac:dyDescent="0.3">
      <c r="D23" s="35">
        <f t="shared" ref="D23:D34" si="0">+D6</f>
        <v>1298781.24</v>
      </c>
      <c r="E23" s="35"/>
      <c r="F23" s="36">
        <f>+'Summary Invoice 2012-2014'!I15</f>
        <v>6025250.8048646012</v>
      </c>
      <c r="G23" s="35">
        <f>SUM(D23:F23)</f>
        <v>7324032.0448646015</v>
      </c>
      <c r="H23" s="36">
        <f>+E6+'Summary Invoice 2012-2014'!H15</f>
        <v>11498961.165135395</v>
      </c>
      <c r="J23" s="5">
        <f>H23-E6+F23</f>
        <v>14551226.849999994</v>
      </c>
    </row>
    <row r="24" spans="1:10" x14ac:dyDescent="0.3">
      <c r="D24" s="35">
        <f t="shared" si="0"/>
        <v>1699846.92</v>
      </c>
      <c r="E24" s="35"/>
      <c r="F24" s="36">
        <f>+'Summary Invoice 2012-2014'!I16</f>
        <v>8683251.542046316</v>
      </c>
      <c r="G24" s="35">
        <f t="shared" ref="G24:G34" si="1">SUM(D24:F24)</f>
        <v>10383098.462046316</v>
      </c>
      <c r="H24" s="36">
        <f>+E7+'Summary Invoice 2012-2014'!H16</f>
        <v>11461045.917953687</v>
      </c>
    </row>
    <row r="25" spans="1:10" x14ac:dyDescent="0.3">
      <c r="D25" s="35">
        <f t="shared" si="0"/>
        <v>1487608.04</v>
      </c>
      <c r="E25" s="35"/>
      <c r="F25" s="36">
        <f>+'Summary Invoice 2012-2014'!I17</f>
        <v>7486461.1486315764</v>
      </c>
      <c r="G25" s="35">
        <f t="shared" si="1"/>
        <v>8974069.1886315756</v>
      </c>
      <c r="H25" s="36">
        <f>+E8+'Summary Invoice 2012-2014'!H17</f>
        <v>7242435.7913684258</v>
      </c>
    </row>
    <row r="26" spans="1:10" x14ac:dyDescent="0.3">
      <c r="D26" s="35">
        <f t="shared" si="0"/>
        <v>1556363.95</v>
      </c>
      <c r="E26" s="35"/>
      <c r="F26" s="36">
        <f>+'Summary Invoice 2012-2014'!I18</f>
        <v>8004293.6181785138</v>
      </c>
      <c r="G26" s="35">
        <f t="shared" si="1"/>
        <v>9560657.568178514</v>
      </c>
      <c r="H26" s="36">
        <f>+E9+'Summary Invoice 2012-2014'!H18</f>
        <v>8701267.0418214872</v>
      </c>
    </row>
    <row r="27" spans="1:10" x14ac:dyDescent="0.3">
      <c r="D27" s="35">
        <f t="shared" si="0"/>
        <v>1724674.35</v>
      </c>
      <c r="E27" s="35"/>
      <c r="F27" s="36">
        <f>+'Summary Invoice 2012-2014'!I19</f>
        <v>9533690.4554589782</v>
      </c>
      <c r="G27" s="35">
        <f t="shared" si="1"/>
        <v>11258364.805458978</v>
      </c>
      <c r="H27" s="36">
        <f>+E10+'Summary Invoice 2012-2014'!H19</f>
        <v>8733194.3945410214</v>
      </c>
    </row>
    <row r="28" spans="1:10" x14ac:dyDescent="0.3">
      <c r="D28" s="35">
        <f t="shared" si="0"/>
        <v>1843602.69</v>
      </c>
      <c r="E28" s="35"/>
      <c r="F28" s="36">
        <f>+'Summary Invoice 2012-2014'!I20</f>
        <v>10929487.00343019</v>
      </c>
      <c r="G28" s="35">
        <f t="shared" si="1"/>
        <v>12773089.693430189</v>
      </c>
      <c r="H28" s="36">
        <f>+E11+'Summary Invoice 2012-2014'!H20</f>
        <v>9367088.0965698101</v>
      </c>
    </row>
    <row r="29" spans="1:10" x14ac:dyDescent="0.3">
      <c r="D29" s="35">
        <f t="shared" si="0"/>
        <v>2025937.32</v>
      </c>
      <c r="E29" s="35"/>
      <c r="F29" s="36">
        <f>+'Summary Invoice 2012-2014'!I21</f>
        <v>10923902.970839707</v>
      </c>
      <c r="G29" s="35">
        <f t="shared" si="1"/>
        <v>12949840.290839707</v>
      </c>
      <c r="H29" s="36">
        <f>+E12+'Summary Invoice 2012-2014'!H21</f>
        <v>9948430.7391602919</v>
      </c>
    </row>
    <row r="30" spans="1:10" x14ac:dyDescent="0.3">
      <c r="D30" s="35">
        <f t="shared" si="0"/>
        <v>1802558.05</v>
      </c>
      <c r="E30" s="35"/>
      <c r="F30" s="36">
        <f>+'Summary Invoice 2012-2014'!I22</f>
        <v>9087809.1544847935</v>
      </c>
      <c r="G30" s="35">
        <f t="shared" si="1"/>
        <v>10890367.204484794</v>
      </c>
      <c r="H30" s="36">
        <f>+E13+'Summary Invoice 2012-2014'!H22</f>
        <v>16692105.135515206</v>
      </c>
    </row>
    <row r="31" spans="1:10" x14ac:dyDescent="0.3">
      <c r="D31" s="35">
        <f t="shared" si="0"/>
        <v>2061936.74</v>
      </c>
      <c r="E31" s="35"/>
      <c r="F31" s="36">
        <f>+'Summary Invoice 2012-2014'!I23</f>
        <v>11004464.837816667</v>
      </c>
      <c r="G31" s="35">
        <f t="shared" si="1"/>
        <v>13066401.577816667</v>
      </c>
      <c r="H31" s="36">
        <f>+E14+'Summary Invoice 2012-2014'!H23</f>
        <v>9847987.8421833366</v>
      </c>
    </row>
    <row r="32" spans="1:10" x14ac:dyDescent="0.3">
      <c r="D32" s="35">
        <f t="shared" si="0"/>
        <v>1936593.22</v>
      </c>
      <c r="E32" s="35"/>
      <c r="F32" s="36">
        <f>+'Summary Invoice 2012-2014'!I24</f>
        <v>11474256.093222113</v>
      </c>
      <c r="G32" s="35">
        <f t="shared" si="1"/>
        <v>13410849.313222114</v>
      </c>
      <c r="H32" s="36">
        <f>+E15+'Summary Invoice 2012-2014'!H24</f>
        <v>11794134.906777885</v>
      </c>
    </row>
    <row r="33" spans="3:9" x14ac:dyDescent="0.3">
      <c r="D33" s="35">
        <f t="shared" si="0"/>
        <v>1868296.99</v>
      </c>
      <c r="E33" s="35"/>
      <c r="F33" s="36">
        <f>+'Summary Invoice 2012-2014'!I25</f>
        <v>10567977.634471092</v>
      </c>
      <c r="G33" s="35">
        <f t="shared" si="1"/>
        <v>12436274.624471093</v>
      </c>
      <c r="H33" s="36">
        <f>+E16+'Summary Invoice 2012-2014'!H25</f>
        <v>8447774.42552891</v>
      </c>
    </row>
    <row r="34" spans="3:9" x14ac:dyDescent="0.3">
      <c r="D34" s="35">
        <f t="shared" si="0"/>
        <v>2495276.5699999998</v>
      </c>
      <c r="E34" s="35"/>
      <c r="F34" s="36">
        <f>+'Summary Invoice 2012-2014'!I26</f>
        <v>12934792.090628479</v>
      </c>
      <c r="G34" s="35">
        <f t="shared" si="1"/>
        <v>15430068.660628479</v>
      </c>
      <c r="H34" s="36">
        <f>+E17+'Summary Invoice 2012-2014'!H26</f>
        <v>11930937.529371522</v>
      </c>
    </row>
    <row r="35" spans="3:9" x14ac:dyDescent="0.3">
      <c r="D35" s="37">
        <f>SUM(D23:D34)</f>
        <v>21801476.079999998</v>
      </c>
      <c r="E35" s="37">
        <f>SUM(E23:E34)</f>
        <v>0</v>
      </c>
      <c r="F35" s="37">
        <f>SUM(F23:F34)</f>
        <v>116655637.35407302</v>
      </c>
      <c r="G35" s="37">
        <f>SUM(G23:G34)</f>
        <v>138457113.434073</v>
      </c>
      <c r="H35" s="37">
        <f>SUM(H23:H34)</f>
        <v>125665362.98592699</v>
      </c>
    </row>
    <row r="37" spans="3:9" ht="28" x14ac:dyDescent="0.3">
      <c r="C37" s="34"/>
      <c r="D37" s="32" t="s">
        <v>46</v>
      </c>
      <c r="E37" s="32" t="s">
        <v>48</v>
      </c>
      <c r="F37" s="32" t="s">
        <v>57</v>
      </c>
      <c r="G37" s="32" t="s">
        <v>50</v>
      </c>
      <c r="H37" s="33" t="s">
        <v>49</v>
      </c>
    </row>
    <row r="38" spans="3:9" x14ac:dyDescent="0.3">
      <c r="C38" s="31" t="s">
        <v>51</v>
      </c>
      <c r="D38" s="35">
        <f>+D18-D35</f>
        <v>0</v>
      </c>
      <c r="E38" s="35">
        <f>+E18-E35</f>
        <v>-7169496.6000000015</v>
      </c>
      <c r="F38" s="35">
        <f>+F18-F35</f>
        <v>3421817.5759269595</v>
      </c>
      <c r="G38" s="35">
        <f>+G18-G35</f>
        <v>-3747679.0130901635</v>
      </c>
      <c r="H38" s="35">
        <f>+H18-H35</f>
        <v>3747679.0130901933</v>
      </c>
      <c r="I38" s="28">
        <f>+H38+G38</f>
        <v>2.9802322387695313E-8</v>
      </c>
    </row>
    <row r="39" spans="3:9" ht="14.15" customHeight="1" x14ac:dyDescent="0.3">
      <c r="F39" s="41">
        <f>+F38-'Summary Invoice 2012-2014'!V26</f>
        <v>-1.0982826352119446E-2</v>
      </c>
      <c r="G39" s="40" t="s">
        <v>54</v>
      </c>
      <c r="H39" s="40" t="s">
        <v>55</v>
      </c>
      <c r="I39" s="42" t="s">
        <v>56</v>
      </c>
    </row>
    <row r="40" spans="3:9" x14ac:dyDescent="0.3">
      <c r="G40" s="39"/>
      <c r="H40" s="25"/>
    </row>
  </sheetData>
  <mergeCells count="2">
    <mergeCell ref="D3:H3"/>
    <mergeCell ref="D20:H20"/>
  </mergeCells>
  <pageMargins left="0.7" right="0.7" top="0.75" bottom="0.75" header="0.3" footer="0.3"/>
  <pageSetup scale="5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0"/>
  <sheetViews>
    <sheetView topLeftCell="D32" zoomScale="90" zoomScaleNormal="90" workbookViewId="0">
      <selection activeCell="G38" sqref="G38"/>
    </sheetView>
  </sheetViews>
  <sheetFormatPr defaultColWidth="19.08203125" defaultRowHeight="14" x14ac:dyDescent="0.3"/>
  <cols>
    <col min="1" max="1" width="35.83203125" bestFit="1" customWidth="1"/>
    <col min="2" max="2" width="20.33203125" hidden="1" customWidth="1"/>
    <col min="3" max="3" width="23.25" bestFit="1" customWidth="1"/>
    <col min="6" max="8" width="19.08203125" customWidth="1"/>
  </cols>
  <sheetData>
    <row r="1" spans="1:12" ht="18" x14ac:dyDescent="0.4">
      <c r="A1" s="45" t="s">
        <v>71</v>
      </c>
    </row>
    <row r="3" spans="1:12" ht="15.65" customHeight="1" x14ac:dyDescent="0.35">
      <c r="A3" s="6" t="s">
        <v>47</v>
      </c>
      <c r="D3" s="138" t="s">
        <v>68</v>
      </c>
      <c r="E3" s="138"/>
      <c r="F3" s="138"/>
      <c r="G3" s="138"/>
      <c r="H3" s="138"/>
      <c r="J3" s="140" t="s">
        <v>142</v>
      </c>
      <c r="K3" s="140"/>
      <c r="L3" s="140"/>
    </row>
    <row r="4" spans="1:12" ht="30" customHeight="1" x14ac:dyDescent="0.3">
      <c r="A4" s="21" t="s">
        <v>45</v>
      </c>
      <c r="B4" t="s">
        <v>19</v>
      </c>
      <c r="C4" t="s">
        <v>21</v>
      </c>
      <c r="D4" s="32" t="s">
        <v>58</v>
      </c>
      <c r="E4" s="32" t="s">
        <v>59</v>
      </c>
      <c r="F4" s="32" t="s">
        <v>60</v>
      </c>
      <c r="G4" s="33" t="s">
        <v>61</v>
      </c>
      <c r="H4" s="33" t="s">
        <v>187</v>
      </c>
      <c r="J4" s="140"/>
      <c r="K4" s="140"/>
      <c r="L4" s="140"/>
    </row>
    <row r="5" spans="1:12" ht="14.25" x14ac:dyDescent="0.2">
      <c r="A5" s="22" t="s">
        <v>24</v>
      </c>
      <c r="B5" s="24">
        <v>201417373.02000001</v>
      </c>
      <c r="C5" s="24">
        <v>117012285.39999998</v>
      </c>
      <c r="D5" s="34"/>
      <c r="E5" s="34"/>
      <c r="F5" s="34"/>
      <c r="G5" s="34"/>
      <c r="H5" s="34"/>
      <c r="J5" s="80"/>
      <c r="K5" s="80"/>
      <c r="L5" s="80"/>
    </row>
    <row r="6" spans="1:12" ht="14.25" x14ac:dyDescent="0.2">
      <c r="A6" s="23">
        <v>201201</v>
      </c>
      <c r="B6" s="24">
        <v>18516306.559999999</v>
      </c>
      <c r="C6" s="24">
        <v>9576355.589999998</v>
      </c>
      <c r="D6" s="35">
        <v>923805.24</v>
      </c>
      <c r="E6" s="35">
        <v>1188973.42</v>
      </c>
      <c r="F6" s="35">
        <f>GETPIVOTDATA("Sum of Amount",$A$4,"Year Period Key",201201,"Text","To record the IESO invoice payment.")-D6-E6</f>
        <v>7463576.9299999978</v>
      </c>
      <c r="G6" s="35">
        <f>18516306.56-8939950.97</f>
        <v>9576355.589999998</v>
      </c>
      <c r="H6" s="36">
        <f>+'Summary Invoice 2012-2014'!N3+331.63</f>
        <v>10128924.310000001</v>
      </c>
      <c r="J6" s="80"/>
      <c r="K6" s="80"/>
      <c r="L6" s="80"/>
    </row>
    <row r="7" spans="1:12" ht="14.25" x14ac:dyDescent="0.2">
      <c r="A7" s="23">
        <v>201202</v>
      </c>
      <c r="B7" s="24">
        <v>17361119.23</v>
      </c>
      <c r="C7" s="24">
        <v>8312284.0700000003</v>
      </c>
      <c r="D7" s="35">
        <v>875755.8</v>
      </c>
      <c r="E7" s="35">
        <v>1133802.95</v>
      </c>
      <c r="F7" s="35">
        <f>GETPIVOTDATA("Sum of Amount",$A$4,"Year Period Key",201202,"Text","To record the IESO invoice payment.")-D7-E7</f>
        <v>6302725.3200000003</v>
      </c>
      <c r="G7" s="35">
        <f>17361119.23-9048835.16</f>
        <v>8312284.0700000003</v>
      </c>
      <c r="H7" s="36">
        <f>+'Summary Invoice 2012-2014'!N4-557.51</f>
        <v>10182638.17</v>
      </c>
      <c r="J7" s="80"/>
      <c r="K7" s="80"/>
      <c r="L7" s="80"/>
    </row>
    <row r="8" spans="1:12" ht="14.25" x14ac:dyDescent="0.2">
      <c r="A8" s="23">
        <v>201203</v>
      </c>
      <c r="B8" s="24">
        <v>18981108.32</v>
      </c>
      <c r="C8" s="24">
        <v>10075693.530000001</v>
      </c>
      <c r="D8" s="35">
        <v>940073.42</v>
      </c>
      <c r="E8" s="35">
        <v>577080.76</v>
      </c>
      <c r="F8" s="35">
        <f>GETPIVOTDATA("Sum of Amount",$A$4,"Year Period Key",201203,"Text","To record the IESO invoice payment.")-D8-E8</f>
        <v>8558539.3500000015</v>
      </c>
      <c r="G8" s="35">
        <f>18981108.32-8905414.79</f>
        <v>10075693.530000001</v>
      </c>
      <c r="H8" s="36">
        <f>+'Summary Invoice 2012-2014'!N5-1849.87</f>
        <v>9482495.540000001</v>
      </c>
    </row>
    <row r="9" spans="1:12" ht="14.15" customHeight="1" x14ac:dyDescent="0.2">
      <c r="A9" s="23">
        <v>201204</v>
      </c>
      <c r="B9" s="24">
        <v>22973758.16</v>
      </c>
      <c r="C9" s="24">
        <v>12521718.25</v>
      </c>
      <c r="D9" s="35">
        <v>1139275.04</v>
      </c>
      <c r="E9" s="35">
        <v>-395773.97</v>
      </c>
      <c r="F9" s="35">
        <f>GETPIVOTDATA("Sum of Amount",$A$4,"Year Period Key",201204,"Text","To record the IESO invoice payment.")-D9-E9</f>
        <v>11778217.180000002</v>
      </c>
      <c r="G9" s="35">
        <f>22973758.16-10452039.91</f>
        <v>12521718.25</v>
      </c>
      <c r="H9" s="36">
        <f>+'Summary Invoice 2012-2014'!N6-5416.76</f>
        <v>10056265.939999999</v>
      </c>
    </row>
    <row r="10" spans="1:12" ht="14.15" customHeight="1" x14ac:dyDescent="0.2">
      <c r="A10" s="23">
        <v>201205</v>
      </c>
      <c r="B10" s="24">
        <v>20649284.41</v>
      </c>
      <c r="C10" s="24">
        <v>10284459.609999999</v>
      </c>
      <c r="D10" s="35">
        <v>1016570.22</v>
      </c>
      <c r="E10" s="35">
        <v>-541322.06000000006</v>
      </c>
      <c r="F10" s="35">
        <f>GETPIVOTDATA("Sum of Amount",$A$4,"Year Period Key",201205,"Text","To record the IESO invoice payment.")-D10-E10</f>
        <v>9809211.4499999993</v>
      </c>
      <c r="G10" s="35">
        <f>20649284.41-10364824.8</f>
        <v>10284459.609999999</v>
      </c>
      <c r="H10" s="36">
        <f>+'Summary Invoice 2012-2014'!N7-3231.59</f>
        <v>9823502.7400000002</v>
      </c>
    </row>
    <row r="11" spans="1:12" ht="14.25" x14ac:dyDescent="0.2">
      <c r="A11" s="23">
        <v>201206</v>
      </c>
      <c r="B11" s="24">
        <v>20785665.440000001</v>
      </c>
      <c r="C11" s="24">
        <v>11030506.960000001</v>
      </c>
      <c r="D11" s="35">
        <v>988336.91</v>
      </c>
      <c r="E11" s="35">
        <v>145438.72</v>
      </c>
      <c r="F11" s="35">
        <f>GETPIVOTDATA("Sum of Amount",$A$4,"Year Period Key",201206,"Text","To record the IESO invoice payment.")-D11-E11</f>
        <v>9896731.3300000001</v>
      </c>
      <c r="G11" s="35">
        <f>20785665.44-9755158.48</f>
        <v>11030506.960000001</v>
      </c>
      <c r="H11" s="36">
        <f>+'Summary Invoice 2012-2014'!N8-5208</f>
        <v>9900597.2100000009</v>
      </c>
    </row>
    <row r="12" spans="1:12" ht="14.15" x14ac:dyDescent="0.3">
      <c r="A12" s="23">
        <v>201207</v>
      </c>
      <c r="B12" s="24">
        <v>21749596.41</v>
      </c>
      <c r="C12" s="24">
        <v>10189793.26</v>
      </c>
      <c r="D12" s="35">
        <v>1000074.46</v>
      </c>
      <c r="E12" s="35">
        <v>898103.52</v>
      </c>
      <c r="F12" s="35">
        <f>GETPIVOTDATA("Sum of Amount",$A$4,"Year Period Key",201207,"Text","To record the IESO invoice payment.")-D12-E12</f>
        <v>8291615.2800000012</v>
      </c>
      <c r="G12" s="35">
        <f>21749596.41-11559803.15</f>
        <v>10189793.26</v>
      </c>
      <c r="H12" s="36">
        <f>+'Summary Invoice 2012-2014'!N9-1864.21</f>
        <v>12457906.68</v>
      </c>
    </row>
    <row r="13" spans="1:12" ht="14.15" x14ac:dyDescent="0.3">
      <c r="A13" s="23">
        <v>201208</v>
      </c>
      <c r="B13" s="24">
        <v>16531634.02</v>
      </c>
      <c r="C13" s="24">
        <v>4901673.0999999996</v>
      </c>
      <c r="D13" s="35">
        <v>1182846.56</v>
      </c>
      <c r="E13" s="35">
        <v>958387.67</v>
      </c>
      <c r="F13" s="35">
        <f>GETPIVOTDATA("Sum of Amount",$A$4,"Year Period Key",201208,"Text","To record the IESO invoice payment.")-D13-E13</f>
        <v>2760438.8699999996</v>
      </c>
      <c r="G13" s="35">
        <f>16531634.02-11629960.92</f>
        <v>4901673.0999999996</v>
      </c>
      <c r="H13" s="36">
        <f>+'Summary Invoice 2012-2014'!N10-2159.27</f>
        <v>12588348.6</v>
      </c>
    </row>
    <row r="14" spans="1:12" ht="14.15" x14ac:dyDescent="0.3">
      <c r="A14" s="23">
        <v>201209</v>
      </c>
      <c r="B14" s="24">
        <v>18769405.859999999</v>
      </c>
      <c r="C14" s="24">
        <v>15020306.42</v>
      </c>
      <c r="D14" s="35">
        <v>1360067.8</v>
      </c>
      <c r="E14" s="35">
        <v>7448310.3899999997</v>
      </c>
      <c r="F14" s="35">
        <f>GETPIVOTDATA("Sum of Amount",$A$4,"Year Period Key",201209,"Text","To record the IESO invoice payment.")-D14-E14</f>
        <v>6211928.2299999995</v>
      </c>
      <c r="G14" s="35">
        <f>18769405.86-3749099.44</f>
        <v>15020306.42</v>
      </c>
      <c r="H14" s="36">
        <f>+'Summary Invoice 2012-2014'!N11-4182.7</f>
        <v>11197409.82</v>
      </c>
    </row>
    <row r="15" spans="1:12" ht="14.15" x14ac:dyDescent="0.3">
      <c r="A15" s="23">
        <v>201210</v>
      </c>
      <c r="B15" s="24">
        <v>4950595.22</v>
      </c>
      <c r="C15" s="24">
        <v>4950595.22</v>
      </c>
      <c r="D15" s="35">
        <v>1343465.59</v>
      </c>
      <c r="E15" s="35">
        <v>-2329506.94</v>
      </c>
      <c r="F15" s="35">
        <f>GETPIVOTDATA("Sum of Amount",$A$4,"Year Period Key",201210,"Text","To record the IESO invoice payment.")-D15-E15</f>
        <v>5936636.5700000003</v>
      </c>
      <c r="G15" s="35">
        <v>4950595.22</v>
      </c>
      <c r="H15" s="36">
        <f>+'Summary Invoice 2012-2014'!N12-4927.41</f>
        <v>10293468.6</v>
      </c>
    </row>
    <row r="16" spans="1:12" ht="14.15" x14ac:dyDescent="0.3">
      <c r="A16" s="23">
        <v>201211</v>
      </c>
      <c r="B16" s="24">
        <v>10079182.07</v>
      </c>
      <c r="C16" s="24">
        <v>10079182.07</v>
      </c>
      <c r="D16" s="35">
        <v>1530510.73</v>
      </c>
      <c r="E16" s="35">
        <v>1130502.9099999999</v>
      </c>
      <c r="F16" s="35">
        <f>GETPIVOTDATA("Sum of Amount",$A$4,"Year Period Key",201211,"Text","To record the IESO invoice payment.")-D16-E16</f>
        <v>7418168.4299999997</v>
      </c>
      <c r="G16" s="35">
        <v>10079182.07</v>
      </c>
      <c r="H16" s="36">
        <f>+'Summary Invoice 2012-2014'!N13-20908.18</f>
        <v>10175465.82</v>
      </c>
    </row>
    <row r="17" spans="1:10" ht="14.15" x14ac:dyDescent="0.3">
      <c r="A17" s="23">
        <v>201212</v>
      </c>
      <c r="B17" s="24">
        <v>10069717.32</v>
      </c>
      <c r="C17" s="24">
        <v>10069717.32</v>
      </c>
      <c r="D17" s="35">
        <v>1613591.84</v>
      </c>
      <c r="E17" s="35">
        <v>-702287.94</v>
      </c>
      <c r="F17" s="35">
        <f>GETPIVOTDATA("Sum of Amount",$A$4,"Year Period Key",201212,"Text","To record the IESO invoice payment.")-D17-E17</f>
        <v>9158413.4199999999</v>
      </c>
      <c r="G17" s="35">
        <v>10069717.32</v>
      </c>
      <c r="H17" s="36">
        <f>+'Summary Invoice 2012-2014'!N14-9777.42</f>
        <v>9123934.3300000001</v>
      </c>
    </row>
    <row r="18" spans="1:10" ht="14.15" x14ac:dyDescent="0.3">
      <c r="A18" s="22" t="s">
        <v>32</v>
      </c>
      <c r="B18" s="24">
        <v>201417373.02000001</v>
      </c>
      <c r="C18" s="24">
        <v>117012285.39999998</v>
      </c>
      <c r="D18" s="37">
        <f>SUM(D6:D17)</f>
        <v>13914373.610000001</v>
      </c>
      <c r="E18" s="37">
        <f>SUM(E6:E17)</f>
        <v>9511709.4300000016</v>
      </c>
      <c r="F18" s="37">
        <f>SUM(F6:F17)</f>
        <v>93586202.359999999</v>
      </c>
      <c r="G18" s="38">
        <f>SUM(G6:G17)</f>
        <v>117012285.39999998</v>
      </c>
      <c r="H18" s="50">
        <f>SUM(H6:H17)</f>
        <v>125410957.75999998</v>
      </c>
    </row>
    <row r="20" spans="1:10" ht="15.65" x14ac:dyDescent="0.35">
      <c r="D20" s="139" t="s">
        <v>69</v>
      </c>
      <c r="E20" s="139"/>
      <c r="F20" s="139"/>
      <c r="G20" s="139"/>
      <c r="H20" s="139"/>
    </row>
    <row r="21" spans="1:10" ht="30" customHeight="1" x14ac:dyDescent="0.3">
      <c r="D21" s="32" t="s">
        <v>58</v>
      </c>
      <c r="E21" s="32" t="s">
        <v>59</v>
      </c>
      <c r="F21" s="32" t="s">
        <v>60</v>
      </c>
      <c r="G21" s="33" t="s">
        <v>61</v>
      </c>
      <c r="H21" s="33" t="s">
        <v>186</v>
      </c>
    </row>
    <row r="22" spans="1:10" ht="14.15" x14ac:dyDescent="0.3">
      <c r="D22" s="34"/>
      <c r="E22" s="34"/>
      <c r="F22" s="34"/>
      <c r="G22" s="34"/>
      <c r="H22" s="34"/>
    </row>
    <row r="23" spans="1:10" ht="14.15" x14ac:dyDescent="0.3">
      <c r="D23" s="52">
        <f t="shared" ref="D23:D34" si="0">+D6</f>
        <v>923805.24</v>
      </c>
      <c r="E23" s="52"/>
      <c r="F23" s="51">
        <f>+'Summary Invoice 2012-2014'!I3</f>
        <v>8003796.4014687799</v>
      </c>
      <c r="G23" s="52">
        <f>SUM(D23:F23)</f>
        <v>8927601.6414687801</v>
      </c>
      <c r="H23" s="51">
        <f>+E6+'Summary Invoice 2012-2014'!H3</f>
        <v>10777678.338531222</v>
      </c>
      <c r="J23" s="5">
        <f>H23-E6+F23</f>
        <v>17592501.32</v>
      </c>
    </row>
    <row r="24" spans="1:10" ht="14.15" x14ac:dyDescent="0.3">
      <c r="D24" s="52">
        <f t="shared" si="0"/>
        <v>875755.8</v>
      </c>
      <c r="E24" s="52"/>
      <c r="F24" s="51">
        <f>+'Summary Invoice 2012-2014'!I4</f>
        <v>7827589.4732831679</v>
      </c>
      <c r="G24" s="52">
        <f t="shared" ref="G24:G34" si="1">SUM(D24:F24)</f>
        <v>8703345.2732831687</v>
      </c>
      <c r="H24" s="51">
        <f>+E7+'Summary Invoice 2012-2014'!H4</f>
        <v>9791576.906716831</v>
      </c>
    </row>
    <row r="25" spans="1:10" ht="14.15" x14ac:dyDescent="0.3">
      <c r="D25" s="52">
        <f t="shared" si="0"/>
        <v>940073.42</v>
      </c>
      <c r="E25" s="52"/>
      <c r="F25" s="51">
        <f>+'Summary Invoice 2012-2014'!I5</f>
        <v>8991527.9742539413</v>
      </c>
      <c r="G25" s="52">
        <f t="shared" si="1"/>
        <v>9931601.3942539413</v>
      </c>
      <c r="H25" s="51">
        <f>+E8+'Summary Invoice 2012-2014'!H5</f>
        <v>9626587.685746057</v>
      </c>
    </row>
    <row r="26" spans="1:10" ht="14.15" x14ac:dyDescent="0.3">
      <c r="D26" s="52">
        <f t="shared" si="0"/>
        <v>1139275.04</v>
      </c>
      <c r="E26" s="52"/>
      <c r="F26" s="51">
        <f>+'Summary Invoice 2012-2014'!I6</f>
        <v>11389354.244364431</v>
      </c>
      <c r="G26" s="52">
        <f t="shared" si="1"/>
        <v>12528629.284364432</v>
      </c>
      <c r="H26" s="51">
        <f>+E9+'Summary Invoice 2012-2014'!H6</f>
        <v>10049354.905635573</v>
      </c>
    </row>
    <row r="27" spans="1:10" ht="14.15" x14ac:dyDescent="0.3">
      <c r="D27" s="52">
        <f t="shared" si="0"/>
        <v>1016570.22</v>
      </c>
      <c r="E27" s="52"/>
      <c r="F27" s="51">
        <f>+'Summary Invoice 2012-2014'!I7</f>
        <v>10232844.237599608</v>
      </c>
      <c r="G27" s="52">
        <f t="shared" si="1"/>
        <v>11249414.457599608</v>
      </c>
      <c r="H27" s="51">
        <f>+E10+'Summary Invoice 2012-2014'!H7</f>
        <v>8858547.892400397</v>
      </c>
    </row>
    <row r="28" spans="1:10" ht="14.15" x14ac:dyDescent="0.3">
      <c r="D28" s="52">
        <f t="shared" si="0"/>
        <v>988336.91</v>
      </c>
      <c r="E28" s="52"/>
      <c r="F28" s="51">
        <f>+'Summary Invoice 2012-2014'!I8</f>
        <v>10340202.466381909</v>
      </c>
      <c r="G28" s="52">
        <f t="shared" si="1"/>
        <v>11328539.376381909</v>
      </c>
      <c r="H28" s="51">
        <f>+E11+'Summary Invoice 2012-2014'!H8</f>
        <v>9602564.7836180925</v>
      </c>
    </row>
    <row r="29" spans="1:10" ht="14.15" x14ac:dyDescent="0.3">
      <c r="D29" s="52">
        <f t="shared" si="0"/>
        <v>1000074.46</v>
      </c>
      <c r="E29" s="52"/>
      <c r="F29" s="51">
        <f>+'Summary Invoice 2012-2014'!I9</f>
        <v>9312812.6813548896</v>
      </c>
      <c r="G29" s="52">
        <f t="shared" si="1"/>
        <v>10312887.141354889</v>
      </c>
      <c r="H29" s="51">
        <f>+E12+'Summary Invoice 2012-2014'!H9</f>
        <v>12334812.788645111</v>
      </c>
    </row>
    <row r="30" spans="1:10" ht="14.15" x14ac:dyDescent="0.3">
      <c r="D30" s="52">
        <f t="shared" si="0"/>
        <v>1182846.56</v>
      </c>
      <c r="E30" s="52"/>
      <c r="F30" s="51">
        <f>+'Summary Invoice 2012-2014'!I10</f>
        <v>6097337.3254783163</v>
      </c>
      <c r="G30" s="52">
        <f t="shared" si="1"/>
        <v>7280183.8854783159</v>
      </c>
      <c r="H30" s="51">
        <f>+E13+'Summary Invoice 2012-2014'!H10</f>
        <v>10209837.804521684</v>
      </c>
    </row>
    <row r="31" spans="1:10" ht="14.15" x14ac:dyDescent="0.3">
      <c r="D31" s="52">
        <f t="shared" si="0"/>
        <v>1360067.8</v>
      </c>
      <c r="E31" s="52"/>
      <c r="F31" s="51">
        <f>+'Summary Invoice 2012-2014'!I11</f>
        <v>8030931.3593132989</v>
      </c>
      <c r="G31" s="52">
        <f t="shared" si="1"/>
        <v>9390999.1593132988</v>
      </c>
      <c r="H31" s="51">
        <f>+E14+'Summary Invoice 2012-2014'!H11</f>
        <v>16826717.090686698</v>
      </c>
    </row>
    <row r="32" spans="1:10" ht="14.15" x14ac:dyDescent="0.3">
      <c r="D32" s="52">
        <f t="shared" si="0"/>
        <v>1343465.59</v>
      </c>
      <c r="E32" s="52"/>
      <c r="F32" s="51">
        <f>+'Summary Invoice 2012-2014'!I12</f>
        <v>8285710.2357533965</v>
      </c>
      <c r="G32" s="52">
        <f t="shared" si="1"/>
        <v>9629175.8257533964</v>
      </c>
      <c r="H32" s="51">
        <f>+E15+'Summary Invoice 2012-2014'!H12</f>
        <v>5614887.9942466021</v>
      </c>
    </row>
    <row r="33" spans="3:9" ht="14.15" x14ac:dyDescent="0.3">
      <c r="D33" s="52">
        <f t="shared" si="0"/>
        <v>1530510.73</v>
      </c>
      <c r="E33" s="52"/>
      <c r="F33" s="51">
        <f>+'Summary Invoice 2012-2014'!I13</f>
        <v>9135398.2610771228</v>
      </c>
      <c r="G33" s="52">
        <f t="shared" si="1"/>
        <v>10665908.991077123</v>
      </c>
      <c r="H33" s="51">
        <f>+E16+'Summary Invoice 2012-2014'!H13</f>
        <v>9588738.8989228792</v>
      </c>
    </row>
    <row r="34" spans="3:9" ht="14.15" x14ac:dyDescent="0.3">
      <c r="D34" s="52">
        <f t="shared" si="0"/>
        <v>1613591.84</v>
      </c>
      <c r="E34" s="52"/>
      <c r="F34" s="51">
        <f>+'Summary Invoice 2012-2014'!I14</f>
        <v>8716024.5934092123</v>
      </c>
      <c r="G34" s="52">
        <f t="shared" si="1"/>
        <v>10329616.433409212</v>
      </c>
      <c r="H34" s="51">
        <f>+E17+'Summary Invoice 2012-2014'!H14</f>
        <v>8864035.2065907866</v>
      </c>
    </row>
    <row r="35" spans="3:9" ht="14.15" x14ac:dyDescent="0.3">
      <c r="D35" s="79">
        <f>SUM(D23:D34)</f>
        <v>13914373.610000001</v>
      </c>
      <c r="E35" s="79">
        <f>SUM(E23:E34)</f>
        <v>0</v>
      </c>
      <c r="F35" s="79">
        <f>SUM(F23:F34)</f>
        <v>106363529.25373808</v>
      </c>
      <c r="G35" s="79">
        <f>SUM(G23:G34)</f>
        <v>120277902.86373806</v>
      </c>
      <c r="H35" s="79">
        <f>SUM(H23:H34)</f>
        <v>122145340.29626192</v>
      </c>
    </row>
    <row r="37" spans="3:9" ht="28" x14ac:dyDescent="0.3">
      <c r="C37" s="34"/>
      <c r="D37" s="32" t="s">
        <v>46</v>
      </c>
      <c r="E37" s="32" t="s">
        <v>48</v>
      </c>
      <c r="F37" s="32" t="s">
        <v>57</v>
      </c>
      <c r="G37" s="32" t="s">
        <v>50</v>
      </c>
      <c r="H37" s="33" t="s">
        <v>49</v>
      </c>
    </row>
    <row r="38" spans="3:9" ht="14.15" x14ac:dyDescent="0.3">
      <c r="C38" s="31" t="s">
        <v>51</v>
      </c>
      <c r="D38" s="35">
        <f>+D18-D35</f>
        <v>0</v>
      </c>
      <c r="E38" s="35">
        <f>+E18-E35</f>
        <v>9511709.4300000016</v>
      </c>
      <c r="F38" s="35">
        <f>+F18-F35</f>
        <v>-12777326.893738076</v>
      </c>
      <c r="G38" s="35">
        <f>+G18-G35</f>
        <v>-3265617.4637380838</v>
      </c>
      <c r="H38" s="35">
        <f>+H18-H35</f>
        <v>3265617.463738054</v>
      </c>
      <c r="I38" s="78">
        <f>+H38+G38+SUM('Summary Invoice 2012-2014'!T3:T14)</f>
        <v>-2.9802322387695313E-8</v>
      </c>
    </row>
    <row r="39" spans="3:9" ht="14.15" customHeight="1" x14ac:dyDescent="0.3">
      <c r="F39" s="41">
        <f>+F38-'Summary Invoice 2012-2014'!V14</f>
        <v>59751.289999991655</v>
      </c>
      <c r="G39" s="40" t="s">
        <v>54</v>
      </c>
      <c r="H39" s="40" t="s">
        <v>55</v>
      </c>
      <c r="I39" s="42" t="s">
        <v>56</v>
      </c>
    </row>
    <row r="40" spans="3:9" ht="14.15" x14ac:dyDescent="0.3">
      <c r="G40" s="39"/>
      <c r="H40" s="29"/>
    </row>
  </sheetData>
  <mergeCells count="3">
    <mergeCell ref="J3:L4"/>
    <mergeCell ref="D3:H3"/>
    <mergeCell ref="D20:H20"/>
  </mergeCells>
  <pageMargins left="0.25" right="0.25" top="0.75" bottom="0.75" header="0.3" footer="0.3"/>
  <pageSetup scale="7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72"/>
  <sheetViews>
    <sheetView zoomScale="90" zoomScaleNormal="90" workbookViewId="0"/>
  </sheetViews>
  <sheetFormatPr defaultColWidth="19.08203125" defaultRowHeight="14" x14ac:dyDescent="0.3"/>
  <cols>
    <col min="1" max="1" width="33.75" customWidth="1"/>
    <col min="2" max="2" width="22.08203125" bestFit="1" customWidth="1"/>
    <col min="5" max="5" width="15.33203125" style="66" bestFit="1" customWidth="1"/>
    <col min="6" max="6" width="15.33203125" style="66" customWidth="1"/>
    <col min="7" max="7" width="16.08203125" style="66" bestFit="1" customWidth="1"/>
    <col min="8" max="8" width="3.58203125" customWidth="1"/>
    <col min="9" max="9" width="24.5" customWidth="1"/>
    <col min="11" max="12" width="19.25" bestFit="1" customWidth="1"/>
    <col min="13" max="15" width="19.25" style="66" bestFit="1" customWidth="1"/>
    <col min="16" max="16" width="3.58203125" customWidth="1"/>
    <col min="17" max="17" width="22.83203125" customWidth="1"/>
    <col min="18" max="18" width="15.08203125" bestFit="1" customWidth="1"/>
    <col min="19" max="19" width="18.58203125" bestFit="1" customWidth="1"/>
    <col min="20" max="20" width="19.25" bestFit="1" customWidth="1"/>
  </cols>
  <sheetData>
    <row r="1" spans="1:22" s="66" customFormat="1" ht="18" x14ac:dyDescent="0.25">
      <c r="A1" s="45" t="s">
        <v>123</v>
      </c>
    </row>
    <row r="2" spans="1:22" s="66" customFormat="1" ht="14.25" x14ac:dyDescent="0.2"/>
    <row r="3" spans="1:22" ht="45" x14ac:dyDescent="0.25">
      <c r="A3" s="107">
        <v>2012</v>
      </c>
      <c r="B3" s="108" t="s">
        <v>8</v>
      </c>
      <c r="C3" s="108" t="s">
        <v>98</v>
      </c>
      <c r="D3" s="108" t="s">
        <v>72</v>
      </c>
      <c r="E3" s="109" t="s">
        <v>169</v>
      </c>
      <c r="F3" s="109" t="s">
        <v>168</v>
      </c>
      <c r="G3" s="110" t="s">
        <v>95</v>
      </c>
      <c r="I3" s="107">
        <v>2013</v>
      </c>
      <c r="J3" s="108" t="s">
        <v>8</v>
      </c>
      <c r="K3" s="108" t="s">
        <v>98</v>
      </c>
      <c r="L3" s="108" t="s">
        <v>72</v>
      </c>
      <c r="M3" s="109" t="s">
        <v>169</v>
      </c>
      <c r="N3" s="109" t="s">
        <v>168</v>
      </c>
      <c r="O3" s="110" t="s">
        <v>95</v>
      </c>
      <c r="P3" s="53"/>
      <c r="Q3" s="111">
        <v>2014</v>
      </c>
      <c r="R3" s="76" t="s">
        <v>8</v>
      </c>
      <c r="S3" s="76" t="s">
        <v>98</v>
      </c>
      <c r="T3" s="76" t="s">
        <v>72</v>
      </c>
    </row>
    <row r="4" spans="1:22" s="65" customFormat="1" ht="27" customHeight="1" x14ac:dyDescent="0.2">
      <c r="A4" s="63" t="s">
        <v>171</v>
      </c>
      <c r="B4" s="84">
        <f>'[16]1589'!$H$13+'[16]1589'!$D$16+'[16]1589'!$E$16+'[16]1589'!$L$16</f>
        <v>4204929.1100000022</v>
      </c>
      <c r="C4" s="64">
        <f>+B4</f>
        <v>4204929.1100000022</v>
      </c>
      <c r="D4" s="64">
        <f>+C4-B4</f>
        <v>0</v>
      </c>
      <c r="E4" s="64"/>
      <c r="F4" s="64"/>
      <c r="G4" s="84">
        <f>B4+D4+E4</f>
        <v>4204929.1100000022</v>
      </c>
      <c r="I4" s="63" t="s">
        <v>171</v>
      </c>
      <c r="J4" s="84">
        <f>'[17]1589'!$H$17+'[17]1589'!$L$17</f>
        <v>-2107089.97000001</v>
      </c>
      <c r="K4" s="64">
        <f>+J4</f>
        <v>-2107089.97000001</v>
      </c>
      <c r="L4" s="64">
        <f>D27</f>
        <v>3265617.4637380755</v>
      </c>
      <c r="M4" s="64">
        <f>E27</f>
        <v>8894.890354039564</v>
      </c>
      <c r="N4" s="64">
        <f>L4+M4</f>
        <v>3274512.3540921151</v>
      </c>
      <c r="O4" s="84">
        <f>J4+L4+M4</f>
        <v>1167422.3840921051</v>
      </c>
      <c r="Q4" s="63" t="s">
        <v>171</v>
      </c>
      <c r="R4" s="64">
        <f>J27</f>
        <v>-4936308.7200000081</v>
      </c>
      <c r="S4" s="64">
        <f>K27</f>
        <v>-3533399.1904121256</v>
      </c>
      <c r="T4" s="64">
        <f t="shared" ref="T4" si="0">R4-S4</f>
        <v>-1402909.5295878826</v>
      </c>
    </row>
    <row r="5" spans="1:22" ht="14.25" x14ac:dyDescent="0.2">
      <c r="A5" s="66"/>
      <c r="B5" s="66"/>
      <c r="C5" s="66"/>
      <c r="D5" s="66"/>
    </row>
    <row r="6" spans="1:22" ht="14.25" x14ac:dyDescent="0.2">
      <c r="A6" s="34" t="s">
        <v>87</v>
      </c>
      <c r="B6" s="35">
        <f>'2012 Pivot'!Q60</f>
        <v>208636.63000000006</v>
      </c>
      <c r="C6" s="35">
        <f>B6</f>
        <v>208636.63000000006</v>
      </c>
      <c r="D6" s="35">
        <f>C6-B6</f>
        <v>0</v>
      </c>
      <c r="E6" s="35"/>
      <c r="F6" s="35">
        <f>D6+E6</f>
        <v>0</v>
      </c>
      <c r="G6" s="35">
        <f t="shared" ref="G6:G21" si="1">B6+D6+E6</f>
        <v>208636.63000000006</v>
      </c>
      <c r="I6" s="34" t="s">
        <v>87</v>
      </c>
      <c r="J6" s="35">
        <v>134782.54</v>
      </c>
      <c r="K6" s="35">
        <v>134782.54</v>
      </c>
      <c r="L6" s="35">
        <f>K6-J6</f>
        <v>0</v>
      </c>
      <c r="M6" s="35"/>
      <c r="N6" s="35">
        <f>SUM(L6:M6)</f>
        <v>0</v>
      </c>
      <c r="O6" s="35">
        <f t="shared" ref="O6:O23" si="2">J6+L6+M6</f>
        <v>134782.54</v>
      </c>
      <c r="Q6" s="34" t="s">
        <v>87</v>
      </c>
      <c r="R6" s="35">
        <f>'2014 Pivot'!F7+'2014 Pivot'!F11+'2014 Pivot'!F16+'2014 Pivot'!F13</f>
        <v>38031.029999999992</v>
      </c>
      <c r="S6" s="35">
        <f>R6</f>
        <v>38031.029999999992</v>
      </c>
      <c r="T6" s="35">
        <f>R6-S6</f>
        <v>0</v>
      </c>
    </row>
    <row r="7" spans="1:22" ht="14.25" x14ac:dyDescent="0.2">
      <c r="A7" s="34" t="s">
        <v>104</v>
      </c>
      <c r="B7" s="35">
        <v>-119792534.40000001</v>
      </c>
      <c r="C7" s="35">
        <f>B7</f>
        <v>-119792534.40000001</v>
      </c>
      <c r="D7" s="35">
        <f t="shared" ref="D7:D20" si="3">C7-B7</f>
        <v>0</v>
      </c>
      <c r="E7" s="35"/>
      <c r="F7" s="35">
        <f t="shared" ref="F7:F20" si="4">D7+E7</f>
        <v>0</v>
      </c>
      <c r="G7" s="35">
        <f t="shared" si="1"/>
        <v>-119792534.40000001</v>
      </c>
      <c r="I7" s="34" t="s">
        <v>104</v>
      </c>
      <c r="J7" s="35">
        <v>-139100799.96000001</v>
      </c>
      <c r="K7" s="35">
        <f>J7</f>
        <v>-139100799.96000001</v>
      </c>
      <c r="L7" s="35">
        <f t="shared" ref="L7:L23" si="5">K7-J7</f>
        <v>0</v>
      </c>
      <c r="M7" s="35"/>
      <c r="N7" s="35">
        <f t="shared" ref="N7:N23" si="6">SUM(L7:M7)</f>
        <v>0</v>
      </c>
      <c r="O7" s="35">
        <f t="shared" si="2"/>
        <v>-139100799.96000001</v>
      </c>
      <c r="Q7" s="34" t="s">
        <v>104</v>
      </c>
      <c r="R7" s="47">
        <f>'[18]1589'!$E$33</f>
        <v>-12835160.4</v>
      </c>
      <c r="S7" s="35">
        <f>R7</f>
        <v>-12835160.4</v>
      </c>
      <c r="T7" s="35">
        <f>R7-S7</f>
        <v>0</v>
      </c>
      <c r="V7" s="68"/>
    </row>
    <row r="8" spans="1:22" ht="14.25" x14ac:dyDescent="0.2">
      <c r="A8" s="34" t="s">
        <v>145</v>
      </c>
      <c r="B8" s="35">
        <f>-GETPIVOTDATA("Sum of Credit Amount",'2012 Pivot'!$A$3,"Year Period Key",201201,"OEB",4710,"Text","To accrue the cost of power for the month.")+'2012 Pivot'!F6</f>
        <v>-9052647.0900000017</v>
      </c>
      <c r="C8" s="35">
        <f>+B8</f>
        <v>-9052647.0900000017</v>
      </c>
      <c r="D8" s="35">
        <f t="shared" si="3"/>
        <v>0</v>
      </c>
      <c r="E8" s="35"/>
      <c r="F8" s="35">
        <f t="shared" si="4"/>
        <v>0</v>
      </c>
      <c r="G8" s="35">
        <f t="shared" si="1"/>
        <v>-9052647.0900000017</v>
      </c>
      <c r="I8" s="34" t="s">
        <v>73</v>
      </c>
      <c r="J8" s="35">
        <f>-GETPIVOTDATA("Sum of Credit Amount",'2013 Pivot'!$A$3,"Year Period Key",201301,"OEB",4710,"Text","To accrue the cost of power for the month.")</f>
        <v>-8389013.3399999999</v>
      </c>
      <c r="K8" s="35">
        <f>-GETPIVOTDATA("Sum of Credit Amount",'2013 Pivot'!$A$3,"Year Period Key",201301,"OEB",4710,"Text","To accrue the cost of power for the month.")</f>
        <v>-8389013.3399999999</v>
      </c>
      <c r="L8" s="35">
        <f t="shared" si="5"/>
        <v>0</v>
      </c>
      <c r="M8" s="35"/>
      <c r="N8" s="35">
        <f t="shared" si="6"/>
        <v>0</v>
      </c>
      <c r="O8" s="35">
        <f t="shared" si="2"/>
        <v>-8389013.3399999999</v>
      </c>
      <c r="Q8" s="34" t="s">
        <v>75</v>
      </c>
      <c r="R8" s="52">
        <f>-J21</f>
        <v>-10976550.310000001</v>
      </c>
      <c r="S8" s="35">
        <f>-K21</f>
        <v>-8631780.8155148998</v>
      </c>
      <c r="T8" s="35">
        <f>R8-S8</f>
        <v>-2344769.4944851007</v>
      </c>
      <c r="V8" s="68"/>
    </row>
    <row r="9" spans="1:22" ht="14.25" x14ac:dyDescent="0.2">
      <c r="A9" s="34" t="s">
        <v>146</v>
      </c>
      <c r="B9" s="35">
        <f>+GETPIVOTDATA("Sum of Debit Amount",'2012 Pivot'!$A$3,"Year Period Key",201201,"OEB",4710,"Text","To record the IESO invoice payment.")-GETPIVOTDATA("Sum of Credit Amount",'2012 Pivot'!$A$3,"Year Period Key",201201,"OEB",4710,"Text","To record the IESO invoice payment.")</f>
        <v>9576355.589999998</v>
      </c>
      <c r="C9" s="35">
        <f>+'2012 Summary'!G23</f>
        <v>8927601.6414687801</v>
      </c>
      <c r="D9" s="35">
        <f t="shared" si="3"/>
        <v>-648753.94853121787</v>
      </c>
      <c r="E9" s="47">
        <f>'[19]2012-1589'!K17</f>
        <v>0</v>
      </c>
      <c r="F9" s="35">
        <f t="shared" si="4"/>
        <v>-648753.94853121787</v>
      </c>
      <c r="G9" s="35">
        <f t="shared" si="1"/>
        <v>8927601.6414687801</v>
      </c>
      <c r="I9" s="34" t="s">
        <v>74</v>
      </c>
      <c r="J9" s="35">
        <f>GETPIVOTDATA("Sum of Debit Amount",'2013 Pivot'!$A$3,"Year Period Key",201301,"OEB",4710,"Text","To record the IESO invoice payment.")</f>
        <v>8770403.1199999992</v>
      </c>
      <c r="K9" s="35">
        <f>'2013 Summary'!G23</f>
        <v>7324032.0448646015</v>
      </c>
      <c r="L9" s="35">
        <f t="shared" si="5"/>
        <v>-1446371.0751353977</v>
      </c>
      <c r="M9" s="47">
        <f>'[19]2013-1589'!K21</f>
        <v>4000.3813930791425</v>
      </c>
      <c r="N9" s="35">
        <f t="shared" si="6"/>
        <v>-1442370.6937423185</v>
      </c>
      <c r="O9" s="35">
        <f t="shared" si="2"/>
        <v>7328032.4262576802</v>
      </c>
      <c r="Q9" s="34" t="s">
        <v>122</v>
      </c>
      <c r="R9" s="52">
        <f>'2014 Pivot'!D6+'2012_14 Reconciliation 1589'!D50</f>
        <v>9891727.3929618411</v>
      </c>
      <c r="S9" s="47">
        <f>+C49+C50</f>
        <v>9891727.3929618374</v>
      </c>
      <c r="T9" s="35">
        <f t="shared" ref="T9:T21" si="7">R9-S9</f>
        <v>0</v>
      </c>
      <c r="U9" t="s">
        <v>144</v>
      </c>
      <c r="V9" s="68"/>
    </row>
    <row r="10" spans="1:22" ht="14.25" x14ac:dyDescent="0.2">
      <c r="A10" s="34" t="s">
        <v>147</v>
      </c>
      <c r="B10" s="35">
        <f>+GETPIVOTDATA("Sum of Debit Amount",'2012 Pivot'!$A$3,"Year Period Key",201202,"OEB",4710,"Text","To record the IESO invoice payment.")-GETPIVOTDATA("Sum of Credit Amount",'2012 Pivot'!$A$3,"Year Period Key",201202,"OEB",4710,"Text","To record the IESO invoice payment.")</f>
        <v>8312284.0700000003</v>
      </c>
      <c r="C10" s="35">
        <f>+'2012 Summary'!G24</f>
        <v>8703345.2732831687</v>
      </c>
      <c r="D10" s="35">
        <f t="shared" si="3"/>
        <v>391061.20328316838</v>
      </c>
      <c r="E10" s="47">
        <f>'[19]2012-1589'!K18</f>
        <v>-794.72358695074183</v>
      </c>
      <c r="F10" s="35">
        <f t="shared" si="4"/>
        <v>390266.47969621763</v>
      </c>
      <c r="G10" s="35">
        <f t="shared" si="1"/>
        <v>8702550.5496962182</v>
      </c>
      <c r="I10" s="34" t="s">
        <v>76</v>
      </c>
      <c r="J10" s="35">
        <f>GETPIVOTDATA("Sum of Debit Amount",'2013 Pivot'!$A$3,"Year Period Key",201302,"OEB",4710,"Text","To record the IESO invoice payment.")</f>
        <v>9953438.3699999992</v>
      </c>
      <c r="K10" s="35">
        <f>'2013 Summary'!G24</f>
        <v>10383098.462046316</v>
      </c>
      <c r="L10" s="35">
        <f t="shared" si="5"/>
        <v>429660.09204631671</v>
      </c>
      <c r="M10" s="47">
        <f>'[19]2013-1589'!K22</f>
        <v>2228.5768260382802</v>
      </c>
      <c r="N10" s="35">
        <f t="shared" si="6"/>
        <v>431888.66887235502</v>
      </c>
      <c r="O10" s="35">
        <f t="shared" si="2"/>
        <v>10385327.038872354</v>
      </c>
      <c r="Q10" s="34" t="s">
        <v>105</v>
      </c>
      <c r="R10" s="52">
        <f>'2014 Pivot'!D10+'2014 Pivot'!F18</f>
        <v>2642747.6</v>
      </c>
      <c r="S10" s="35">
        <f>+R10</f>
        <v>2642747.6</v>
      </c>
      <c r="T10" s="35">
        <f t="shared" si="7"/>
        <v>0</v>
      </c>
      <c r="V10" s="68"/>
    </row>
    <row r="11" spans="1:22" ht="14.25" x14ac:dyDescent="0.2">
      <c r="A11" s="34" t="s">
        <v>148</v>
      </c>
      <c r="B11" s="35">
        <f>+GETPIVOTDATA("Sum of Debit Amount",'2012 Pivot'!$A$3,"Year Period Key",201203,"OEB",4710,"Text","To record IESO Invoice for period February 1 - February 29, 2012")-GETPIVOTDATA("Sum of Credit Amount",'2012 Pivot'!$A$3,"Year Period Key",201203,"OEB",4710,"Text","To record IESO Invoice for period February 1 - February 29, 2012")</f>
        <v>10075693.530000001</v>
      </c>
      <c r="C11" s="35">
        <f>+'2012 Summary'!G25</f>
        <v>9931601.3942539413</v>
      </c>
      <c r="D11" s="35">
        <f t="shared" si="3"/>
        <v>-144092.13574605994</v>
      </c>
      <c r="E11" s="47">
        <f>'[19]2012-1589'!K19</f>
        <v>-315.67361292886062</v>
      </c>
      <c r="F11" s="35">
        <f t="shared" si="4"/>
        <v>-144407.8093589888</v>
      </c>
      <c r="G11" s="35">
        <f t="shared" si="1"/>
        <v>9931285.7206410132</v>
      </c>
      <c r="I11" s="34" t="s">
        <v>77</v>
      </c>
      <c r="J11" s="35">
        <f>GETPIVOTDATA("Sum of Debit Amount",'2013 Pivot'!$A$3,"Year Period Key",201303,"OEB",4710,"Text","To record the IESO invoice payment.")</f>
        <v>8646653.0099999998</v>
      </c>
      <c r="K11" s="35">
        <f>'2013 Summary'!G25</f>
        <v>8974069.1886315756</v>
      </c>
      <c r="L11" s="35">
        <f t="shared" si="5"/>
        <v>327416.17863157578</v>
      </c>
      <c r="M11" s="47">
        <f>'[19]2013-1589'!K23</f>
        <v>2754.9104387950183</v>
      </c>
      <c r="N11" s="35">
        <f t="shared" si="6"/>
        <v>330171.08907037077</v>
      </c>
      <c r="O11" s="35">
        <f t="shared" si="2"/>
        <v>8976824.0990703702</v>
      </c>
      <c r="Q11" s="34" t="s">
        <v>106</v>
      </c>
      <c r="R11" s="52">
        <f>'2014 Pivot'!F15-'2014 Pivot'!E19</f>
        <v>2606491.4</v>
      </c>
      <c r="S11" s="35">
        <f>+R11</f>
        <v>2606491.4</v>
      </c>
      <c r="T11" s="35">
        <f t="shared" si="7"/>
        <v>0</v>
      </c>
      <c r="V11" s="68"/>
    </row>
    <row r="12" spans="1:22" ht="14.25" x14ac:dyDescent="0.2">
      <c r="A12" s="34" t="s">
        <v>149</v>
      </c>
      <c r="B12" s="35">
        <f>+GETPIVOTDATA("Sum of Debit Amount",'2012 Pivot'!$A$3,"Year Period Key",201204,"OEB",4710,"Text","To record IESO invoice for period March 1 - March 31, 2012")-GETPIVOTDATA("Sum of Credit Amount",'2012 Pivot'!$A$3,"Year Period Key",201204,"OEB",4710,"Text","To record IESO invoice for period March 1 - March 31, 2012")</f>
        <v>12521718.25</v>
      </c>
      <c r="C12" s="35">
        <f>+'2012 Summary'!G26</f>
        <v>12528629.284364432</v>
      </c>
      <c r="D12" s="35">
        <f t="shared" si="3"/>
        <v>6911.0343644320965</v>
      </c>
      <c r="E12" s="47">
        <f>'[19]2012-1589'!K20</f>
        <v>-492.18647921778404</v>
      </c>
      <c r="F12" s="35">
        <f t="shared" si="4"/>
        <v>6418.8478852143126</v>
      </c>
      <c r="G12" s="35">
        <f t="shared" si="1"/>
        <v>12528137.097885214</v>
      </c>
      <c r="I12" s="34" t="s">
        <v>78</v>
      </c>
      <c r="J12" s="35">
        <f>GETPIVOTDATA("Sum of Debit Amount",'2013 Pivot'!$A$3,"Year Period Key",201304,"OEB",4710,"Text","To record the IESO invoice payment.")</f>
        <v>8114877.6900000004</v>
      </c>
      <c r="K12" s="35">
        <f>'2013 Summary'!G26</f>
        <v>9560657.568178514</v>
      </c>
      <c r="L12" s="35">
        <f t="shared" si="5"/>
        <v>1445779.8781785136</v>
      </c>
      <c r="M12" s="47">
        <f>'[19]2013-1589'!K24</f>
        <v>3155.9952576186984</v>
      </c>
      <c r="N12" s="35">
        <f t="shared" si="6"/>
        <v>1448935.8734361322</v>
      </c>
      <c r="O12" s="35">
        <f t="shared" si="2"/>
        <v>9563813.5634361319</v>
      </c>
      <c r="Q12" s="34" t="s">
        <v>107</v>
      </c>
      <c r="R12" s="35"/>
      <c r="S12" s="35"/>
      <c r="T12" s="35">
        <f t="shared" si="7"/>
        <v>0</v>
      </c>
      <c r="V12" s="68"/>
    </row>
    <row r="13" spans="1:22" ht="14.25" x14ac:dyDescent="0.2">
      <c r="A13" s="34" t="s">
        <v>150</v>
      </c>
      <c r="B13" s="35">
        <f>+GETPIVOTDATA("Sum of Debit Amount",'2012 Pivot'!$A$3,"Year Period Key",201205,"OEB",4710,"Text","To record IESO invoice for period April 1 - April 30, 2012")-GETPIVOTDATA("Sum of Credit Amount",'2012 Pivot'!$A$3,"Year Period Key",201205,"OEB",4710,"Text","To record IESO invoice for period April 1 - April 30, 2012")</f>
        <v>10284459.609999999</v>
      </c>
      <c r="C13" s="35">
        <f>+'2012 Summary'!G27</f>
        <v>11249414.457599608</v>
      </c>
      <c r="D13" s="35">
        <f t="shared" si="3"/>
        <v>964954.84759960882</v>
      </c>
      <c r="E13" s="47">
        <f>'[19]2012-1589'!K21</f>
        <v>-483.72046212135473</v>
      </c>
      <c r="F13" s="35">
        <f t="shared" si="4"/>
        <v>964471.12713748752</v>
      </c>
      <c r="G13" s="35">
        <f t="shared" si="1"/>
        <v>11248930.737137487</v>
      </c>
      <c r="I13" s="34" t="s">
        <v>79</v>
      </c>
      <c r="J13" s="35">
        <f>GETPIVOTDATA("Sum of Debit Amount",'2013 Pivot'!$A$3,"Year Period Key",201305,"OEB",4710,"Text","To record the IESO invoice payment.")</f>
        <v>12100298.42</v>
      </c>
      <c r="K13" s="35">
        <f>'2013 Summary'!G27</f>
        <v>11258364.805458978</v>
      </c>
      <c r="L13" s="35">
        <f t="shared" si="5"/>
        <v>-841933.61454102211</v>
      </c>
      <c r="M13" s="47">
        <f>'[19]2013-1589'!K25</f>
        <v>4927.0756083873775</v>
      </c>
      <c r="N13" s="35">
        <f t="shared" si="6"/>
        <v>-837006.53893263475</v>
      </c>
      <c r="O13" s="35">
        <f t="shared" si="2"/>
        <v>11263291.881067365</v>
      </c>
      <c r="Q13" s="34" t="s">
        <v>108</v>
      </c>
      <c r="R13" s="35"/>
      <c r="S13" s="35"/>
      <c r="T13" s="35">
        <f t="shared" si="7"/>
        <v>0</v>
      </c>
      <c r="V13" s="68"/>
    </row>
    <row r="14" spans="1:22" ht="14.25" x14ac:dyDescent="0.2">
      <c r="A14" s="34" t="s">
        <v>151</v>
      </c>
      <c r="B14" s="35">
        <f>+GETPIVOTDATA("Sum of Debit Amount",'2012 Pivot'!$A$3,"Year Period Key",201206,"OEB",4710,"Text","To record the IESO invoice payment.")-GETPIVOTDATA("Sum of Credit Amount",'2012 Pivot'!$A$3,"Year Period Key",201206,"OEB",4710,"Text","To record the IESO invoice payment.")</f>
        <v>11030506.960000001</v>
      </c>
      <c r="C14" s="35">
        <f>+'2012 Summary'!G28</f>
        <v>11328539.376381909</v>
      </c>
      <c r="D14" s="35">
        <f t="shared" si="3"/>
        <v>298032.41638190858</v>
      </c>
      <c r="E14" s="47">
        <f>'[19]2012-1589'!K22</f>
        <v>698.34922618816609</v>
      </c>
      <c r="F14" s="35">
        <f t="shared" si="4"/>
        <v>298730.76560809673</v>
      </c>
      <c r="G14" s="35">
        <f t="shared" si="1"/>
        <v>11329237.725608097</v>
      </c>
      <c r="I14" s="34" t="s">
        <v>80</v>
      </c>
      <c r="J14" s="35">
        <f>GETPIVOTDATA("Sum of Debit Amount",'2013 Pivot'!$A$3,"Year Period Key",201306,"OEB",4710,"Text","To record the IESO invoice payment.")</f>
        <v>12491232.279999999</v>
      </c>
      <c r="K14" s="35">
        <f>'2013 Summary'!G28</f>
        <v>12773089.693430189</v>
      </c>
      <c r="L14" s="35">
        <f t="shared" si="5"/>
        <v>281857.41343018971</v>
      </c>
      <c r="M14" s="47">
        <f>'[19]2013-1589'!K26</f>
        <v>3895.7069305746254</v>
      </c>
      <c r="N14" s="35">
        <f t="shared" si="6"/>
        <v>285753.12036076433</v>
      </c>
      <c r="O14" s="35">
        <f t="shared" si="2"/>
        <v>12776985.400360763</v>
      </c>
      <c r="Q14" s="34" t="s">
        <v>109</v>
      </c>
      <c r="R14" s="35"/>
      <c r="S14" s="35"/>
      <c r="T14" s="35">
        <f t="shared" si="7"/>
        <v>0</v>
      </c>
      <c r="V14" s="68"/>
    </row>
    <row r="15" spans="1:22" ht="14.25" x14ac:dyDescent="0.2">
      <c r="A15" s="34" t="s">
        <v>152</v>
      </c>
      <c r="B15" s="35">
        <f>+GETPIVOTDATA("Sum of Debit Amount",'2012 Pivot'!$A$3,"Year Period Key",201207,"OEB",4710,"Text","To record the IESO invoice payment.")-GETPIVOTDATA("Sum of Credit Amount",'2012 Pivot'!$A$3,"Year Period Key",201207,"OEB",4710,"Text","To record the IESO invoice payment.")</f>
        <v>10189793.26</v>
      </c>
      <c r="C15" s="35">
        <f>+'2012 Summary'!G29</f>
        <v>10312887.141354889</v>
      </c>
      <c r="D15" s="35">
        <f t="shared" si="3"/>
        <v>123093.8813548889</v>
      </c>
      <c r="E15" s="47">
        <f>'[19]2012-1589'!K23</f>
        <v>1063.4389362560041</v>
      </c>
      <c r="F15" s="35">
        <f t="shared" si="4"/>
        <v>124157.3202911449</v>
      </c>
      <c r="G15" s="35">
        <f t="shared" si="1"/>
        <v>10313950.580291145</v>
      </c>
      <c r="I15" s="34" t="s">
        <v>81</v>
      </c>
      <c r="J15" s="35">
        <f>GETPIVOTDATA("Sum of Debit Amount",'2013 Pivot'!$A$3,"Year Period Key",201307,"OEB",4710,"Text","To record the IESO invoice for June 1st - June 30th, 2013")</f>
        <v>10524774.18</v>
      </c>
      <c r="K15" s="35">
        <f>'2013 Summary'!G29</f>
        <v>12949840.290839707</v>
      </c>
      <c r="L15" s="35">
        <f t="shared" si="5"/>
        <v>2425066.1108397078</v>
      </c>
      <c r="M15" s="47">
        <f>'[19]2013-1589'!K27</f>
        <v>4240.9822620266077</v>
      </c>
      <c r="N15" s="35">
        <f t="shared" si="6"/>
        <v>2429307.0931017343</v>
      </c>
      <c r="O15" s="35">
        <f t="shared" si="2"/>
        <v>12954081.273101734</v>
      </c>
      <c r="Q15" s="34" t="s">
        <v>110</v>
      </c>
      <c r="R15" s="35"/>
      <c r="S15" s="35"/>
      <c r="T15" s="35">
        <f t="shared" si="7"/>
        <v>0</v>
      </c>
      <c r="V15" s="68"/>
    </row>
    <row r="16" spans="1:22" ht="14.15" x14ac:dyDescent="0.3">
      <c r="A16" s="34" t="s">
        <v>153</v>
      </c>
      <c r="B16" s="35">
        <f>+GETPIVOTDATA("Sum of Debit Amount",'2012 Pivot'!$A$3,"Year Period Key",201208,"OEB",4710,"Text","To record the IESO invoice payment.")-GETPIVOTDATA("Sum of Credit Amount",'2012 Pivot'!$A$3,"Year Period Key",201208,"OEB",4710,"Text","To record the IESO invoice payment.")</f>
        <v>4901673.0999999996</v>
      </c>
      <c r="C16" s="35">
        <f>+'2012 Summary'!G30</f>
        <v>7280183.8854783159</v>
      </c>
      <c r="D16" s="35">
        <f t="shared" si="3"/>
        <v>2378510.7854783162</v>
      </c>
      <c r="E16" s="47">
        <f>'[19]2012-1589'!K24</f>
        <v>1214.2289409157429</v>
      </c>
      <c r="F16" s="35">
        <f t="shared" si="4"/>
        <v>2379725.014419232</v>
      </c>
      <c r="G16" s="35">
        <f t="shared" si="1"/>
        <v>7281398.1144192312</v>
      </c>
      <c r="I16" s="34" t="s">
        <v>82</v>
      </c>
      <c r="J16" s="35">
        <f>GETPIVOTDATA("Sum of Debit Amount",'2013 Pivot'!$A$3,"Year Period Key",201308,"OEB",4710,"Text","To record the IESO invoice payment.")</f>
        <v>14736725.83</v>
      </c>
      <c r="K16" s="35">
        <f>'2013 Summary'!G30</f>
        <v>10890367.204484794</v>
      </c>
      <c r="L16" s="35">
        <f t="shared" si="5"/>
        <v>-3846358.6255152058</v>
      </c>
      <c r="M16" s="47">
        <f>'[19]2013-1589'!K28</f>
        <v>7211.6882478052494</v>
      </c>
      <c r="N16" s="35">
        <f t="shared" si="6"/>
        <v>-3839146.9372674003</v>
      </c>
      <c r="O16" s="35">
        <f t="shared" si="2"/>
        <v>10897578.8927326</v>
      </c>
      <c r="Q16" s="34" t="s">
        <v>111</v>
      </c>
      <c r="R16" s="35"/>
      <c r="S16" s="35"/>
      <c r="T16" s="35">
        <f t="shared" si="7"/>
        <v>0</v>
      </c>
      <c r="V16" s="68"/>
    </row>
    <row r="17" spans="1:22" ht="14.15" x14ac:dyDescent="0.3">
      <c r="A17" s="34" t="s">
        <v>154</v>
      </c>
      <c r="B17" s="35">
        <f>+GETPIVOTDATA("Sum of Debit Amount",'2012 Pivot'!$A$3,"Year Period Key",201209,"OEB",4710,"Text","To record the IESO invoice payment.")-GETPIVOTDATA("Sum of Credit Amount",'2012 Pivot'!$A$3,"Year Period Key",201209,"OEB",4710,"Text","To record the IESO invoice payment.")</f>
        <v>15020306.42</v>
      </c>
      <c r="C17" s="35">
        <f>+'2012 Summary'!G31</f>
        <v>9390999.1593132988</v>
      </c>
      <c r="D17" s="35">
        <f t="shared" si="3"/>
        <v>-5629307.2606867012</v>
      </c>
      <c r="E17" s="47">
        <f>'[19]2012-1589'!K25</f>
        <v>4127.9046531266804</v>
      </c>
      <c r="F17" s="35">
        <f t="shared" si="4"/>
        <v>-5625179.3560335748</v>
      </c>
      <c r="G17" s="35">
        <f t="shared" si="1"/>
        <v>9395127.0639664251</v>
      </c>
      <c r="I17" s="34" t="s">
        <v>83</v>
      </c>
      <c r="J17" s="35">
        <f>GETPIVOTDATA("Sum of Debit Amount",'2013 Pivot'!$A$3,"Year Period Key",201309,"OEB",4710,"Text","To record the IESO invoice payment.")</f>
        <v>10222226.41</v>
      </c>
      <c r="K17" s="35">
        <f>'2013 Summary'!G31</f>
        <v>13066401.577816667</v>
      </c>
      <c r="L17" s="35">
        <f t="shared" si="5"/>
        <v>2844175.1678166669</v>
      </c>
      <c r="M17" s="47">
        <f>'[19]2013-1589'!K29</f>
        <v>2499.8989315491231</v>
      </c>
      <c r="N17" s="35">
        <f t="shared" si="6"/>
        <v>2846675.0667482158</v>
      </c>
      <c r="O17" s="35">
        <f t="shared" si="2"/>
        <v>13068901.476748217</v>
      </c>
      <c r="Q17" s="34" t="s">
        <v>112</v>
      </c>
      <c r="R17" s="35"/>
      <c r="S17" s="35"/>
      <c r="T17" s="35">
        <f t="shared" si="7"/>
        <v>0</v>
      </c>
      <c r="V17" s="68"/>
    </row>
    <row r="18" spans="1:22" ht="14.15" x14ac:dyDescent="0.3">
      <c r="A18" s="34" t="s">
        <v>155</v>
      </c>
      <c r="B18" s="35">
        <f>+GETPIVOTDATA("Sum of Debit Amount",'2012 Pivot'!$A$3,"Year Period Key",201210,"OEB",4710,"Text","To record the IESO invoice payment.")</f>
        <v>4950595.22</v>
      </c>
      <c r="C18" s="35">
        <f>+'2012 Summary'!G32</f>
        <v>9629175.8257533964</v>
      </c>
      <c r="D18" s="35">
        <f t="shared" si="3"/>
        <v>4678580.6057533966</v>
      </c>
      <c r="E18" s="47">
        <f>'[19]2012-1589'!K26</f>
        <v>-2767.9967412145284</v>
      </c>
      <c r="F18" s="35">
        <f t="shared" si="4"/>
        <v>4675812.6090121819</v>
      </c>
      <c r="G18" s="35">
        <f t="shared" si="1"/>
        <v>9626407.8290121816</v>
      </c>
      <c r="I18" s="34" t="s">
        <v>84</v>
      </c>
      <c r="J18" s="35">
        <f>GETPIVOTDATA("Sum of Debit Amount",'2013 Pivot'!$A$3,"Year Period Key",201310,"OEB",4710,"Text","To record the IESO invoice payment.")</f>
        <v>15080049.34</v>
      </c>
      <c r="K18" s="35">
        <f>'2013 Summary'!G32</f>
        <v>13410849.313222114</v>
      </c>
      <c r="L18" s="35">
        <f t="shared" si="5"/>
        <v>-1669200.0267778859</v>
      </c>
      <c r="M18" s="47">
        <f>'[19]2013-1589'!K30</f>
        <v>5984.0135121245394</v>
      </c>
      <c r="N18" s="35">
        <f t="shared" si="6"/>
        <v>-1663216.0132657613</v>
      </c>
      <c r="O18" s="35">
        <f t="shared" si="2"/>
        <v>13416833.326734239</v>
      </c>
      <c r="Q18" s="34" t="s">
        <v>113</v>
      </c>
      <c r="R18" s="35"/>
      <c r="S18" s="35"/>
      <c r="T18" s="35">
        <f t="shared" si="7"/>
        <v>0</v>
      </c>
      <c r="V18" s="68"/>
    </row>
    <row r="19" spans="1:22" ht="14.15" x14ac:dyDescent="0.3">
      <c r="A19" s="34" t="s">
        <v>156</v>
      </c>
      <c r="B19" s="35">
        <f>+GETPIVOTDATA("Sum of Debit Amount",'2012 Pivot'!$A$3,"Year Period Key",201211,"OEB",4710,"Text","To record the IESO invoice payment.")</f>
        <v>10079182.07</v>
      </c>
      <c r="C19" s="35">
        <f>+'2012 Summary'!G33</f>
        <v>10665908.991077123</v>
      </c>
      <c r="D19" s="35">
        <f t="shared" si="3"/>
        <v>586726.92107712291</v>
      </c>
      <c r="E19" s="47">
        <f>'[19]2012-1589'!K27</f>
        <v>2963.264500833382</v>
      </c>
      <c r="F19" s="35">
        <f t="shared" si="4"/>
        <v>589690.18557795626</v>
      </c>
      <c r="G19" s="35">
        <f t="shared" si="1"/>
        <v>10668872.255577957</v>
      </c>
      <c r="I19" s="34" t="s">
        <v>85</v>
      </c>
      <c r="J19" s="35">
        <f>GETPIVOTDATA("Sum of Debit Amount",'2013 Pivot'!$A$3,"Year Period Key",201311,"OEB",4710,"Text","To record the IESO invoice payment.")</f>
        <v>10346890.93</v>
      </c>
      <c r="K19" s="35">
        <f>'2013 Summary'!G33</f>
        <v>12436274.624471093</v>
      </c>
      <c r="L19" s="35">
        <f t="shared" si="5"/>
        <v>2089383.6944710929</v>
      </c>
      <c r="M19" s="47">
        <f>'[19]2013-1589'!K31</f>
        <v>3939.2434793216294</v>
      </c>
      <c r="N19" s="35">
        <f t="shared" si="6"/>
        <v>2093322.9379504146</v>
      </c>
      <c r="O19" s="35">
        <f t="shared" si="2"/>
        <v>12440213.867950413</v>
      </c>
      <c r="Q19" s="34" t="s">
        <v>114</v>
      </c>
      <c r="R19" s="35"/>
      <c r="S19" s="35"/>
      <c r="T19" s="35">
        <f t="shared" si="7"/>
        <v>0</v>
      </c>
      <c r="V19" s="68"/>
    </row>
    <row r="20" spans="1:22" ht="14.15" x14ac:dyDescent="0.3">
      <c r="A20" s="34" t="s">
        <v>157</v>
      </c>
      <c r="B20" s="35">
        <f>+GETPIVOTDATA("Sum of Debit Amount",'2012 Pivot'!$A$3,"Year Period Key",201212,"OEB",4710,"Text","To record the IESO invoice payment.")</f>
        <v>10069717.32</v>
      </c>
      <c r="C20" s="35">
        <f>+'2012 Summary'!G34</f>
        <v>10329616.433409212</v>
      </c>
      <c r="D20" s="35">
        <f t="shared" si="3"/>
        <v>259899.11340921186</v>
      </c>
      <c r="E20" s="47">
        <f>'[19]2012-1589'!K28</f>
        <v>3682.0049791528577</v>
      </c>
      <c r="F20" s="35">
        <f t="shared" si="4"/>
        <v>263581.11838836473</v>
      </c>
      <c r="G20" s="35">
        <f t="shared" si="1"/>
        <v>10333298.438388364</v>
      </c>
      <c r="I20" s="34" t="s">
        <v>86</v>
      </c>
      <c r="J20" s="35">
        <f>GETPIVOTDATA("Sum of Debit Amount",'2013 Pivot'!$A$3,"Year Period Key",201312,"OEB",4710,"Text","To record the IESO invoice payment.")</f>
        <v>13721864.83</v>
      </c>
      <c r="K20" s="35">
        <f>'2013 Summary'!G34</f>
        <v>15430068.660628479</v>
      </c>
      <c r="L20" s="35">
        <f t="shared" si="5"/>
        <v>1708203.8306284789</v>
      </c>
      <c r="M20" s="47">
        <f>'[19]2013-1589'!K32</f>
        <v>6498.7385050487183</v>
      </c>
      <c r="N20" s="35">
        <f t="shared" si="6"/>
        <v>1714702.5691335276</v>
      </c>
      <c r="O20" s="35">
        <f t="shared" si="2"/>
        <v>15436567.399133528</v>
      </c>
      <c r="Q20" s="34" t="s">
        <v>115</v>
      </c>
      <c r="R20" s="35"/>
      <c r="S20" s="35"/>
      <c r="T20" s="35">
        <f t="shared" si="7"/>
        <v>0</v>
      </c>
      <c r="V20" s="68"/>
    </row>
    <row r="21" spans="1:22" ht="14.15" x14ac:dyDescent="0.3">
      <c r="A21" s="34" t="s">
        <v>73</v>
      </c>
      <c r="B21" s="35">
        <f>+GETPIVOTDATA("Sum of Debit Amount",'2012 Pivot'!$A$3,"Year Period Key",201212,"OEB",4710,"Text","To accrue the cost of power for the month.")</f>
        <v>8389013.3399999999</v>
      </c>
      <c r="C21" s="35">
        <f>+B21</f>
        <v>8389013.3399999999</v>
      </c>
      <c r="D21" s="35"/>
      <c r="E21" s="47"/>
      <c r="F21" s="47"/>
      <c r="G21" s="35">
        <f t="shared" si="1"/>
        <v>8389013.3399999999</v>
      </c>
      <c r="I21" s="34" t="s">
        <v>75</v>
      </c>
      <c r="J21" s="35">
        <f>GETPIVOTDATA("Sum of Debit Amount",'2013 Pivot'!$A$3,"Year Period Key",201312,"OEB",4710,"Text","To accrue the cost of power for the month.")</f>
        <v>10976550.310000001</v>
      </c>
      <c r="K21" s="47">
        <f>C42</f>
        <v>8631780.8155148998</v>
      </c>
      <c r="L21" s="35">
        <f t="shared" si="5"/>
        <v>-2344769.4944851007</v>
      </c>
      <c r="M21" s="35"/>
      <c r="N21" s="35">
        <f t="shared" si="6"/>
        <v>-2344769.4944851007</v>
      </c>
      <c r="O21" s="35">
        <f t="shared" si="2"/>
        <v>8631780.8155148998</v>
      </c>
      <c r="P21" s="3"/>
      <c r="Q21" s="34" t="s">
        <v>116</v>
      </c>
      <c r="R21" s="35"/>
      <c r="S21" s="47"/>
      <c r="T21" s="35">
        <f t="shared" si="7"/>
        <v>0</v>
      </c>
      <c r="V21" s="68"/>
    </row>
    <row r="22" spans="1:22" s="66" customFormat="1" ht="14.15" x14ac:dyDescent="0.3">
      <c r="A22" s="34" t="s">
        <v>166</v>
      </c>
      <c r="B22" s="35">
        <f>SUM('[16]1589'!$F$14:$G$16)</f>
        <v>-3077268.18</v>
      </c>
      <c r="C22" s="35">
        <f>B22</f>
        <v>-3077268.18</v>
      </c>
      <c r="D22" s="35"/>
      <c r="E22" s="35"/>
      <c r="F22" s="35"/>
      <c r="G22" s="35">
        <f>B22+D22+E22</f>
        <v>-3077268.18</v>
      </c>
      <c r="I22" s="34" t="s">
        <v>167</v>
      </c>
      <c r="J22" s="47">
        <f>'[17]1589'!$F$21+'[17]1589'!$J$21</f>
        <v>-1143213.93</v>
      </c>
      <c r="K22" s="35">
        <f>J22</f>
        <v>-1143213.93</v>
      </c>
      <c r="L22" s="35">
        <f t="shared" si="5"/>
        <v>0</v>
      </c>
      <c r="M22" s="35"/>
      <c r="N22" s="35">
        <f t="shared" si="6"/>
        <v>0</v>
      </c>
      <c r="O22" s="47">
        <f t="shared" si="2"/>
        <v>-1143213.93</v>
      </c>
      <c r="Q22" s="34" t="s">
        <v>179</v>
      </c>
      <c r="R22" s="47">
        <f>'[18]1589'!$F$21+'[18]1589'!$J$21</f>
        <v>3298885.11</v>
      </c>
      <c r="S22" s="35"/>
      <c r="T22" s="35">
        <f t="shared" ref="T22" si="8">R22-S22</f>
        <v>3298885.11</v>
      </c>
      <c r="V22" s="68"/>
    </row>
    <row r="23" spans="1:22" s="66" customFormat="1" ht="14.15" x14ac:dyDescent="0.3">
      <c r="A23" s="34" t="s">
        <v>165</v>
      </c>
      <c r="B23" s="47">
        <f>'[16]1589'!$I$29</f>
        <v>495.22</v>
      </c>
      <c r="C23" s="47">
        <f>B23</f>
        <v>495.22</v>
      </c>
      <c r="D23" s="35"/>
      <c r="E23" s="35"/>
      <c r="F23" s="35"/>
      <c r="G23" s="35">
        <f>B23+D23+E23</f>
        <v>495.22</v>
      </c>
      <c r="I23" s="34" t="s">
        <v>165</v>
      </c>
      <c r="J23" s="47">
        <f>'[17]1589'!$I$33</f>
        <v>-16958.78</v>
      </c>
      <c r="K23" s="47">
        <f>J23</f>
        <v>-16958.78</v>
      </c>
      <c r="L23" s="35">
        <f t="shared" si="5"/>
        <v>0</v>
      </c>
      <c r="M23" s="35"/>
      <c r="N23" s="35">
        <f t="shared" si="6"/>
        <v>0</v>
      </c>
      <c r="O23" s="47">
        <f t="shared" si="2"/>
        <v>-16958.78</v>
      </c>
      <c r="P23" s="3"/>
      <c r="Q23" s="34" t="s">
        <v>165</v>
      </c>
      <c r="R23" s="47">
        <f>'[18]1589'!$I$33</f>
        <v>-17671.169999999998</v>
      </c>
      <c r="S23" s="35"/>
      <c r="T23" s="35">
        <f t="shared" ref="T23" si="9">R23-S23</f>
        <v>-17671.169999999998</v>
      </c>
      <c r="V23" s="68"/>
    </row>
    <row r="24" spans="1:22" s="66" customFormat="1" ht="14.15" x14ac:dyDescent="0.3">
      <c r="A24" s="85"/>
      <c r="B24" s="85"/>
      <c r="C24" s="85"/>
      <c r="D24" s="85"/>
      <c r="E24" s="85"/>
      <c r="F24" s="85"/>
      <c r="G24" s="85"/>
      <c r="I24" s="85"/>
      <c r="J24" s="85"/>
      <c r="K24" s="85"/>
      <c r="L24" s="85"/>
      <c r="M24" s="85"/>
      <c r="N24" s="85"/>
      <c r="O24" s="85"/>
      <c r="P24" s="3"/>
      <c r="Q24" s="85"/>
      <c r="R24" s="86"/>
      <c r="S24" s="82"/>
      <c r="T24" s="86"/>
      <c r="V24" s="68"/>
    </row>
    <row r="25" spans="1:22" ht="14.15" x14ac:dyDescent="0.3">
      <c r="A25" s="55" t="s">
        <v>158</v>
      </c>
      <c r="B25" s="52">
        <f>SUM(B6:B23)</f>
        <v>-6312019.0800000159</v>
      </c>
      <c r="C25" s="52">
        <f t="shared" ref="C25:F25" si="10">SUM(C6:C23)</f>
        <v>-3046401.6162619339</v>
      </c>
      <c r="D25" s="52">
        <f t="shared" si="10"/>
        <v>3265617.4637380755</v>
      </c>
      <c r="E25" s="52">
        <f t="shared" si="10"/>
        <v>8894.890354039564</v>
      </c>
      <c r="F25" s="52">
        <f t="shared" si="10"/>
        <v>3274512.3540921141</v>
      </c>
      <c r="G25" s="52">
        <f>SUM(G6:G23)</f>
        <v>-3037506.7259079004</v>
      </c>
      <c r="I25" s="55" t="s">
        <v>88</v>
      </c>
      <c r="J25" s="52">
        <f>SUM(J6:J23)</f>
        <v>-2829218.7499999986</v>
      </c>
      <c r="K25" s="52">
        <f>SUM(K6:K23)</f>
        <v>-1426309.2204121156</v>
      </c>
      <c r="L25" s="52">
        <f>SUM(L6:L23)</f>
        <v>1402909.5295879301</v>
      </c>
      <c r="M25" s="52">
        <f t="shared" ref="M25:N25" si="11">SUM(M6:M23)</f>
        <v>51337.211392369012</v>
      </c>
      <c r="N25" s="52">
        <f t="shared" si="11"/>
        <v>1454246.7409802992</v>
      </c>
      <c r="O25" s="52">
        <f>SUM(O6:O23)</f>
        <v>-1374972.009019726</v>
      </c>
      <c r="Q25" s="55" t="s">
        <v>117</v>
      </c>
      <c r="R25" s="52">
        <f>SUM(R6:R23)</f>
        <v>-5351499.3470381591</v>
      </c>
      <c r="S25" s="52">
        <f>SUM(S6:S21)</f>
        <v>-6287943.7925530635</v>
      </c>
      <c r="T25" s="52">
        <f>R25-S25</f>
        <v>936444.44551490434</v>
      </c>
    </row>
    <row r="26" spans="1:22" ht="14.15" x14ac:dyDescent="0.3">
      <c r="A26" s="66"/>
      <c r="B26" s="66"/>
      <c r="C26" s="66"/>
      <c r="D26" s="66"/>
      <c r="G26" s="28"/>
    </row>
    <row r="27" spans="1:22" ht="14.15" x14ac:dyDescent="0.3">
      <c r="A27" s="62" t="s">
        <v>172</v>
      </c>
      <c r="B27" s="54">
        <f t="shared" ref="B27:G27" si="12">B25+B4</f>
        <v>-2107089.9700000137</v>
      </c>
      <c r="C27" s="54">
        <f t="shared" si="12"/>
        <v>1158527.4937380683</v>
      </c>
      <c r="D27" s="54">
        <f t="shared" si="12"/>
        <v>3265617.4637380755</v>
      </c>
      <c r="E27" s="54">
        <f t="shared" si="12"/>
        <v>8894.890354039564</v>
      </c>
      <c r="F27" s="54">
        <f t="shared" si="12"/>
        <v>3274512.3540921141</v>
      </c>
      <c r="G27" s="54">
        <f t="shared" si="12"/>
        <v>1167422.3840921018</v>
      </c>
      <c r="I27" s="62" t="s">
        <v>172</v>
      </c>
      <c r="J27" s="54">
        <f t="shared" ref="J27:O27" si="13">J25+J4</f>
        <v>-4936308.7200000081</v>
      </c>
      <c r="K27" s="54">
        <f t="shared" si="13"/>
        <v>-3533399.1904121256</v>
      </c>
      <c r="L27" s="54">
        <f t="shared" si="13"/>
        <v>4668526.9933260055</v>
      </c>
      <c r="M27" s="54">
        <f t="shared" si="13"/>
        <v>60232.101746408574</v>
      </c>
      <c r="N27" s="54">
        <f t="shared" si="13"/>
        <v>4728759.0950724147</v>
      </c>
      <c r="O27" s="54">
        <f t="shared" si="13"/>
        <v>-207549.62492762087</v>
      </c>
      <c r="Q27" s="62" t="s">
        <v>172</v>
      </c>
      <c r="R27" s="54">
        <f>R25+R4</f>
        <v>-10287808.067038167</v>
      </c>
      <c r="S27" s="54">
        <f>S25+S4</f>
        <v>-9821342.98296519</v>
      </c>
      <c r="T27" s="54">
        <f>R27-S27</f>
        <v>-466465.0840729773</v>
      </c>
    </row>
    <row r="28" spans="1:22" x14ac:dyDescent="0.3">
      <c r="A28" s="66" t="s">
        <v>170</v>
      </c>
      <c r="B28" s="28">
        <f>('[16]1589'!$N$28)-B27</f>
        <v>7.4505805969238281E-9</v>
      </c>
      <c r="C28" s="66"/>
      <c r="D28" s="66"/>
      <c r="G28" s="28">
        <f>B27+F27-G27</f>
        <v>0</v>
      </c>
      <c r="I28" s="66" t="s">
        <v>170</v>
      </c>
      <c r="J28" s="28">
        <f>'[17]1589'!$N$32-J27</f>
        <v>-1.862645149230957E-8</v>
      </c>
      <c r="O28" s="28">
        <f>J27+N27-O27</f>
        <v>2.7474015951156616E-8</v>
      </c>
      <c r="Q28" s="141" t="s">
        <v>178</v>
      </c>
      <c r="R28" s="3">
        <f>'[18]1589'!$N$32-'2014 Pivot'!F20</f>
        <v>-10287808.070000032</v>
      </c>
    </row>
    <row r="29" spans="1:22" s="66" customFormat="1" x14ac:dyDescent="0.3">
      <c r="B29" s="3"/>
      <c r="G29" s="28"/>
      <c r="J29" s="28"/>
      <c r="O29" s="28"/>
      <c r="Q29" s="142"/>
      <c r="R29" s="3"/>
    </row>
    <row r="30" spans="1:22" s="66" customFormat="1" ht="14.15" x14ac:dyDescent="0.3">
      <c r="A30" s="88" t="s">
        <v>173</v>
      </c>
      <c r="B30" s="89" t="s">
        <v>176</v>
      </c>
      <c r="C30" s="89" t="s">
        <v>177</v>
      </c>
      <c r="D30" s="32" t="s">
        <v>95</v>
      </c>
      <c r="G30" s="28"/>
      <c r="I30" s="28"/>
      <c r="J30" s="28"/>
      <c r="O30" s="28"/>
      <c r="R30" s="28">
        <f>R27-R28</f>
        <v>2.9618646949529648E-3</v>
      </c>
    </row>
    <row r="31" spans="1:22" s="66" customFormat="1" ht="14.15" x14ac:dyDescent="0.3">
      <c r="A31" s="34" t="s">
        <v>174</v>
      </c>
      <c r="B31" s="90">
        <f>-B32</f>
        <v>-4668526.9933260055</v>
      </c>
      <c r="C31" s="90">
        <f>-C32</f>
        <v>-60232.101746408574</v>
      </c>
      <c r="D31" s="90">
        <f>+B31+C31</f>
        <v>-4728759.0950724138</v>
      </c>
      <c r="G31" s="28"/>
      <c r="J31" s="28"/>
      <c r="O31" s="28"/>
      <c r="R31" s="3"/>
    </row>
    <row r="32" spans="1:22" s="66" customFormat="1" ht="14.15" x14ac:dyDescent="0.3">
      <c r="A32" s="55" t="s">
        <v>175</v>
      </c>
      <c r="B32" s="90">
        <f>+D27+L25</f>
        <v>4668526.9933260055</v>
      </c>
      <c r="C32" s="90">
        <f>+E25+M25</f>
        <v>60232.101746408574</v>
      </c>
      <c r="D32" s="90">
        <f>+B32+C32</f>
        <v>4728759.0950724138</v>
      </c>
      <c r="O32" s="28"/>
      <c r="R32" s="28"/>
    </row>
    <row r="33" spans="1:18" s="66" customFormat="1" ht="14.15" x14ac:dyDescent="0.3">
      <c r="A33" s="87"/>
      <c r="B33" s="28"/>
      <c r="O33" s="28"/>
      <c r="R33" s="28"/>
    </row>
    <row r="34" spans="1:18" ht="14.15" x14ac:dyDescent="0.3">
      <c r="A34" s="6" t="s">
        <v>89</v>
      </c>
      <c r="B34" s="59" t="s">
        <v>8</v>
      </c>
      <c r="C34" s="59" t="s">
        <v>98</v>
      </c>
      <c r="J34" s="3"/>
    </row>
    <row r="35" spans="1:18" ht="14.15" x14ac:dyDescent="0.3">
      <c r="A35" s="34" t="s">
        <v>93</v>
      </c>
      <c r="B35" s="47">
        <f>'[20]COP December 2013'!$C$48</f>
        <v>7025877.6804295518</v>
      </c>
      <c r="C35" s="47">
        <f>[21]GA!$B$18*[21]GA!$C$14</f>
        <v>9370647.1703156997</v>
      </c>
      <c r="D35" s="47">
        <f>C35-B35</f>
        <v>2344769.4898861479</v>
      </c>
      <c r="E35" s="82"/>
      <c r="F35" s="82"/>
      <c r="G35" s="82"/>
    </row>
    <row r="36" spans="1:18" ht="14.15" x14ac:dyDescent="0.3">
      <c r="A36" s="34" t="s">
        <v>94</v>
      </c>
      <c r="B36" s="47">
        <f>'[20]COP December 2013'!$C$37-B35</f>
        <v>4517451.1184457429</v>
      </c>
      <c r="C36" s="47"/>
      <c r="D36" s="34"/>
      <c r="E36" s="85"/>
      <c r="F36" s="85"/>
      <c r="G36" s="85"/>
      <c r="I36" s="28"/>
      <c r="J36" s="68"/>
      <c r="R36" s="68"/>
    </row>
    <row r="37" spans="1:18" ht="14.15" x14ac:dyDescent="0.3">
      <c r="A37" s="34" t="s">
        <v>48</v>
      </c>
      <c r="B37" s="47"/>
      <c r="C37" s="47">
        <f>-'[21]December 2013'!$C$69</f>
        <v>4517451.1184457429</v>
      </c>
      <c r="D37" s="34"/>
      <c r="E37" s="85"/>
      <c r="F37" s="85"/>
      <c r="G37" s="85"/>
      <c r="J37" s="28"/>
      <c r="R37" s="28"/>
    </row>
    <row r="38" spans="1:18" ht="14.15" x14ac:dyDescent="0.3">
      <c r="A38" s="34" t="s">
        <v>90</v>
      </c>
      <c r="B38" s="47">
        <f>'[20]COP December 2013'!$C$49</f>
        <v>1776450.0599999998</v>
      </c>
      <c r="C38" s="47">
        <f>B38</f>
        <v>1776450.0599999998</v>
      </c>
      <c r="D38" s="34"/>
      <c r="E38" s="85"/>
      <c r="F38" s="85"/>
      <c r="G38" s="85"/>
    </row>
    <row r="39" spans="1:18" ht="14.15" x14ac:dyDescent="0.3">
      <c r="A39" s="34" t="s">
        <v>91</v>
      </c>
      <c r="B39" s="47">
        <f>[21]GA!$B$26-B35</f>
        <v>9200100.245401049</v>
      </c>
      <c r="C39" s="47">
        <f>([21]GA!$B$24-[21]GA!$B$18)*[21]GA!$C$14</f>
        <v>6855330.7555149002</v>
      </c>
      <c r="D39" s="47">
        <f>C39-B39</f>
        <v>-2344769.4898861488</v>
      </c>
      <c r="E39" s="82"/>
      <c r="F39" s="82"/>
      <c r="G39" s="82"/>
    </row>
    <row r="40" spans="1:18" ht="14.15" x14ac:dyDescent="0.3">
      <c r="A40" s="31" t="s">
        <v>95</v>
      </c>
      <c r="B40" s="56">
        <f>SUM(B35:B39)</f>
        <v>22519879.104276344</v>
      </c>
      <c r="C40" s="56">
        <f>[21]GA!$B$24*[21]GA!$B$25+C38+C37</f>
        <v>22519879.104276344</v>
      </c>
      <c r="D40" s="34"/>
      <c r="E40" s="85"/>
      <c r="F40" s="85"/>
      <c r="G40" s="85"/>
      <c r="J40" s="3"/>
    </row>
    <row r="42" spans="1:18" ht="14.15" customHeight="1" x14ac:dyDescent="0.3">
      <c r="A42" s="57" t="s">
        <v>92</v>
      </c>
      <c r="B42" s="58">
        <f>B38+B39</f>
        <v>10976550.30540105</v>
      </c>
      <c r="C42" s="58">
        <f>C38+C39</f>
        <v>8631780.8155148998</v>
      </c>
      <c r="D42" s="58">
        <f>C42-B42</f>
        <v>-2344769.4898861498</v>
      </c>
      <c r="E42" s="58"/>
      <c r="F42" s="58"/>
      <c r="G42" s="58"/>
    </row>
    <row r="43" spans="1:18" x14ac:dyDescent="0.3">
      <c r="A43" s="60" t="s">
        <v>99</v>
      </c>
      <c r="B43" s="60"/>
      <c r="C43" s="60"/>
      <c r="D43" s="61">
        <f>'[21]December 2013'!$D$68+[21]GA!$D$5+[21]GA!$D$8+[21]GA!$D$11+[21]GA!$D$13+[21]GA!$D$15</f>
        <v>-2344769.4898861479</v>
      </c>
      <c r="E43" s="61"/>
      <c r="F43" s="61"/>
      <c r="G43" s="61"/>
    </row>
    <row r="44" spans="1:18" x14ac:dyDescent="0.3">
      <c r="A44" s="6" t="s">
        <v>96</v>
      </c>
      <c r="C44" s="3"/>
    </row>
    <row r="45" spans="1:18" x14ac:dyDescent="0.3">
      <c r="A45" s="34" t="s">
        <v>93</v>
      </c>
      <c r="B45" s="47">
        <f>B35</f>
        <v>7025877.6804295518</v>
      </c>
      <c r="C45" s="47">
        <f>+'Summary Invoice 2012-2014'!K27*'Summary Invoice 2012-2014'!E27/('Summary Invoice 2012-2014'!E27+'Summary Invoice 2012-2014'!F27)</f>
        <v>11138562.397038162</v>
      </c>
      <c r="D45" s="47">
        <f>C45-B45</f>
        <v>4112684.71660861</v>
      </c>
      <c r="E45" s="82"/>
      <c r="F45" s="82"/>
      <c r="G45" s="82"/>
    </row>
    <row r="46" spans="1:18" x14ac:dyDescent="0.3">
      <c r="A46" s="34" t="s">
        <v>94</v>
      </c>
      <c r="B46" s="47">
        <f>B36</f>
        <v>4517451.1184457429</v>
      </c>
      <c r="C46" s="47"/>
      <c r="D46" s="47"/>
      <c r="E46" s="82"/>
      <c r="F46" s="82"/>
      <c r="G46" s="82"/>
    </row>
    <row r="47" spans="1:18" s="66" customFormat="1" x14ac:dyDescent="0.3">
      <c r="A47" s="34" t="s">
        <v>124</v>
      </c>
      <c r="B47" s="47"/>
      <c r="C47" s="47">
        <f>-'[22]Final Var Amt'!$D$17</f>
        <v>-4351.0500000000011</v>
      </c>
      <c r="D47" s="47">
        <f t="shared" ref="D47" si="14">C47-B47</f>
        <v>-4351.0500000000011</v>
      </c>
      <c r="E47" s="82"/>
      <c r="F47" s="82"/>
      <c r="G47" s="82"/>
    </row>
    <row r="48" spans="1:18" x14ac:dyDescent="0.3">
      <c r="A48" s="34" t="s">
        <v>48</v>
      </c>
      <c r="B48" s="47"/>
      <c r="C48" s="47">
        <f>C37</f>
        <v>4517451.1184457429</v>
      </c>
      <c r="D48" s="34"/>
      <c r="E48" s="85"/>
      <c r="F48" s="85"/>
      <c r="G48" s="85"/>
    </row>
    <row r="49" spans="1:9" x14ac:dyDescent="0.3">
      <c r="A49" s="34" t="s">
        <v>90</v>
      </c>
      <c r="B49" s="47">
        <f>'[20]Reconciliation to Invoice'!$K$13</f>
        <v>1743034.14</v>
      </c>
      <c r="C49" s="47">
        <f>B49</f>
        <v>1743034.14</v>
      </c>
      <c r="D49" s="34"/>
      <c r="E49" s="85"/>
      <c r="F49" s="85"/>
      <c r="G49" s="85"/>
    </row>
    <row r="50" spans="1:9" x14ac:dyDescent="0.3">
      <c r="A50" s="34" t="s">
        <v>91</v>
      </c>
      <c r="B50" s="47">
        <f>'[20]Reconciliation to Invoice'!$K$12</f>
        <v>12257026.919999998</v>
      </c>
      <c r="C50" s="47">
        <f>'Summary Invoice 2012-2014'!K27*'Summary Invoice 2012-2014'!F27/('Summary Invoice 2012-2014'!E27+'Summary Invoice 2012-2014'!F27)</f>
        <v>8148693.2529618377</v>
      </c>
      <c r="D50" s="47">
        <f>C50-B50</f>
        <v>-4108333.6670381604</v>
      </c>
      <c r="E50" s="82"/>
      <c r="F50" s="82"/>
      <c r="G50" s="82"/>
      <c r="I50" s="3"/>
    </row>
    <row r="51" spans="1:9" x14ac:dyDescent="0.3">
      <c r="A51" s="31" t="s">
        <v>95</v>
      </c>
      <c r="B51" s="56">
        <f>SUM(B45:B50)</f>
        <v>25543389.858875293</v>
      </c>
      <c r="C51" s="56">
        <f>SUM(C45:C50)</f>
        <v>25543389.858445741</v>
      </c>
      <c r="D51" s="34"/>
      <c r="E51" s="85"/>
      <c r="F51" s="85"/>
      <c r="G51" s="85"/>
      <c r="I51" s="3"/>
    </row>
    <row r="52" spans="1:9" x14ac:dyDescent="0.3">
      <c r="B52" s="3"/>
      <c r="C52" s="3"/>
    </row>
    <row r="53" spans="1:9" x14ac:dyDescent="0.3">
      <c r="A53" s="57" t="s">
        <v>97</v>
      </c>
      <c r="B53" s="58">
        <f>B49+B50</f>
        <v>14000061.059999999</v>
      </c>
      <c r="C53" s="58">
        <f>C49+C50</f>
        <v>9891727.3929618374</v>
      </c>
      <c r="D53" s="58">
        <f>C53-B53</f>
        <v>-4108333.6670381613</v>
      </c>
      <c r="E53" s="58"/>
      <c r="F53" s="58"/>
      <c r="G53" s="58"/>
    </row>
    <row r="54" spans="1:9" x14ac:dyDescent="0.3">
      <c r="B54" s="3"/>
      <c r="C54" s="3"/>
    </row>
    <row r="55" spans="1:9" x14ac:dyDescent="0.3">
      <c r="A55" t="s">
        <v>93</v>
      </c>
      <c r="B55" s="48">
        <f>C35</f>
        <v>9370647.1703156997</v>
      </c>
    </row>
    <row r="56" spans="1:9" x14ac:dyDescent="0.3">
      <c r="A56" t="s">
        <v>100</v>
      </c>
      <c r="B56" s="48">
        <f>[21]GA!$D$5+[21]GA!$D$8+[21]GA!$D$11+[21]GA!$D$13+[21]GA!$D$15</f>
        <v>-1092080.6462727375</v>
      </c>
      <c r="C56" t="s">
        <v>102</v>
      </c>
    </row>
    <row r="57" spans="1:9" x14ac:dyDescent="0.3">
      <c r="A57" t="s">
        <v>101</v>
      </c>
      <c r="B57" s="48">
        <f>'[21]December 2013'!$D$68</f>
        <v>-1252688.8436134104</v>
      </c>
      <c r="C57" t="s">
        <v>102</v>
      </c>
    </row>
    <row r="58" spans="1:9" x14ac:dyDescent="0.3">
      <c r="A58" t="s">
        <v>103</v>
      </c>
      <c r="B58" s="48">
        <f>B61-B55-B56-B57-B59-B60</f>
        <v>4517451.1184457429</v>
      </c>
    </row>
    <row r="59" spans="1:9" x14ac:dyDescent="0.3">
      <c r="A59" t="s">
        <v>90</v>
      </c>
      <c r="B59" s="48">
        <f>B38</f>
        <v>1776450.0599999998</v>
      </c>
    </row>
    <row r="60" spans="1:9" x14ac:dyDescent="0.3">
      <c r="A60" t="s">
        <v>91</v>
      </c>
      <c r="B60" s="48">
        <f>B39</f>
        <v>9200100.245401049</v>
      </c>
    </row>
    <row r="61" spans="1:9" x14ac:dyDescent="0.3">
      <c r="B61" s="48">
        <f>B40</f>
        <v>22519879.104276344</v>
      </c>
    </row>
    <row r="72" spans="10:10" x14ac:dyDescent="0.3">
      <c r="J72" s="48"/>
    </row>
  </sheetData>
  <mergeCells count="1">
    <mergeCell ref="Q28:Q29"/>
  </mergeCells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" sqref="A2:C5"/>
    </sheetView>
  </sheetViews>
  <sheetFormatPr defaultRowHeight="14" x14ac:dyDescent="0.3"/>
  <cols>
    <col min="1" max="1" width="22.1640625" bestFit="1" customWidth="1"/>
    <col min="3" max="3" width="13.5" bestFit="1" customWidth="1"/>
  </cols>
  <sheetData>
    <row r="1" spans="1:3" x14ac:dyDescent="0.3">
      <c r="A1" s="83"/>
    </row>
    <row r="2" spans="1:3" ht="28" x14ac:dyDescent="0.3">
      <c r="A2" s="147" t="s">
        <v>192</v>
      </c>
      <c r="B2" s="148" t="s">
        <v>207</v>
      </c>
      <c r="C2" s="149" t="s">
        <v>209</v>
      </c>
    </row>
    <row r="3" spans="1:3" x14ac:dyDescent="0.3">
      <c r="A3" s="34" t="s">
        <v>201</v>
      </c>
      <c r="B3" s="34">
        <v>1588</v>
      </c>
      <c r="C3" s="151">
        <f>+'Summary Impact 2012_13'!H5</f>
        <v>-3274512.3540921235</v>
      </c>
    </row>
    <row r="4" spans="1:3" x14ac:dyDescent="0.3">
      <c r="A4" s="34" t="s">
        <v>208</v>
      </c>
      <c r="B4" s="34">
        <v>1589</v>
      </c>
      <c r="C4" s="46">
        <f>-C3</f>
        <v>3274512.3540921235</v>
      </c>
    </row>
    <row r="5" spans="1:3" x14ac:dyDescent="0.3">
      <c r="A5" s="31" t="s">
        <v>210</v>
      </c>
      <c r="B5" s="31"/>
      <c r="C5" s="150">
        <f>C4+C3</f>
        <v>0</v>
      </c>
    </row>
    <row r="7" spans="1:3" x14ac:dyDescent="0.3">
      <c r="C7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2"/>
  <sheetViews>
    <sheetView zoomScaleNormal="100" workbookViewId="0">
      <selection activeCell="A18" sqref="A18"/>
    </sheetView>
  </sheetViews>
  <sheetFormatPr defaultRowHeight="14" x14ac:dyDescent="0.3"/>
  <cols>
    <col min="1" max="1" width="6.83203125" style="66" bestFit="1" customWidth="1"/>
    <col min="2" max="2" width="6.83203125" bestFit="1" customWidth="1"/>
    <col min="3" max="3" width="9" hidden="1" customWidth="1"/>
    <col min="4" max="4" width="20.58203125" style="8" bestFit="1" customWidth="1"/>
    <col min="5" max="5" width="19.08203125" customWidth="1"/>
    <col min="6" max="6" width="16.08203125" customWidth="1"/>
    <col min="7" max="7" width="21.83203125" style="66" customWidth="1"/>
    <col min="8" max="8" width="18.5" bestFit="1" customWidth="1"/>
    <col min="9" max="10" width="17.08203125" customWidth="1"/>
    <col min="11" max="11" width="14.08203125" customWidth="1"/>
    <col min="12" max="12" width="19.08203125" customWidth="1"/>
    <col min="13" max="13" width="14.08203125" customWidth="1"/>
    <col min="14" max="14" width="19.08203125" customWidth="1"/>
    <col min="15" max="15" width="14.75" bestFit="1" customWidth="1"/>
    <col min="16" max="16" width="19.08203125" customWidth="1"/>
    <col min="17" max="17" width="14.08203125" bestFit="1" customWidth="1"/>
    <col min="18" max="18" width="19.08203125" customWidth="1"/>
    <col min="19" max="19" width="15.33203125" bestFit="1" customWidth="1"/>
    <col min="20" max="20" width="19.08203125" customWidth="1"/>
    <col min="21" max="21" width="14.75" bestFit="1" customWidth="1"/>
    <col min="22" max="22" width="19.08203125" customWidth="1"/>
    <col min="23" max="23" width="14.08203125" bestFit="1" customWidth="1"/>
    <col min="24" max="24" width="19.08203125" bestFit="1" customWidth="1"/>
    <col min="25" max="25" width="14.08203125" bestFit="1" customWidth="1"/>
    <col min="26" max="26" width="19.08203125" bestFit="1" customWidth="1"/>
    <col min="27" max="27" width="14.08203125" bestFit="1" customWidth="1"/>
    <col min="28" max="28" width="19.08203125" bestFit="1" customWidth="1"/>
    <col min="29" max="29" width="14.08203125" bestFit="1" customWidth="1"/>
    <col min="30" max="30" width="19.08203125" bestFit="1" customWidth="1"/>
    <col min="31" max="31" width="14.08203125" bestFit="1" customWidth="1"/>
    <col min="32" max="32" width="19.08203125" bestFit="1" customWidth="1"/>
    <col min="33" max="33" width="14.08203125" customWidth="1"/>
    <col min="34" max="34" width="19.08203125" bestFit="1" customWidth="1"/>
    <col min="35" max="35" width="14.08203125" bestFit="1" customWidth="1"/>
    <col min="36" max="36" width="19.08203125" bestFit="1" customWidth="1"/>
    <col min="37" max="37" width="14.08203125" bestFit="1" customWidth="1"/>
    <col min="38" max="38" width="19.08203125" bestFit="1" customWidth="1"/>
    <col min="39" max="39" width="14.08203125" bestFit="1" customWidth="1"/>
    <col min="40" max="40" width="19.08203125" bestFit="1" customWidth="1"/>
    <col min="41" max="41" width="14.08203125" bestFit="1" customWidth="1"/>
    <col min="42" max="42" width="19.08203125" bestFit="1" customWidth="1"/>
    <col min="43" max="43" width="14.08203125" bestFit="1" customWidth="1"/>
    <col min="44" max="44" width="19.08203125" bestFit="1" customWidth="1"/>
    <col min="45" max="45" width="14.08203125" bestFit="1" customWidth="1"/>
    <col min="46" max="46" width="19.08203125" bestFit="1" customWidth="1"/>
    <col min="47" max="47" width="14.08203125" bestFit="1" customWidth="1"/>
    <col min="48" max="48" width="19.08203125" bestFit="1" customWidth="1"/>
    <col min="49" max="49" width="14.08203125" bestFit="1" customWidth="1"/>
    <col min="50" max="50" width="19.08203125" bestFit="1" customWidth="1"/>
    <col min="51" max="51" width="14.08203125" bestFit="1" customWidth="1"/>
    <col min="52" max="52" width="19.08203125" bestFit="1" customWidth="1"/>
    <col min="53" max="53" width="14.08203125" bestFit="1" customWidth="1"/>
    <col min="54" max="54" width="19.08203125" bestFit="1" customWidth="1"/>
    <col min="55" max="55" width="14.08203125" bestFit="1" customWidth="1"/>
    <col min="56" max="56" width="19.08203125" bestFit="1" customWidth="1"/>
    <col min="57" max="57" width="14.08203125" bestFit="1" customWidth="1"/>
    <col min="58" max="58" width="19.08203125" bestFit="1" customWidth="1"/>
    <col min="59" max="59" width="14.08203125" bestFit="1" customWidth="1"/>
    <col min="60" max="60" width="19.08203125" bestFit="1" customWidth="1"/>
    <col min="61" max="61" width="14.08203125" bestFit="1" customWidth="1"/>
    <col min="62" max="62" width="19.08203125" bestFit="1" customWidth="1"/>
    <col min="63" max="63" width="14.08203125" bestFit="1" customWidth="1"/>
    <col min="64" max="64" width="24" bestFit="1" customWidth="1"/>
    <col min="65" max="65" width="19" bestFit="1" customWidth="1"/>
  </cols>
  <sheetData>
    <row r="1" spans="1:23" ht="14.15" x14ac:dyDescent="0.3">
      <c r="B1" s="81"/>
      <c r="C1" s="81"/>
      <c r="D1" s="143" t="s">
        <v>183</v>
      </c>
      <c r="E1" s="144"/>
      <c r="F1" s="144"/>
      <c r="G1" s="144"/>
      <c r="H1" s="144"/>
      <c r="I1" s="144"/>
      <c r="J1" s="144"/>
      <c r="K1" s="145"/>
      <c r="N1" s="143" t="s">
        <v>8</v>
      </c>
      <c r="O1" s="144"/>
      <c r="P1" s="145"/>
      <c r="R1" s="143" t="s">
        <v>184</v>
      </c>
      <c r="S1" s="144"/>
      <c r="T1" s="145"/>
      <c r="U1" s="146" t="s">
        <v>14</v>
      </c>
      <c r="V1" s="146"/>
      <c r="W1" s="146"/>
    </row>
    <row r="2" spans="1:23" ht="14.15" x14ac:dyDescent="0.3">
      <c r="A2" s="6" t="s">
        <v>11</v>
      </c>
      <c r="B2" s="6" t="s">
        <v>6</v>
      </c>
      <c r="D2" s="92" t="s">
        <v>0</v>
      </c>
      <c r="E2" s="7" t="s">
        <v>1</v>
      </c>
      <c r="F2" s="7" t="s">
        <v>2</v>
      </c>
      <c r="G2" s="77" t="s">
        <v>141</v>
      </c>
      <c r="H2" s="7" t="s">
        <v>3</v>
      </c>
      <c r="I2" s="7" t="s">
        <v>4</v>
      </c>
      <c r="J2" s="7" t="s">
        <v>5</v>
      </c>
      <c r="K2" s="13" t="s">
        <v>11</v>
      </c>
      <c r="L2" s="13" t="s">
        <v>12</v>
      </c>
      <c r="M2" s="14"/>
      <c r="N2" s="7" t="s">
        <v>3</v>
      </c>
      <c r="O2" s="7" t="s">
        <v>7</v>
      </c>
      <c r="P2" s="13" t="s">
        <v>5</v>
      </c>
      <c r="R2" s="13" t="s">
        <v>9</v>
      </c>
      <c r="S2" s="13" t="s">
        <v>10</v>
      </c>
      <c r="T2" s="13" t="s">
        <v>13</v>
      </c>
      <c r="U2" s="26" t="s">
        <v>9</v>
      </c>
      <c r="V2" s="26" t="s">
        <v>10</v>
      </c>
      <c r="W2" s="30"/>
    </row>
    <row r="3" spans="1:23" ht="14.15" x14ac:dyDescent="0.3">
      <c r="A3" s="93">
        <v>40878</v>
      </c>
      <c r="B3" s="94">
        <f t="shared" ref="B3:B28" si="0">A4</f>
        <v>40909</v>
      </c>
      <c r="C3" s="95">
        <v>47.15</v>
      </c>
      <c r="D3" s="96">
        <f t="shared" ref="D3:D29" si="1">C3/1000</f>
        <v>4.7149999999999997E-2</v>
      </c>
      <c r="E3" s="97">
        <f>[23]GA!$B$4+[23]GA!$B$7+[23]GA!$B$10+[23]GA!$B$12+[23]GA!$B$14</f>
        <v>203464191.00670248</v>
      </c>
      <c r="F3" s="97">
        <f>[23]GA!$B$24-E3</f>
        <v>169833775.63950002</v>
      </c>
      <c r="G3" s="97">
        <f t="shared" ref="G3:G29" si="2">E3+F3</f>
        <v>373297966.6462025</v>
      </c>
      <c r="H3" s="98">
        <f t="shared" ref="H3:H29" si="3">(E3/G3)*K3</f>
        <v>9588704.9185312223</v>
      </c>
      <c r="I3" s="98">
        <f t="shared" ref="I3:I29" si="4">(F3/G3)*K3</f>
        <v>8003796.4014687799</v>
      </c>
      <c r="J3" s="44">
        <f t="shared" ref="J3:J27" si="5">H3+I3</f>
        <v>17592501.32</v>
      </c>
      <c r="K3" s="43">
        <v>17592501.32</v>
      </c>
      <c r="L3" s="44">
        <f t="shared" ref="L3:L29" si="6">J3-K3</f>
        <v>0</v>
      </c>
      <c r="M3" s="44"/>
      <c r="N3" s="44">
        <f>'[24]Reconciliation to Invoice'!$K$10</f>
        <v>10128592.68</v>
      </c>
      <c r="O3" s="44">
        <f>'[24]Reconciliation to Invoice'!$K$12-1188973.42</f>
        <v>7463908.6400000025</v>
      </c>
      <c r="P3" s="44">
        <f>N3+O3</f>
        <v>17592501.32</v>
      </c>
      <c r="Q3" s="95"/>
      <c r="R3" s="44">
        <f t="shared" ref="R3:R29" si="7">N3-H3</f>
        <v>539887.76146877743</v>
      </c>
      <c r="S3" s="44">
        <f>O3-I3</f>
        <v>-539887.76146877743</v>
      </c>
      <c r="T3" s="5">
        <f t="shared" ref="T3:T29" si="8">J3-P3</f>
        <v>0</v>
      </c>
      <c r="U3" s="5"/>
      <c r="V3" s="5"/>
    </row>
    <row r="4" spans="1:23" ht="14.15" x14ac:dyDescent="0.3">
      <c r="A4" s="93">
        <v>40909</v>
      </c>
      <c r="B4" s="94">
        <f t="shared" si="0"/>
        <v>40940</v>
      </c>
      <c r="C4" s="99">
        <v>42.46</v>
      </c>
      <c r="D4" s="96">
        <f t="shared" si="1"/>
        <v>4.2459999999999998E-2</v>
      </c>
      <c r="E4" s="97">
        <f>[25]GA!$B$18</f>
        <v>203977260.70039195</v>
      </c>
      <c r="F4" s="97">
        <f>[25]GA!$B$24-E4</f>
        <v>184418104.07960802</v>
      </c>
      <c r="G4" s="97">
        <f t="shared" si="2"/>
        <v>388395364.77999997</v>
      </c>
      <c r="H4" s="98">
        <f t="shared" si="3"/>
        <v>8657773.9567168318</v>
      </c>
      <c r="I4" s="98">
        <f t="shared" si="4"/>
        <v>7827589.4732831679</v>
      </c>
      <c r="J4" s="44">
        <f t="shared" si="5"/>
        <v>16485363.43</v>
      </c>
      <c r="K4" s="43">
        <v>16485363.43</v>
      </c>
      <c r="L4" s="44">
        <f t="shared" si="6"/>
        <v>0</v>
      </c>
      <c r="M4" s="44"/>
      <c r="N4" s="44">
        <f>'[26]Reconciliation to Invoice'!$K$10</f>
        <v>10183195.68</v>
      </c>
      <c r="O4" s="44">
        <f>'[26]Reconciliation to Invoice'!$K$12-1133802.95</f>
        <v>6302167.7499999991</v>
      </c>
      <c r="P4" s="44">
        <f t="shared" ref="P4:P12" si="9">N4+O4</f>
        <v>16485363.43</v>
      </c>
      <c r="Q4" s="95"/>
      <c r="R4" s="44">
        <f t="shared" si="7"/>
        <v>1525421.7232831679</v>
      </c>
      <c r="S4" s="44">
        <f t="shared" ref="S4:S29" si="10">O4-I4</f>
        <v>-1525421.7232831689</v>
      </c>
      <c r="T4" s="5">
        <f t="shared" si="8"/>
        <v>0</v>
      </c>
    </row>
    <row r="5" spans="1:23" ht="14.15" x14ac:dyDescent="0.3">
      <c r="A5" s="93">
        <v>40940</v>
      </c>
      <c r="B5" s="94">
        <f t="shared" si="0"/>
        <v>40969</v>
      </c>
      <c r="C5" s="99">
        <v>50.62</v>
      </c>
      <c r="D5" s="96">
        <f t="shared" si="1"/>
        <v>5.0619999999999998E-2</v>
      </c>
      <c r="E5" s="97">
        <f>[27]GA!$B$18</f>
        <v>178760445.04999983</v>
      </c>
      <c r="F5" s="97">
        <f>[27]GA!$B$24-E5</f>
        <v>177615151.36081815</v>
      </c>
      <c r="G5" s="97">
        <f t="shared" si="2"/>
        <v>356375596.41081798</v>
      </c>
      <c r="H5" s="98">
        <f t="shared" si="3"/>
        <v>9049506.9257460572</v>
      </c>
      <c r="I5" s="98">
        <f t="shared" si="4"/>
        <v>8991527.9742539413</v>
      </c>
      <c r="J5" s="44">
        <f t="shared" si="5"/>
        <v>18041034.899999999</v>
      </c>
      <c r="K5" s="43">
        <v>18041034.899999999</v>
      </c>
      <c r="L5" s="44">
        <f t="shared" si="6"/>
        <v>0</v>
      </c>
      <c r="M5" s="44"/>
      <c r="N5" s="44">
        <f>'[28]Reconciliation to Invoice'!$K$10</f>
        <v>9484345.4100000001</v>
      </c>
      <c r="O5" s="44">
        <f>'[28]Reconciliation to Invoice'!$K$12-577080.76</f>
        <v>8556689.4900000002</v>
      </c>
      <c r="P5" s="44">
        <f t="shared" si="9"/>
        <v>18041034.899999999</v>
      </c>
      <c r="Q5" s="95"/>
      <c r="R5" s="44">
        <f t="shared" si="7"/>
        <v>434838.48425394297</v>
      </c>
      <c r="S5" s="44">
        <f t="shared" si="10"/>
        <v>-434838.4842539411</v>
      </c>
      <c r="T5" s="5">
        <f t="shared" si="8"/>
        <v>0</v>
      </c>
    </row>
    <row r="6" spans="1:23" ht="14.15" x14ac:dyDescent="0.3">
      <c r="A6" s="93">
        <v>40969</v>
      </c>
      <c r="B6" s="94">
        <f t="shared" si="0"/>
        <v>41000</v>
      </c>
      <c r="C6" s="99">
        <v>62.34</v>
      </c>
      <c r="D6" s="96">
        <f t="shared" si="1"/>
        <v>6.2340000000000007E-2</v>
      </c>
      <c r="E6" s="97">
        <f>[15]GA!$B$18</f>
        <v>167525641.68000007</v>
      </c>
      <c r="F6" s="97">
        <f>[15]GA!$B$24-E6</f>
        <v>182669730.62999988</v>
      </c>
      <c r="G6" s="97">
        <f t="shared" si="2"/>
        <v>350195372.30999994</v>
      </c>
      <c r="H6" s="98">
        <f t="shared" si="3"/>
        <v>10445128.875635574</v>
      </c>
      <c r="I6" s="98">
        <f t="shared" si="4"/>
        <v>11389354.244364431</v>
      </c>
      <c r="J6" s="44">
        <f t="shared" si="5"/>
        <v>21834483.120000005</v>
      </c>
      <c r="K6" s="43">
        <v>21834483.120000005</v>
      </c>
      <c r="L6" s="44">
        <f>J6-K6</f>
        <v>0</v>
      </c>
      <c r="M6" s="44"/>
      <c r="N6" s="44">
        <f>'[29]Reconciliation to Invoice'!$K$10</f>
        <v>10061682.699999999</v>
      </c>
      <c r="O6" s="44">
        <f>'[29]Reconciliation to Invoice'!$K$12+395773.97</f>
        <v>11772800.420000004</v>
      </c>
      <c r="P6" s="44">
        <f t="shared" si="9"/>
        <v>21834483.120000005</v>
      </c>
      <c r="Q6" s="95"/>
      <c r="R6" s="44">
        <f t="shared" si="7"/>
        <v>-383446.17563557439</v>
      </c>
      <c r="S6" s="44">
        <f t="shared" si="10"/>
        <v>383446.17563557252</v>
      </c>
      <c r="T6" s="5">
        <f>J6-P6</f>
        <v>0</v>
      </c>
    </row>
    <row r="7" spans="1:23" ht="14.15" x14ac:dyDescent="0.3">
      <c r="A7" s="93">
        <v>41000</v>
      </c>
      <c r="B7" s="94">
        <f t="shared" si="0"/>
        <v>41030</v>
      </c>
      <c r="C7" s="99">
        <v>60.72</v>
      </c>
      <c r="D7" s="96">
        <f t="shared" si="1"/>
        <v>6.0719999999999996E-2</v>
      </c>
      <c r="E7" s="97">
        <f>[30]GA!$B$18</f>
        <v>154791725.50999999</v>
      </c>
      <c r="F7" s="97">
        <f>[30]GA!$B$24-E7</f>
        <v>168508673.46399999</v>
      </c>
      <c r="G7" s="97">
        <f t="shared" si="2"/>
        <v>323300398.97399998</v>
      </c>
      <c r="H7" s="98">
        <f t="shared" si="3"/>
        <v>9399869.9524003975</v>
      </c>
      <c r="I7" s="98">
        <f t="shared" si="4"/>
        <v>10232844.237599608</v>
      </c>
      <c r="J7" s="44">
        <f t="shared" si="5"/>
        <v>19632714.190000005</v>
      </c>
      <c r="K7" s="43">
        <v>19632714.190000005</v>
      </c>
      <c r="L7" s="44">
        <f t="shared" si="6"/>
        <v>0</v>
      </c>
      <c r="M7" s="44"/>
      <c r="N7" s="44">
        <f>'[31]Reconciliation to Invoice'!$K$10</f>
        <v>9826734.3300000001</v>
      </c>
      <c r="O7" s="44">
        <f>'[31]Reconciliation to Invoice'!$K$12+541322.06</f>
        <v>9805979.8600000031</v>
      </c>
      <c r="P7" s="44">
        <f t="shared" si="9"/>
        <v>19632714.190000005</v>
      </c>
      <c r="Q7" s="95"/>
      <c r="R7" s="44">
        <f t="shared" si="7"/>
        <v>426864.37759960257</v>
      </c>
      <c r="S7" s="44">
        <f t="shared" si="10"/>
        <v>-426864.37759960443</v>
      </c>
      <c r="T7" s="5">
        <f t="shared" si="8"/>
        <v>0</v>
      </c>
    </row>
    <row r="8" spans="1:23" ht="14.15" x14ac:dyDescent="0.3">
      <c r="A8" s="93">
        <v>41030</v>
      </c>
      <c r="B8" s="94">
        <f t="shared" si="0"/>
        <v>41061</v>
      </c>
      <c r="C8" s="99">
        <v>56.5</v>
      </c>
      <c r="D8" s="96">
        <f t="shared" si="1"/>
        <v>5.6500000000000002E-2</v>
      </c>
      <c r="E8" s="97">
        <f>[32]GA!$B$18</f>
        <v>167416623.98000005</v>
      </c>
      <c r="F8" s="97">
        <f>[32]GA!$B$24-E8</f>
        <v>183049456.73199996</v>
      </c>
      <c r="G8" s="97">
        <f t="shared" si="2"/>
        <v>350466080.71200001</v>
      </c>
      <c r="H8" s="98">
        <f t="shared" si="3"/>
        <v>9457126.0636180919</v>
      </c>
      <c r="I8" s="98">
        <f t="shared" si="4"/>
        <v>10340202.466381909</v>
      </c>
      <c r="J8" s="44">
        <f t="shared" si="5"/>
        <v>19797328.530000001</v>
      </c>
      <c r="K8" s="43">
        <v>19797328.530000001</v>
      </c>
      <c r="L8" s="44">
        <f t="shared" si="6"/>
        <v>0</v>
      </c>
      <c r="M8" s="44"/>
      <c r="N8" s="44">
        <f>'[33]Reconciliation to Invoice'!$K$10</f>
        <v>9905805.2100000009</v>
      </c>
      <c r="O8" s="44">
        <f>'[33]Reconciliation to Invoice'!$K$12-145438.72</f>
        <v>9891523.3199999984</v>
      </c>
      <c r="P8" s="44">
        <f t="shared" si="9"/>
        <v>19797328.530000001</v>
      </c>
      <c r="Q8" s="95"/>
      <c r="R8" s="44">
        <f t="shared" si="7"/>
        <v>448679.14638190903</v>
      </c>
      <c r="S8" s="44">
        <f t="shared" si="10"/>
        <v>-448679.14638191089</v>
      </c>
      <c r="T8" s="5">
        <f t="shared" si="8"/>
        <v>0</v>
      </c>
    </row>
    <row r="9" spans="1:23" ht="14.15" x14ac:dyDescent="0.3">
      <c r="A9" s="93">
        <v>41061</v>
      </c>
      <c r="B9" s="94">
        <f t="shared" si="0"/>
        <v>41091</v>
      </c>
      <c r="C9" s="99">
        <v>52.55</v>
      </c>
      <c r="D9" s="96">
        <f t="shared" si="1"/>
        <v>5.2549999999999999E-2</v>
      </c>
      <c r="E9" s="97">
        <f>[34]GA!$B$18</f>
        <v>217901501.77000004</v>
      </c>
      <c r="F9" s="97">
        <f>[34]GA!$B$24-E9</f>
        <v>177435293.78100002</v>
      </c>
      <c r="G9" s="97">
        <f t="shared" si="2"/>
        <v>395336795.55100006</v>
      </c>
      <c r="H9" s="98">
        <f t="shared" si="3"/>
        <v>11436709.268645111</v>
      </c>
      <c r="I9" s="98">
        <f t="shared" si="4"/>
        <v>9312812.6813548896</v>
      </c>
      <c r="J9" s="44">
        <f t="shared" si="5"/>
        <v>20749521.950000003</v>
      </c>
      <c r="K9" s="43">
        <v>20749521.949999999</v>
      </c>
      <c r="L9" s="44">
        <f t="shared" si="6"/>
        <v>0</v>
      </c>
      <c r="M9" s="44"/>
      <c r="N9" s="44">
        <f>'[35]Reconciliation to Invoice'!$K$10</f>
        <v>12459770.890000001</v>
      </c>
      <c r="O9" s="44">
        <f>'[35]Reconciliation to Invoice'!$K$12-898103.52</f>
        <v>8289751.0599999987</v>
      </c>
      <c r="P9" s="44">
        <f t="shared" si="9"/>
        <v>20749521.949999999</v>
      </c>
      <c r="Q9" s="95"/>
      <c r="R9" s="44">
        <f t="shared" si="7"/>
        <v>1023061.6213548891</v>
      </c>
      <c r="S9" s="44">
        <f t="shared" si="10"/>
        <v>-1023061.621354891</v>
      </c>
      <c r="T9" s="5">
        <f t="shared" si="8"/>
        <v>0</v>
      </c>
    </row>
    <row r="10" spans="1:23" ht="14.15" x14ac:dyDescent="0.3">
      <c r="A10" s="93">
        <v>41091</v>
      </c>
      <c r="B10" s="94">
        <f t="shared" si="0"/>
        <v>41122</v>
      </c>
      <c r="C10" s="99">
        <v>33.590000000000003</v>
      </c>
      <c r="D10" s="96">
        <f t="shared" si="1"/>
        <v>3.3590000000000002E-2</v>
      </c>
      <c r="E10" s="97">
        <f>[36]GA!$B$18</f>
        <v>275532464.76999998</v>
      </c>
      <c r="F10" s="97">
        <f>[36]GA!$B$24-E10</f>
        <v>181594707.57500005</v>
      </c>
      <c r="G10" s="97">
        <f t="shared" si="2"/>
        <v>457127172.34500003</v>
      </c>
      <c r="H10" s="98">
        <f t="shared" si="3"/>
        <v>9251450.1345216837</v>
      </c>
      <c r="I10" s="98">
        <f t="shared" si="4"/>
        <v>6097337.3254783163</v>
      </c>
      <c r="J10" s="44">
        <f t="shared" si="5"/>
        <v>15348787.460000001</v>
      </c>
      <c r="K10" s="43">
        <v>15348787.460000001</v>
      </c>
      <c r="L10" s="44">
        <f t="shared" si="6"/>
        <v>0</v>
      </c>
      <c r="M10" s="44"/>
      <c r="N10" s="44">
        <f>'[37]Reconciliation to Invoice'!$K$10</f>
        <v>12590507.869999999</v>
      </c>
      <c r="O10" s="44">
        <f>'[37]Reconciliation to Invoice'!$K$12-958387.67</f>
        <v>2758279.5900000017</v>
      </c>
      <c r="P10" s="44">
        <f t="shared" si="9"/>
        <v>15348787.460000001</v>
      </c>
      <c r="Q10" s="95"/>
      <c r="R10" s="44">
        <f t="shared" si="7"/>
        <v>3339057.7354783155</v>
      </c>
      <c r="S10" s="44">
        <f t="shared" si="10"/>
        <v>-3339057.7354783146</v>
      </c>
      <c r="T10" s="5">
        <f t="shared" si="8"/>
        <v>0</v>
      </c>
    </row>
    <row r="11" spans="1:23" s="11" customFormat="1" ht="14.15" x14ac:dyDescent="0.3">
      <c r="A11" s="93">
        <v>41122</v>
      </c>
      <c r="B11" s="94">
        <f t="shared" si="0"/>
        <v>41153</v>
      </c>
      <c r="C11" s="99">
        <v>41.78</v>
      </c>
      <c r="D11" s="96">
        <f t="shared" si="1"/>
        <v>4.1779999999999998E-2</v>
      </c>
      <c r="E11" s="97">
        <f>[38]GA!$B$18</f>
        <v>224436806.14000002</v>
      </c>
      <c r="F11" s="97">
        <f>[38]GA!$B$24-E11</f>
        <v>192190064.06300005</v>
      </c>
      <c r="G11" s="97">
        <f t="shared" si="2"/>
        <v>416626870.20300007</v>
      </c>
      <c r="H11" s="98">
        <f t="shared" si="3"/>
        <v>9378406.7006866988</v>
      </c>
      <c r="I11" s="98">
        <f t="shared" si="4"/>
        <v>8030931.3593132989</v>
      </c>
      <c r="J11" s="44">
        <f t="shared" si="5"/>
        <v>17409338.059999999</v>
      </c>
      <c r="K11" s="43">
        <v>17409338.059999999</v>
      </c>
      <c r="L11" s="44">
        <f t="shared" si="6"/>
        <v>0</v>
      </c>
      <c r="M11" s="44"/>
      <c r="N11" s="44">
        <f>'[39]Reconciliation to Invoice'!$K$10</f>
        <v>11201592.52</v>
      </c>
      <c r="O11" s="44">
        <f>'[39]Reconciliation to Invoice'!$K$12-7448310.39</f>
        <v>6207745.54</v>
      </c>
      <c r="P11" s="44">
        <f>N11+O11</f>
        <v>17409338.059999999</v>
      </c>
      <c r="Q11" s="95"/>
      <c r="R11" s="44">
        <f t="shared" si="7"/>
        <v>1823185.8193133008</v>
      </c>
      <c r="S11" s="44">
        <f t="shared" si="10"/>
        <v>-1823185.8193132989</v>
      </c>
      <c r="T11" s="12">
        <f t="shared" si="8"/>
        <v>0</v>
      </c>
    </row>
    <row r="12" spans="1:23" ht="14.15" x14ac:dyDescent="0.3">
      <c r="A12" s="93">
        <v>41153</v>
      </c>
      <c r="B12" s="94">
        <f t="shared" si="0"/>
        <v>41183</v>
      </c>
      <c r="C12" s="99">
        <v>47.62</v>
      </c>
      <c r="D12" s="96">
        <f t="shared" si="1"/>
        <v>4.7619999999999996E-2</v>
      </c>
      <c r="E12" s="97">
        <f>[40]GA!$B$18</f>
        <v>166815415.27999997</v>
      </c>
      <c r="F12" s="97">
        <f>[40]GA!$B$24-E12</f>
        <v>173982311.46700001</v>
      </c>
      <c r="G12" s="97">
        <f t="shared" si="2"/>
        <v>340797726.74699998</v>
      </c>
      <c r="H12" s="98">
        <f t="shared" si="3"/>
        <v>7944394.9342466025</v>
      </c>
      <c r="I12" s="98">
        <f t="shared" si="4"/>
        <v>8285710.2357533965</v>
      </c>
      <c r="J12" s="44">
        <f t="shared" si="5"/>
        <v>16230105.169999998</v>
      </c>
      <c r="K12" s="43">
        <v>16230105.17</v>
      </c>
      <c r="L12" s="44">
        <f t="shared" si="6"/>
        <v>0</v>
      </c>
      <c r="M12" s="44"/>
      <c r="N12" s="44">
        <f>'[41]Reconciliation to Invoice'!$K$10</f>
        <v>10298396.01</v>
      </c>
      <c r="O12" s="44">
        <f>'[41]Reconciliation to Invoice'!$K$12+2329506.94</f>
        <v>5931709.1600000001</v>
      </c>
      <c r="P12" s="44">
        <f t="shared" si="9"/>
        <v>16230105.17</v>
      </c>
      <c r="Q12" s="95"/>
      <c r="R12" s="44">
        <f t="shared" si="7"/>
        <v>2354001.0757533973</v>
      </c>
      <c r="S12" s="44">
        <f t="shared" si="10"/>
        <v>-2354001.0757533964</v>
      </c>
      <c r="T12" s="5">
        <f t="shared" si="8"/>
        <v>0</v>
      </c>
    </row>
    <row r="13" spans="1:23" ht="14.15" x14ac:dyDescent="0.3">
      <c r="A13" s="93">
        <v>41183</v>
      </c>
      <c r="B13" s="94">
        <f t="shared" si="0"/>
        <v>41214</v>
      </c>
      <c r="C13" s="99">
        <v>53.81</v>
      </c>
      <c r="D13" s="96">
        <f t="shared" si="1"/>
        <v>5.3810000000000004E-2</v>
      </c>
      <c r="E13" s="97">
        <f>[42]GA!$B$18</f>
        <v>157204326.31999999</v>
      </c>
      <c r="F13" s="97">
        <f>[42]GA!$B$24-E13</f>
        <v>169790028.46200001</v>
      </c>
      <c r="G13" s="97">
        <f t="shared" si="2"/>
        <v>326994354.78200001</v>
      </c>
      <c r="H13" s="98">
        <f t="shared" si="3"/>
        <v>8458235.9889228791</v>
      </c>
      <c r="I13" s="98">
        <f t="shared" si="4"/>
        <v>9135398.2610771228</v>
      </c>
      <c r="J13" s="44">
        <f t="shared" si="5"/>
        <v>17593634.25</v>
      </c>
      <c r="K13" s="43">
        <v>17593634.25</v>
      </c>
      <c r="L13" s="44">
        <f t="shared" si="6"/>
        <v>0</v>
      </c>
      <c r="M13" s="44"/>
      <c r="N13" s="44">
        <f>'[43]Reconciliation to Invoice'!$K$10</f>
        <v>10196374</v>
      </c>
      <c r="O13" s="44">
        <f>'[43]Reconciliation to Invoice'!$K$12-1130502.91</f>
        <v>7397260.25</v>
      </c>
      <c r="P13" s="44">
        <f t="shared" ref="P13:P15" si="11">N13+O13</f>
        <v>17593634.25</v>
      </c>
      <c r="Q13" s="95"/>
      <c r="R13" s="44">
        <f t="shared" si="7"/>
        <v>1738138.0110771209</v>
      </c>
      <c r="S13" s="44">
        <f t="shared" si="10"/>
        <v>-1738138.0110771228</v>
      </c>
      <c r="T13" s="5">
        <f t="shared" si="8"/>
        <v>0</v>
      </c>
    </row>
    <row r="14" spans="1:23" ht="14.15" x14ac:dyDescent="0.3">
      <c r="A14" s="93">
        <v>41214</v>
      </c>
      <c r="B14" s="94">
        <f t="shared" si="0"/>
        <v>41244</v>
      </c>
      <c r="C14" s="99">
        <v>54.26</v>
      </c>
      <c r="D14" s="96">
        <f t="shared" si="1"/>
        <v>5.4259999999999996E-2</v>
      </c>
      <c r="E14" s="97">
        <f>[44]GA!$B$18</f>
        <v>176320798.95000005</v>
      </c>
      <c r="F14" s="97">
        <f>[44]GA!$B$24-E14</f>
        <v>160648599.92999995</v>
      </c>
      <c r="G14" s="97">
        <f t="shared" si="2"/>
        <v>336969398.88</v>
      </c>
      <c r="H14" s="98">
        <f t="shared" si="3"/>
        <v>9566323.1465907861</v>
      </c>
      <c r="I14" s="98">
        <f t="shared" si="4"/>
        <v>8716024.5934092123</v>
      </c>
      <c r="J14" s="44">
        <f t="shared" si="5"/>
        <v>18282347.739999998</v>
      </c>
      <c r="K14" s="43">
        <v>18282347.739999998</v>
      </c>
      <c r="L14" s="44">
        <f t="shared" si="6"/>
        <v>0</v>
      </c>
      <c r="M14" s="44"/>
      <c r="N14" s="44">
        <f>'[45]Reconciliation to Invoice'!$K$10</f>
        <v>9133711.75</v>
      </c>
      <c r="O14" s="44">
        <f>'[45]Reconciliation to Invoice'!$K$12+702287.94</f>
        <v>9148635.9899999984</v>
      </c>
      <c r="P14" s="44">
        <f t="shared" si="11"/>
        <v>18282347.739999998</v>
      </c>
      <c r="Q14" s="95"/>
      <c r="R14" s="44">
        <f t="shared" si="7"/>
        <v>-432611.39659078605</v>
      </c>
      <c r="S14" s="44">
        <f t="shared" si="10"/>
        <v>432611.39659078605</v>
      </c>
      <c r="T14" s="5">
        <f t="shared" si="8"/>
        <v>0</v>
      </c>
      <c r="U14" s="5">
        <f>SUM(R3:R14)</f>
        <v>12837078.183738062</v>
      </c>
      <c r="V14" s="5">
        <f>SUM(S3:S14)</f>
        <v>-12837078.183738068</v>
      </c>
      <c r="W14">
        <v>2012</v>
      </c>
    </row>
    <row r="15" spans="1:23" ht="14.15" x14ac:dyDescent="0.3">
      <c r="A15" s="100">
        <v>41244</v>
      </c>
      <c r="B15" s="101">
        <f t="shared" si="0"/>
        <v>41275</v>
      </c>
      <c r="C15" s="102">
        <v>40.64</v>
      </c>
      <c r="D15" s="103">
        <f t="shared" si="1"/>
        <v>4.0640000000000003E-2</v>
      </c>
      <c r="E15" s="104">
        <f>[46]GA!$B$18</f>
        <v>209837395.20999998</v>
      </c>
      <c r="F15" s="104">
        <f>[46]GA!$B$24-E15</f>
        <v>148290697.47399998</v>
      </c>
      <c r="G15" s="104">
        <f t="shared" si="2"/>
        <v>358128092.68399996</v>
      </c>
      <c r="H15" s="105">
        <f t="shared" si="3"/>
        <v>8525976.0451353956</v>
      </c>
      <c r="I15" s="105">
        <f t="shared" si="4"/>
        <v>6025250.8048646012</v>
      </c>
      <c r="J15" s="10">
        <f t="shared" si="5"/>
        <v>14551226.849999998</v>
      </c>
      <c r="K15" s="16">
        <v>14551226.849999998</v>
      </c>
      <c r="L15" s="10">
        <f t="shared" si="6"/>
        <v>0</v>
      </c>
      <c r="M15" s="10"/>
      <c r="N15" s="10">
        <f>'[1]Reconciliation to Invoice'!$K$10</f>
        <v>10052590.086913761</v>
      </c>
      <c r="O15" s="10">
        <f>'[1]Reconciliation to Invoice'!$K$12-2972985.12</f>
        <v>4498636.7630862379</v>
      </c>
      <c r="P15" s="10">
        <f t="shared" si="11"/>
        <v>14551226.849999998</v>
      </c>
      <c r="Q15" s="19"/>
      <c r="R15" s="10">
        <f t="shared" si="7"/>
        <v>1526614.0417783652</v>
      </c>
      <c r="S15" s="10">
        <f t="shared" si="10"/>
        <v>-1526614.0417783633</v>
      </c>
      <c r="T15" s="5">
        <f t="shared" si="8"/>
        <v>0</v>
      </c>
      <c r="U15" s="5"/>
      <c r="V15" s="5"/>
    </row>
    <row r="16" spans="1:23" ht="14.15" x14ac:dyDescent="0.3">
      <c r="A16" s="100">
        <v>41275</v>
      </c>
      <c r="B16" s="101">
        <f t="shared" si="0"/>
        <v>41306</v>
      </c>
      <c r="C16" s="102">
        <v>49.99</v>
      </c>
      <c r="D16" s="103">
        <f t="shared" si="1"/>
        <v>4.999E-2</v>
      </c>
      <c r="E16" s="104">
        <f>[47]GA!$B$18</f>
        <v>201347981.31000003</v>
      </c>
      <c r="F16" s="104">
        <f>[47]GA!$B$24-E16</f>
        <v>173744848.26493481</v>
      </c>
      <c r="G16" s="104">
        <f t="shared" si="2"/>
        <v>375092829.57493484</v>
      </c>
      <c r="H16" s="105">
        <f t="shared" si="3"/>
        <v>10062774.157953687</v>
      </c>
      <c r="I16" s="105">
        <f t="shared" si="4"/>
        <v>8683251.542046316</v>
      </c>
      <c r="J16" s="10">
        <f t="shared" si="5"/>
        <v>18746025.700000003</v>
      </c>
      <c r="K16" s="16">
        <v>18746025.700000003</v>
      </c>
      <c r="L16" s="10">
        <f t="shared" si="6"/>
        <v>0</v>
      </c>
      <c r="M16" s="10"/>
      <c r="N16" s="10">
        <f>'[48]Reconciliation to Invoice'!$K$10</f>
        <v>11890706.007096149</v>
      </c>
      <c r="O16" s="10">
        <f>'[48]Reconciliation to Invoice'!$K$12-1398271.76</f>
        <v>6855319.6929038521</v>
      </c>
      <c r="P16" s="10">
        <f t="shared" ref="P16:P26" si="12">N16+O16</f>
        <v>18746025.700000003</v>
      </c>
      <c r="Q16" s="19"/>
      <c r="R16" s="10">
        <f t="shared" si="7"/>
        <v>1827931.849142462</v>
      </c>
      <c r="S16" s="10">
        <f t="shared" si="10"/>
        <v>-1827931.8491424639</v>
      </c>
      <c r="T16" s="5">
        <f t="shared" si="8"/>
        <v>0</v>
      </c>
    </row>
    <row r="17" spans="1:23" ht="14.15" x14ac:dyDescent="0.3">
      <c r="A17" s="100">
        <v>41306</v>
      </c>
      <c r="B17" s="101">
        <f t="shared" si="0"/>
        <v>41334</v>
      </c>
      <c r="C17" s="102">
        <v>48.14</v>
      </c>
      <c r="D17" s="103">
        <f t="shared" si="1"/>
        <v>4.8140000000000002E-2</v>
      </c>
      <c r="E17" s="104">
        <f>[49]GA!$B$18</f>
        <v>187065080.30000001</v>
      </c>
      <c r="F17" s="104">
        <f>[49]GA!$B$24-E17</f>
        <v>155530964.2534346</v>
      </c>
      <c r="G17" s="104">
        <f t="shared" si="2"/>
        <v>342596044.55343461</v>
      </c>
      <c r="H17" s="105">
        <f t="shared" si="3"/>
        <v>9004351.4013684262</v>
      </c>
      <c r="I17" s="105">
        <f t="shared" si="4"/>
        <v>7486461.1486315764</v>
      </c>
      <c r="J17" s="10">
        <f t="shared" si="5"/>
        <v>16490812.550000003</v>
      </c>
      <c r="K17" s="16">
        <v>16490812.550000001</v>
      </c>
      <c r="L17" s="10">
        <f t="shared" si="6"/>
        <v>0</v>
      </c>
      <c r="M17" s="10"/>
      <c r="N17" s="10">
        <f>'[50]Reconciliation to Invoice'!$K$10</f>
        <v>7569851.9723436898</v>
      </c>
      <c r="O17" s="10">
        <f>'[50]Reconciliation to Invoice'!$K$12+1761915.61</f>
        <v>8920960.5776563119</v>
      </c>
      <c r="P17" s="10">
        <f t="shared" si="12"/>
        <v>16490812.550000001</v>
      </c>
      <c r="Q17" s="19"/>
      <c r="R17" s="10">
        <f t="shared" si="7"/>
        <v>-1434499.4290247364</v>
      </c>
      <c r="S17" s="10">
        <f t="shared" si="10"/>
        <v>1434499.4290247355</v>
      </c>
      <c r="T17" s="5">
        <f t="shared" si="8"/>
        <v>0</v>
      </c>
    </row>
    <row r="18" spans="1:23" ht="14.15" x14ac:dyDescent="0.3">
      <c r="A18" s="100">
        <v>41334</v>
      </c>
      <c r="B18" s="101">
        <f t="shared" si="0"/>
        <v>41365</v>
      </c>
      <c r="C18" s="102">
        <v>49.26</v>
      </c>
      <c r="D18" s="103">
        <f t="shared" si="1"/>
        <v>4.9259999999999998E-2</v>
      </c>
      <c r="E18" s="104">
        <f>[14]GA!$B$18</f>
        <v>193122919.44</v>
      </c>
      <c r="F18" s="104">
        <f>[14]GA!$B$24-E18</f>
        <v>162433260.08019078</v>
      </c>
      <c r="G18" s="104">
        <f t="shared" si="2"/>
        <v>355556179.52019078</v>
      </c>
      <c r="H18" s="105">
        <f t="shared" si="3"/>
        <v>9516601.1618214864</v>
      </c>
      <c r="I18" s="105">
        <f t="shared" si="4"/>
        <v>8004293.6181785138</v>
      </c>
      <c r="J18" s="10">
        <f t="shared" si="5"/>
        <v>17520894.780000001</v>
      </c>
      <c r="K18" s="16">
        <v>17520894.780000001</v>
      </c>
      <c r="L18" s="10">
        <f t="shared" si="6"/>
        <v>0</v>
      </c>
      <c r="M18" s="10"/>
      <c r="N18" s="10">
        <f>'[51]Reconciliation to Invoice'!$K$10</f>
        <v>10147046.92</v>
      </c>
      <c r="O18" s="10">
        <f>'[51]Reconciliation to Invoice'!$K$12+815334.12</f>
        <v>7373847.8600000022</v>
      </c>
      <c r="P18" s="10">
        <f t="shared" si="12"/>
        <v>17520894.780000001</v>
      </c>
      <c r="Q18" s="19"/>
      <c r="R18" s="10">
        <f t="shared" si="7"/>
        <v>630445.7581785135</v>
      </c>
      <c r="S18" s="10">
        <f t="shared" si="10"/>
        <v>-630445.75817851163</v>
      </c>
      <c r="T18" s="5">
        <f t="shared" si="8"/>
        <v>0</v>
      </c>
    </row>
    <row r="19" spans="1:23" ht="14.15" x14ac:dyDescent="0.3">
      <c r="A19" s="100">
        <v>41365</v>
      </c>
      <c r="B19" s="101">
        <f t="shared" si="0"/>
        <v>41395</v>
      </c>
      <c r="C19" s="102">
        <v>58.59</v>
      </c>
      <c r="D19" s="103">
        <f t="shared" si="1"/>
        <v>5.8590000000000003E-2</v>
      </c>
      <c r="E19" s="104">
        <f>[52]GA!$B$18</f>
        <v>159717900.31999999</v>
      </c>
      <c r="F19" s="104">
        <f>[52]GA!$B$24-E19</f>
        <v>162701236.83511418</v>
      </c>
      <c r="G19" s="104">
        <f t="shared" si="2"/>
        <v>322419137.15511417</v>
      </c>
      <c r="H19" s="105">
        <f t="shared" si="3"/>
        <v>9358877.9745410215</v>
      </c>
      <c r="I19" s="105">
        <f t="shared" si="4"/>
        <v>9533690.4554589782</v>
      </c>
      <c r="J19" s="10">
        <f t="shared" si="5"/>
        <v>18892568.43</v>
      </c>
      <c r="K19" s="16">
        <v>18892568.43</v>
      </c>
      <c r="L19" s="10">
        <f t="shared" si="6"/>
        <v>0</v>
      </c>
      <c r="M19" s="10"/>
      <c r="N19" s="10">
        <f>'[53]Reconciliation to Invoice'!$K$10</f>
        <v>7891260.7773616426</v>
      </c>
      <c r="O19" s="10">
        <f>'[53]Reconciliation to Invoice'!$K$12+625683.58</f>
        <v>11001307.652638359</v>
      </c>
      <c r="P19" s="10">
        <f t="shared" si="12"/>
        <v>18892568.43</v>
      </c>
      <c r="Q19" s="19"/>
      <c r="R19" s="10">
        <f t="shared" si="7"/>
        <v>-1467617.1971793789</v>
      </c>
      <c r="S19" s="10">
        <f t="shared" si="10"/>
        <v>1467617.1971793808</v>
      </c>
      <c r="T19" s="5">
        <f t="shared" si="8"/>
        <v>0</v>
      </c>
    </row>
    <row r="20" spans="1:23" ht="14.15" x14ac:dyDescent="0.3">
      <c r="A20" s="100">
        <v>41395</v>
      </c>
      <c r="B20" s="101">
        <f t="shared" si="0"/>
        <v>41426</v>
      </c>
      <c r="C20" s="102">
        <v>67.59</v>
      </c>
      <c r="D20" s="103">
        <f t="shared" si="1"/>
        <v>6.7589999999999997E-2</v>
      </c>
      <c r="E20" s="104">
        <f>[54]GA!$B$18</f>
        <v>162372017.33999997</v>
      </c>
      <c r="F20" s="104">
        <f>[54]GA!$B$24-E20</f>
        <v>161758880.329</v>
      </c>
      <c r="G20" s="104">
        <f t="shared" si="2"/>
        <v>324130897.66899997</v>
      </c>
      <c r="H20" s="105">
        <f t="shared" si="3"/>
        <v>10970914.546569809</v>
      </c>
      <c r="I20" s="105">
        <f t="shared" si="4"/>
        <v>10929487.00343019</v>
      </c>
      <c r="J20" s="10">
        <f t="shared" si="5"/>
        <v>21900401.549999997</v>
      </c>
      <c r="K20" s="16">
        <v>21900401.550000001</v>
      </c>
      <c r="L20" s="10">
        <f t="shared" si="6"/>
        <v>0</v>
      </c>
      <c r="M20" s="10"/>
      <c r="N20" s="10">
        <f>'[55]Reconciliation to Invoice'!$K$10</f>
        <v>9648945.5103984103</v>
      </c>
      <c r="O20" s="10">
        <f>'[55]Reconciliation to Invoice'!$K$12+1603826.45</f>
        <v>12251456.03960159</v>
      </c>
      <c r="P20" s="10">
        <f t="shared" si="12"/>
        <v>21900401.550000001</v>
      </c>
      <c r="Q20" s="19"/>
      <c r="R20" s="10">
        <f t="shared" si="7"/>
        <v>-1321969.0361713991</v>
      </c>
      <c r="S20" s="10">
        <f t="shared" si="10"/>
        <v>1321969.0361714009</v>
      </c>
      <c r="T20" s="5">
        <f t="shared" si="8"/>
        <v>0</v>
      </c>
    </row>
    <row r="21" spans="1:23" ht="14.15" x14ac:dyDescent="0.3">
      <c r="A21" s="100">
        <v>41426</v>
      </c>
      <c r="B21" s="101">
        <f t="shared" si="0"/>
        <v>41456</v>
      </c>
      <c r="C21" s="102">
        <v>70.430000000000007</v>
      </c>
      <c r="D21" s="103">
        <f t="shared" si="1"/>
        <v>7.0430000000000006E-2</v>
      </c>
      <c r="E21" s="104">
        <f>[56]GA!$B$18</f>
        <v>197836723.02000004</v>
      </c>
      <c r="F21" s="104">
        <f>[56]GA!$B$24-E21</f>
        <v>155668479.24541026</v>
      </c>
      <c r="G21" s="104">
        <f t="shared" si="2"/>
        <v>353505202.2654103</v>
      </c>
      <c r="H21" s="105">
        <f t="shared" si="3"/>
        <v>13883023.569160292</v>
      </c>
      <c r="I21" s="105">
        <f t="shared" si="4"/>
        <v>10923902.970839707</v>
      </c>
      <c r="J21" s="10">
        <f t="shared" si="5"/>
        <v>24806926.539999999</v>
      </c>
      <c r="K21" s="16">
        <v>24806926.539999999</v>
      </c>
      <c r="L21" s="10">
        <f t="shared" si="6"/>
        <v>0</v>
      </c>
      <c r="M21" s="10"/>
      <c r="N21" s="10">
        <f>'[57]Reconciliation to Invoice'!$K$10</f>
        <v>12373496.851337476</v>
      </c>
      <c r="O21" s="10">
        <f>'[57]Reconciliation to Invoice'!$K$12+3934592.83</f>
        <v>12433429.688662525</v>
      </c>
      <c r="P21" s="10">
        <f t="shared" si="12"/>
        <v>24806926.539999999</v>
      </c>
      <c r="Q21" s="19"/>
      <c r="R21" s="10">
        <f t="shared" si="7"/>
        <v>-1509526.7178228162</v>
      </c>
      <c r="S21" s="10">
        <f t="shared" si="10"/>
        <v>1509526.7178228181</v>
      </c>
      <c r="T21" s="5">
        <f t="shared" si="8"/>
        <v>0</v>
      </c>
    </row>
    <row r="22" spans="1:23" ht="14.15" x14ac:dyDescent="0.3">
      <c r="A22" s="100">
        <v>41456</v>
      </c>
      <c r="B22" s="101">
        <f t="shared" si="0"/>
        <v>41487</v>
      </c>
      <c r="C22" s="102">
        <v>50.89</v>
      </c>
      <c r="D22" s="103">
        <f t="shared" si="1"/>
        <v>5.0889999999999998E-2</v>
      </c>
      <c r="E22" s="104">
        <f>[58]GA!$B$18</f>
        <v>252073436.18999994</v>
      </c>
      <c r="F22" s="104">
        <f>[58]GA!$B$24-E22</f>
        <v>177971437.95303404</v>
      </c>
      <c r="G22" s="104">
        <f t="shared" si="2"/>
        <v>430044874.14303398</v>
      </c>
      <c r="H22" s="105">
        <f t="shared" si="3"/>
        <v>12871701.815515205</v>
      </c>
      <c r="I22" s="105">
        <f t="shared" si="4"/>
        <v>9087809.1544847935</v>
      </c>
      <c r="J22" s="10">
        <f t="shared" si="5"/>
        <v>21959510.969999999</v>
      </c>
      <c r="K22" s="16">
        <v>21959510.969999999</v>
      </c>
      <c r="L22" s="10">
        <f t="shared" si="6"/>
        <v>0</v>
      </c>
      <c r="M22" s="10"/>
      <c r="N22" s="10">
        <f>'[59]Reconciliation to Invoice'!$K$10</f>
        <v>12845746.5092436</v>
      </c>
      <c r="O22" s="10">
        <f>'[59]Reconciliation to Invoice'!$K$12-3820403.32</f>
        <v>9113764.4607563987</v>
      </c>
      <c r="P22" s="10">
        <f t="shared" si="12"/>
        <v>21959510.969999999</v>
      </c>
      <c r="Q22" s="19"/>
      <c r="R22" s="10">
        <f t="shared" si="7"/>
        <v>-25955.306271605194</v>
      </c>
      <c r="S22" s="10">
        <f t="shared" si="10"/>
        <v>25955.306271605194</v>
      </c>
      <c r="T22" s="5">
        <f t="shared" si="8"/>
        <v>0</v>
      </c>
    </row>
    <row r="23" spans="1:23" ht="14.15" x14ac:dyDescent="0.3">
      <c r="A23" s="100">
        <v>41487</v>
      </c>
      <c r="B23" s="101">
        <f t="shared" si="0"/>
        <v>41518</v>
      </c>
      <c r="C23" s="102">
        <v>62.45</v>
      </c>
      <c r="D23" s="103">
        <f t="shared" si="1"/>
        <v>6.2450000000000006E-2</v>
      </c>
      <c r="E23" s="104">
        <f>[60]GA!$B$18</f>
        <v>214029679.83000001</v>
      </c>
      <c r="F23" s="104">
        <f>[60]GA!$B$24-E23</f>
        <v>176204315.7251403</v>
      </c>
      <c r="G23" s="104">
        <f t="shared" si="2"/>
        <v>390233995.55514032</v>
      </c>
      <c r="H23" s="105">
        <f t="shared" si="3"/>
        <v>13366767.302183336</v>
      </c>
      <c r="I23" s="105">
        <f t="shared" si="4"/>
        <v>11004464.837816667</v>
      </c>
      <c r="J23" s="10">
        <f t="shared" si="5"/>
        <v>24371232.140000001</v>
      </c>
      <c r="K23" s="16">
        <v>24371232.140000001</v>
      </c>
      <c r="L23" s="10">
        <f t="shared" si="6"/>
        <v>0</v>
      </c>
      <c r="M23" s="10"/>
      <c r="N23" s="10">
        <f>'[61]Reconciliation to Invoice'!$K$10</f>
        <v>12692163.007244218</v>
      </c>
      <c r="O23" s="10">
        <f>'[61]Reconciliation to Invoice'!$K$12+3518779.46</f>
        <v>11679069.132755782</v>
      </c>
      <c r="P23" s="10">
        <f t="shared" si="12"/>
        <v>24371232.140000001</v>
      </c>
      <c r="Q23" s="19"/>
      <c r="R23" s="10">
        <f t="shared" si="7"/>
        <v>-674604.29493911751</v>
      </c>
      <c r="S23" s="10">
        <f t="shared" si="10"/>
        <v>674604.29493911564</v>
      </c>
      <c r="T23" s="5">
        <f t="shared" si="8"/>
        <v>0</v>
      </c>
    </row>
    <row r="24" spans="1:23" ht="14.15" x14ac:dyDescent="0.3">
      <c r="A24" s="100">
        <v>41518</v>
      </c>
      <c r="B24" s="101">
        <f t="shared" si="0"/>
        <v>41548</v>
      </c>
      <c r="C24" s="102">
        <v>66.55</v>
      </c>
      <c r="D24" s="103">
        <f t="shared" si="1"/>
        <v>6.6549999999999998E-2</v>
      </c>
      <c r="E24" s="104">
        <f>[62]GA!$B$18</f>
        <v>163308222.53999999</v>
      </c>
      <c r="F24" s="104">
        <f>[62]GA!$B$24-E24</f>
        <v>172401927.12831375</v>
      </c>
      <c r="G24" s="104">
        <f t="shared" si="2"/>
        <v>335710149.66831374</v>
      </c>
      <c r="H24" s="105">
        <f t="shared" si="3"/>
        <v>10869022.166777885</v>
      </c>
      <c r="I24" s="105">
        <f t="shared" si="4"/>
        <v>11474256.093222113</v>
      </c>
      <c r="J24" s="10">
        <f t="shared" si="5"/>
        <v>22343278.259999998</v>
      </c>
      <c r="K24" s="16">
        <v>22343278.259999998</v>
      </c>
      <c r="L24" s="10">
        <f t="shared" si="6"/>
        <v>0</v>
      </c>
      <c r="M24" s="10"/>
      <c r="N24" s="10">
        <f>'[63]Reconciliation to Invoice'!$K$10</f>
        <v>10124934.884013865</v>
      </c>
      <c r="O24" s="10">
        <f>'[63]Reconciliation to Invoice'!$K$12-925112.74</f>
        <v>12218343.375986135</v>
      </c>
      <c r="P24" s="10">
        <f t="shared" si="12"/>
        <v>22343278.259999998</v>
      </c>
      <c r="Q24" s="19"/>
      <c r="R24" s="10">
        <f t="shared" si="7"/>
        <v>-744087.28276401944</v>
      </c>
      <c r="S24" s="10">
        <f t="shared" si="10"/>
        <v>744087.28276402131</v>
      </c>
      <c r="T24" s="5">
        <f t="shared" si="8"/>
        <v>0</v>
      </c>
    </row>
    <row r="25" spans="1:23" ht="14.15" x14ac:dyDescent="0.3">
      <c r="A25" s="100">
        <v>41548</v>
      </c>
      <c r="B25" s="101">
        <f t="shared" si="0"/>
        <v>41579</v>
      </c>
      <c r="C25" s="102">
        <v>63.12</v>
      </c>
      <c r="D25" s="103">
        <f t="shared" si="1"/>
        <v>6.3119999999999996E-2</v>
      </c>
      <c r="E25" s="104">
        <f>[64]GA!$B$18</f>
        <v>163494028.93000001</v>
      </c>
      <c r="F25" s="104">
        <f>[64]GA!$B$24-E25</f>
        <v>167465499.70880848</v>
      </c>
      <c r="G25" s="104">
        <f t="shared" si="2"/>
        <v>330959528.63880849</v>
      </c>
      <c r="H25" s="105">
        <f t="shared" si="3"/>
        <v>10317356.375528909</v>
      </c>
      <c r="I25" s="105">
        <f t="shared" si="4"/>
        <v>10567977.634471092</v>
      </c>
      <c r="J25" s="10">
        <f t="shared" si="5"/>
        <v>20885334.010000002</v>
      </c>
      <c r="K25" s="16">
        <v>20885334.010000002</v>
      </c>
      <c r="L25" s="10">
        <f t="shared" si="6"/>
        <v>0</v>
      </c>
      <c r="M25" s="10"/>
      <c r="N25" s="10">
        <f>'[65]Reconciliation to Invoice'!$K$10</f>
        <v>10537158.117487943</v>
      </c>
      <c r="O25" s="10">
        <f>'[65]Reconciliation to Invoice'!$K$12+1869581.95</f>
        <v>10348175.892512059</v>
      </c>
      <c r="P25" s="10">
        <f t="shared" si="12"/>
        <v>20885334.010000002</v>
      </c>
      <c r="Q25" s="19"/>
      <c r="R25" s="10">
        <f t="shared" si="7"/>
        <v>219801.74195903353</v>
      </c>
      <c r="S25" s="10">
        <f t="shared" si="10"/>
        <v>-219801.74195903353</v>
      </c>
      <c r="T25" s="5">
        <f t="shared" si="8"/>
        <v>0</v>
      </c>
    </row>
    <row r="26" spans="1:23" ht="14.15" x14ac:dyDescent="0.3">
      <c r="A26" s="100">
        <v>41579</v>
      </c>
      <c r="B26" s="101">
        <f t="shared" si="0"/>
        <v>41609</v>
      </c>
      <c r="C26" s="102">
        <v>78.55</v>
      </c>
      <c r="D26" s="103">
        <f t="shared" si="1"/>
        <v>7.8549999999999995E-2</v>
      </c>
      <c r="E26" s="104">
        <f>[66]GA!$B$18</f>
        <v>179385322.17999998</v>
      </c>
      <c r="F26" s="104">
        <f>[66]GA!$B$24-E26</f>
        <v>164707221.86571553</v>
      </c>
      <c r="G26" s="104">
        <f t="shared" si="2"/>
        <v>344092544.04571551</v>
      </c>
      <c r="H26" s="105">
        <f t="shared" si="3"/>
        <v>14087493.069371521</v>
      </c>
      <c r="I26" s="105">
        <f t="shared" si="4"/>
        <v>12934792.090628479</v>
      </c>
      <c r="J26" s="10">
        <f t="shared" si="5"/>
        <v>27022285.16</v>
      </c>
      <c r="K26" s="16">
        <v>27022285.16</v>
      </c>
      <c r="L26" s="10">
        <f t="shared" si="6"/>
        <v>0</v>
      </c>
      <c r="M26" s="10"/>
      <c r="N26" s="10">
        <f>'[67]Reconciliation to Invoice'!$K$10</f>
        <v>13639141.355576441</v>
      </c>
      <c r="O26" s="10">
        <f>'[67]Reconciliation to Invoice'!$K$12+2156555.54</f>
        <v>13383143.804423559</v>
      </c>
      <c r="P26" s="10">
        <f t="shared" si="12"/>
        <v>27022285.16</v>
      </c>
      <c r="Q26" s="19"/>
      <c r="R26" s="10">
        <f t="shared" si="7"/>
        <v>-448351.71379508078</v>
      </c>
      <c r="S26" s="10">
        <f t="shared" si="10"/>
        <v>448351.71379508078</v>
      </c>
      <c r="T26" s="5">
        <f t="shared" si="8"/>
        <v>0</v>
      </c>
      <c r="U26" s="5">
        <f>SUM(R15:R26)</f>
        <v>-3421817.5869097793</v>
      </c>
      <c r="V26" s="5">
        <f>SUM(S15:S26)</f>
        <v>3421817.5869097859</v>
      </c>
      <c r="W26">
        <v>2013</v>
      </c>
    </row>
    <row r="27" spans="1:23" ht="14.15" x14ac:dyDescent="0.3">
      <c r="A27" s="1">
        <v>41609</v>
      </c>
      <c r="B27" s="27">
        <f t="shared" si="0"/>
        <v>41640</v>
      </c>
      <c r="C27" s="2">
        <v>50.68</v>
      </c>
      <c r="D27" s="8">
        <f t="shared" si="1"/>
        <v>5.0680000000000003E-2</v>
      </c>
      <c r="E27" s="3">
        <f>[21]GA!$B$18</f>
        <v>219504501.53</v>
      </c>
      <c r="F27" s="3">
        <f>[21]GA!$B$24-E27</f>
        <v>160583995.21000001</v>
      </c>
      <c r="G27" s="3">
        <f t="shared" si="2"/>
        <v>380088496.74000001</v>
      </c>
      <c r="H27" s="4">
        <f t="shared" si="3"/>
        <v>11138562.397038162</v>
      </c>
      <c r="I27" s="4">
        <f t="shared" si="4"/>
        <v>8148693.2529618368</v>
      </c>
      <c r="J27" s="5">
        <f t="shared" si="5"/>
        <v>19287255.649999999</v>
      </c>
      <c r="K27" s="15">
        <v>19287255.649999999</v>
      </c>
      <c r="L27" s="5">
        <f t="shared" si="6"/>
        <v>0</v>
      </c>
      <c r="M27" s="5"/>
      <c r="N27" s="5">
        <f>'[20]Reconciliation to Invoice'!$K$10</f>
        <v>11543328.800000001</v>
      </c>
      <c r="O27" s="12">
        <f>'[20]Reconciliation to Invoice'!$K$12-4513100.07</f>
        <v>7743926.8499999978</v>
      </c>
      <c r="P27" s="5">
        <f>N27+O27</f>
        <v>19287255.649999999</v>
      </c>
      <c r="R27" s="12">
        <f t="shared" si="7"/>
        <v>404766.40296183899</v>
      </c>
      <c r="S27" s="12">
        <f t="shared" si="10"/>
        <v>-404766.40296183899</v>
      </c>
      <c r="T27" s="5">
        <f t="shared" si="8"/>
        <v>0</v>
      </c>
      <c r="U27" s="5"/>
      <c r="V27" s="5"/>
    </row>
    <row r="28" spans="1:23" ht="14.15" x14ac:dyDescent="0.3">
      <c r="A28" s="1">
        <v>41640</v>
      </c>
      <c r="B28" s="27">
        <f t="shared" si="0"/>
        <v>41671</v>
      </c>
      <c r="C28" s="2">
        <v>12.61</v>
      </c>
      <c r="D28" s="8">
        <f t="shared" si="1"/>
        <v>1.261E-2</v>
      </c>
      <c r="E28" s="3">
        <f>[68]GA!$B$18</f>
        <v>231570128.56</v>
      </c>
      <c r="F28" s="3">
        <f>[68]GA!$B$24-E28</f>
        <v>171969538.13504654</v>
      </c>
      <c r="G28" s="3">
        <f t="shared" si="2"/>
        <v>403539666.69504654</v>
      </c>
      <c r="H28" s="4">
        <f t="shared" si="3"/>
        <v>2921145.3258804237</v>
      </c>
      <c r="I28" s="4">
        <f t="shared" si="4"/>
        <v>2169312.6641195766</v>
      </c>
      <c r="J28" s="5">
        <f t="shared" ref="J28:J29" si="13">H28+I28</f>
        <v>5090457.99</v>
      </c>
      <c r="K28" s="15">
        <v>5090457.99</v>
      </c>
      <c r="L28" s="5">
        <f t="shared" si="6"/>
        <v>0</v>
      </c>
      <c r="M28" s="5"/>
      <c r="N28" s="5">
        <f>'[69]Reconciliation to Invoice'!$K$12</f>
        <v>2921024.3044398208</v>
      </c>
      <c r="O28" s="5">
        <f>SUM('[69]Reconciliation to Invoice'!$K$13:$K$14)</f>
        <v>2169433.6855601794</v>
      </c>
      <c r="P28" s="5">
        <f t="shared" ref="P28:P29" si="14">N28+O28</f>
        <v>5090457.99</v>
      </c>
      <c r="R28" s="5">
        <f t="shared" si="7"/>
        <v>-121.02144060283899</v>
      </c>
      <c r="S28" s="5">
        <f t="shared" si="10"/>
        <v>121.02144060283899</v>
      </c>
      <c r="T28" s="5">
        <f t="shared" si="8"/>
        <v>0</v>
      </c>
    </row>
    <row r="29" spans="1:23" ht="14.25" x14ac:dyDescent="0.2">
      <c r="A29" s="1">
        <v>41671</v>
      </c>
      <c r="B29" s="27">
        <v>41712</v>
      </c>
      <c r="C29" s="9">
        <v>13.3</v>
      </c>
      <c r="D29" s="8">
        <f t="shared" si="1"/>
        <v>1.3300000000000001E-2</v>
      </c>
      <c r="E29" s="3">
        <f>[70]GA!$B$18</f>
        <v>192321461.64999998</v>
      </c>
      <c r="F29" s="3">
        <f>[70]GA!$B$24-E29</f>
        <v>162847114.00874096</v>
      </c>
      <c r="G29" s="3">
        <f t="shared" si="2"/>
        <v>355168575.65874094</v>
      </c>
      <c r="H29" s="4">
        <f t="shared" si="3"/>
        <v>2557986.680971418</v>
      </c>
      <c r="I29" s="4">
        <f t="shared" si="4"/>
        <v>2165960.8090285822</v>
      </c>
      <c r="J29" s="5">
        <f t="shared" si="13"/>
        <v>4723947.49</v>
      </c>
      <c r="K29" s="15">
        <v>4723947.49</v>
      </c>
      <c r="L29" s="5">
        <f t="shared" si="6"/>
        <v>0</v>
      </c>
      <c r="M29" s="5"/>
      <c r="N29" s="5">
        <f>'[71]Reconciliation to Invoice'!$K$12</f>
        <v>2557875.44</v>
      </c>
      <c r="O29" s="5">
        <f>'[71]Reconciliation to Invoice'!$K$13</f>
        <v>2166072.0500000003</v>
      </c>
      <c r="P29" s="5">
        <f t="shared" si="14"/>
        <v>4723947.49</v>
      </c>
      <c r="R29" s="5">
        <f t="shared" si="7"/>
        <v>-111.24097141809762</v>
      </c>
      <c r="S29" s="5">
        <f t="shared" si="10"/>
        <v>111.24097141809762</v>
      </c>
      <c r="T29" s="5">
        <f t="shared" si="8"/>
        <v>0</v>
      </c>
      <c r="U29" s="5">
        <f>SUM(R27:R29)</f>
        <v>404534.14054981805</v>
      </c>
      <c r="V29" s="5">
        <f>SUM(S27:S29)</f>
        <v>-404534.14054981805</v>
      </c>
      <c r="W29">
        <v>2014</v>
      </c>
    </row>
    <row r="31" spans="1:23" x14ac:dyDescent="0.3">
      <c r="J31" s="5">
        <f>SUM(J3:J29)</f>
        <v>497589318.19</v>
      </c>
      <c r="P31" s="5">
        <f>SUM(P3:P29)</f>
        <v>497589318.19</v>
      </c>
      <c r="R31" s="10">
        <f>SUM(R3:R29)</f>
        <v>9819794.7373780999</v>
      </c>
      <c r="S31" s="10">
        <f>SUM(S3:S29)</f>
        <v>-9819794.7373780999</v>
      </c>
      <c r="T31" s="12">
        <f>SUM(T3:T29)</f>
        <v>0</v>
      </c>
      <c r="U31" s="12">
        <f>SUM(U3:U29)</f>
        <v>9819794.7373780999</v>
      </c>
      <c r="V31" s="12">
        <f>SUM(V3:V29)</f>
        <v>-9819794.7373780999</v>
      </c>
    </row>
    <row r="32" spans="1:23" x14ac:dyDescent="0.3">
      <c r="J32" s="5"/>
      <c r="P32" s="5"/>
      <c r="R32" s="10"/>
      <c r="S32" s="10"/>
      <c r="T32" s="12"/>
      <c r="U32" s="12"/>
      <c r="V32" s="12"/>
    </row>
  </sheetData>
  <mergeCells count="4">
    <mergeCell ref="R1:T1"/>
    <mergeCell ref="U1:W1"/>
    <mergeCell ref="D1:K1"/>
    <mergeCell ref="N1:P1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/>
  </sheetViews>
  <sheetFormatPr defaultRowHeight="14" x14ac:dyDescent="0.3"/>
  <cols>
    <col min="1" max="1" width="12.83203125" customWidth="1"/>
    <col min="3" max="4" width="12.58203125" customWidth="1"/>
    <col min="5" max="6" width="15.33203125" bestFit="1" customWidth="1"/>
    <col min="7" max="7" width="13.5" bestFit="1" customWidth="1"/>
    <col min="8" max="8" width="14.33203125" bestFit="1" customWidth="1"/>
  </cols>
  <sheetData>
    <row r="1" spans="1:9" x14ac:dyDescent="0.3">
      <c r="C1" s="49" t="s">
        <v>125</v>
      </c>
      <c r="D1" s="49" t="s">
        <v>126</v>
      </c>
      <c r="E1" s="49" t="s">
        <v>128</v>
      </c>
      <c r="F1" s="49" t="s">
        <v>129</v>
      </c>
      <c r="G1" s="49" t="s">
        <v>130</v>
      </c>
      <c r="H1" s="49" t="s">
        <v>127</v>
      </c>
    </row>
    <row r="2" spans="1:9" x14ac:dyDescent="0.3">
      <c r="A2" s="1" t="s">
        <v>137</v>
      </c>
      <c r="B2" s="2">
        <f>+'Summary Invoice 2012-2014'!D28</f>
        <v>1.261E-2</v>
      </c>
      <c r="C2" s="71">
        <f>+'Summary Invoice 2012-2014'!E28</f>
        <v>231570128.56</v>
      </c>
      <c r="D2" s="71">
        <f>+'Summary Invoice 2012-2014'!F28</f>
        <v>171969538.13504654</v>
      </c>
      <c r="E2" s="72">
        <f>+C2*B2</f>
        <v>2920099.3211416001</v>
      </c>
      <c r="F2" s="73">
        <f>+B2*D2</f>
        <v>2168535.8758829366</v>
      </c>
      <c r="G2" s="73">
        <f>+F2+E2</f>
        <v>5088635.1970245373</v>
      </c>
      <c r="H2" s="74">
        <f>+'Summary Invoice 2012-2014'!K28</f>
        <v>5090457.99</v>
      </c>
    </row>
    <row r="3" spans="1:9" x14ac:dyDescent="0.3">
      <c r="A3" s="1" t="s">
        <v>138</v>
      </c>
      <c r="B3" s="2">
        <f>+'Summary Invoice 2012-2014'!D29</f>
        <v>1.3300000000000001E-2</v>
      </c>
      <c r="C3" s="69">
        <f>+'Summary Invoice 2012-2014'!E29</f>
        <v>192321461.64999998</v>
      </c>
      <c r="D3" s="69">
        <f>+'Summary Invoice 2012-2014'!F29</f>
        <v>162847114.00874096</v>
      </c>
      <c r="E3" s="3">
        <f>+C3*B3</f>
        <v>2557875.4399449998</v>
      </c>
      <c r="F3" s="4">
        <f>+B3*D3</f>
        <v>2165866.6163162552</v>
      </c>
      <c r="G3" s="4">
        <f>+F3+E3</f>
        <v>4723742.0562612545</v>
      </c>
      <c r="H3" s="5">
        <f>+'Summary Invoice 2012-2014'!K29</f>
        <v>4723947.49</v>
      </c>
    </row>
    <row r="5" spans="1:9" s="66" customFormat="1" x14ac:dyDescent="0.3">
      <c r="A5" s="6" t="s">
        <v>134</v>
      </c>
      <c r="B5" s="6"/>
      <c r="C5" s="6"/>
      <c r="E5" s="49" t="s">
        <v>93</v>
      </c>
      <c r="F5" s="49" t="s">
        <v>135</v>
      </c>
      <c r="G5" s="49" t="s">
        <v>136</v>
      </c>
      <c r="H5" s="49" t="s">
        <v>13</v>
      </c>
    </row>
    <row r="6" spans="1:9" s="66" customFormat="1" x14ac:dyDescent="0.3">
      <c r="A6" s="1" t="s">
        <v>137</v>
      </c>
      <c r="E6" s="48">
        <f>+H2-F6</f>
        <v>2921024.3000000003</v>
      </c>
      <c r="F6" s="70">
        <f>2642868.62-G6</f>
        <v>2169433.69</v>
      </c>
      <c r="G6" s="48">
        <v>473434.93</v>
      </c>
      <c r="H6" s="48">
        <f>+F6+G6</f>
        <v>2642868.62</v>
      </c>
      <c r="I6" s="48"/>
    </row>
    <row r="7" spans="1:9" s="66" customFormat="1" x14ac:dyDescent="0.3">
      <c r="A7" s="1" t="s">
        <v>138</v>
      </c>
      <c r="E7" s="48">
        <f>+E3</f>
        <v>2557875.4399449998</v>
      </c>
      <c r="F7" s="48">
        <f>+H3-E7</f>
        <v>2166072.0500550005</v>
      </c>
      <c r="G7" s="48">
        <v>440530.59</v>
      </c>
      <c r="H7" s="48">
        <f>+F7+G7</f>
        <v>2606602.6400550003</v>
      </c>
    </row>
    <row r="8" spans="1:9" s="66" customFormat="1" x14ac:dyDescent="0.3">
      <c r="A8" s="1" t="s">
        <v>139</v>
      </c>
      <c r="E8" s="48"/>
      <c r="F8" s="48"/>
      <c r="G8" s="48"/>
    </row>
    <row r="9" spans="1:9" s="66" customFormat="1" x14ac:dyDescent="0.3"/>
    <row r="10" spans="1:9" x14ac:dyDescent="0.3">
      <c r="A10" s="6" t="s">
        <v>132</v>
      </c>
      <c r="B10" s="6"/>
      <c r="C10" s="6"/>
      <c r="E10" t="s">
        <v>131</v>
      </c>
      <c r="F10" s="66" t="s">
        <v>131</v>
      </c>
      <c r="G10" s="49" t="s">
        <v>136</v>
      </c>
      <c r="H10" s="49" t="s">
        <v>13</v>
      </c>
    </row>
    <row r="11" spans="1:9" x14ac:dyDescent="0.3">
      <c r="A11" s="1" t="s">
        <v>137</v>
      </c>
      <c r="E11" s="48">
        <f>+C2/($C2+$D2)*H2</f>
        <v>2921145.3258804237</v>
      </c>
      <c r="F11" s="48">
        <f>+D2/($C2+$D2)*H2</f>
        <v>2169312.6641195766</v>
      </c>
      <c r="G11" s="48">
        <v>473434.93</v>
      </c>
      <c r="H11" s="48">
        <f>+F11+G11</f>
        <v>2642747.5941195767</v>
      </c>
    </row>
    <row r="12" spans="1:9" x14ac:dyDescent="0.3">
      <c r="A12" s="1" t="s">
        <v>138</v>
      </c>
      <c r="E12" s="48">
        <f>+C3/(C3+D3)*H3</f>
        <v>2557986.680971418</v>
      </c>
      <c r="F12" s="48">
        <f>+D3/($C3+$D3)*H3</f>
        <v>2165960.8090285822</v>
      </c>
      <c r="G12" s="48">
        <v>440530.59</v>
      </c>
      <c r="H12" s="48">
        <f>+F12+G12</f>
        <v>2606491.399028582</v>
      </c>
    </row>
    <row r="14" spans="1:9" x14ac:dyDescent="0.3">
      <c r="A14" s="6" t="s">
        <v>133</v>
      </c>
    </row>
    <row r="15" spans="1:9" x14ac:dyDescent="0.3">
      <c r="A15" s="1" t="s">
        <v>137</v>
      </c>
      <c r="E15" s="48">
        <f>+E11-E6</f>
        <v>121.02588042337447</v>
      </c>
      <c r="F15" s="48">
        <f>+F11-F6</f>
        <v>-121.02588042337447</v>
      </c>
    </row>
    <row r="16" spans="1:9" x14ac:dyDescent="0.3">
      <c r="A16" s="1" t="s">
        <v>138</v>
      </c>
      <c r="E16" s="48">
        <f>+E12-E7</f>
        <v>111.24102641828358</v>
      </c>
      <c r="F16" s="48">
        <f>+F12-F7</f>
        <v>-111.24102641828358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workbookViewId="0">
      <selection activeCell="F35" sqref="F35"/>
    </sheetView>
  </sheetViews>
  <sheetFormatPr defaultRowHeight="14" x14ac:dyDescent="0.3"/>
  <cols>
    <col min="1" max="1" width="13.08203125" bestFit="1" customWidth="1"/>
    <col min="2" max="2" width="7" customWidth="1"/>
    <col min="3" max="3" width="47.25" bestFit="1" customWidth="1"/>
    <col min="4" max="4" width="19.58203125" customWidth="1"/>
    <col min="5" max="5" width="20.33203125" customWidth="1"/>
    <col min="6" max="6" width="14.25" customWidth="1"/>
  </cols>
  <sheetData>
    <row r="3" spans="1:6" ht="14.25" x14ac:dyDescent="0.2">
      <c r="D3" s="21" t="s">
        <v>15</v>
      </c>
    </row>
    <row r="4" spans="1:6" ht="14.25" x14ac:dyDescent="0.2">
      <c r="A4" s="21" t="s">
        <v>16</v>
      </c>
      <c r="B4" s="21" t="s">
        <v>17</v>
      </c>
      <c r="C4" s="21" t="s">
        <v>18</v>
      </c>
      <c r="D4" s="66" t="s">
        <v>19</v>
      </c>
      <c r="E4" s="66" t="s">
        <v>20</v>
      </c>
      <c r="F4" s="66" t="s">
        <v>21</v>
      </c>
    </row>
    <row r="5" spans="1:6" ht="14.25" x14ac:dyDescent="0.2">
      <c r="A5" s="66">
        <v>201401</v>
      </c>
      <c r="B5" s="66">
        <v>4710</v>
      </c>
      <c r="C5" s="66" t="s">
        <v>23</v>
      </c>
      <c r="D5" s="20">
        <v>2625555.42</v>
      </c>
      <c r="E5" s="67">
        <v>10976550.310000001</v>
      </c>
      <c r="F5" s="67">
        <v>-8350994.8900000006</v>
      </c>
    </row>
    <row r="6" spans="1:6" ht="14.25" x14ac:dyDescent="0.2">
      <c r="C6" s="66" t="s">
        <v>24</v>
      </c>
      <c r="D6" s="67">
        <v>14000061.060000001</v>
      </c>
      <c r="E6" s="67"/>
      <c r="F6" s="67">
        <v>14000061.060000001</v>
      </c>
    </row>
    <row r="7" spans="1:6" ht="14.25" x14ac:dyDescent="0.2">
      <c r="C7" s="66" t="s">
        <v>25</v>
      </c>
      <c r="D7" s="67">
        <v>11419.55</v>
      </c>
      <c r="E7" s="67"/>
      <c r="F7" s="67">
        <v>11419.55</v>
      </c>
    </row>
    <row r="8" spans="1:6" ht="14.25" x14ac:dyDescent="0.2">
      <c r="A8" s="66" t="s">
        <v>118</v>
      </c>
      <c r="B8" s="66"/>
      <c r="C8" s="66"/>
      <c r="D8" s="67">
        <v>16637036.030000001</v>
      </c>
      <c r="E8" s="67">
        <v>10976550.310000001</v>
      </c>
      <c r="F8" s="67">
        <v>5660485.7199999997</v>
      </c>
    </row>
    <row r="9" spans="1:6" ht="14.25" x14ac:dyDescent="0.2">
      <c r="A9" s="66">
        <v>201402</v>
      </c>
      <c r="B9" s="66">
        <v>4710</v>
      </c>
      <c r="C9" s="66" t="s">
        <v>23</v>
      </c>
      <c r="D9" s="20">
        <v>2345022.29</v>
      </c>
      <c r="E9" s="20">
        <v>2625555.42</v>
      </c>
      <c r="F9" s="67">
        <v>-280533.12999999989</v>
      </c>
    </row>
    <row r="10" spans="1:6" ht="14.25" x14ac:dyDescent="0.2">
      <c r="C10" s="66" t="s">
        <v>24</v>
      </c>
      <c r="D10" s="67">
        <v>2642868.62</v>
      </c>
      <c r="E10" s="67"/>
      <c r="F10" s="67">
        <v>2642868.62</v>
      </c>
    </row>
    <row r="11" spans="1:6" ht="14.25" x14ac:dyDescent="0.2">
      <c r="C11" s="66" t="s">
        <v>25</v>
      </c>
      <c r="D11" s="67">
        <v>11419.55</v>
      </c>
      <c r="E11" s="67"/>
      <c r="F11" s="67">
        <v>11419.55</v>
      </c>
    </row>
    <row r="12" spans="1:6" ht="14.25" x14ac:dyDescent="0.2">
      <c r="A12" s="66" t="s">
        <v>119</v>
      </c>
      <c r="B12" s="66"/>
      <c r="C12" s="66"/>
      <c r="D12" s="67">
        <v>4999310.46</v>
      </c>
      <c r="E12" s="67">
        <v>2625555.42</v>
      </c>
      <c r="F12" s="67">
        <v>2373755.04</v>
      </c>
    </row>
    <row r="13" spans="1:6" ht="14.25" x14ac:dyDescent="0.2">
      <c r="A13" s="66">
        <v>201403</v>
      </c>
      <c r="B13" s="66">
        <v>4710</v>
      </c>
      <c r="C13" s="66" t="s">
        <v>62</v>
      </c>
      <c r="D13" s="67">
        <v>3772.38</v>
      </c>
      <c r="E13" s="67"/>
      <c r="F13" s="67">
        <v>3772.38</v>
      </c>
    </row>
    <row r="14" spans="1:6" ht="14.25" x14ac:dyDescent="0.2">
      <c r="C14" s="66" t="s">
        <v>23</v>
      </c>
      <c r="D14" s="67"/>
      <c r="E14" s="20">
        <v>2345022.29</v>
      </c>
      <c r="F14" s="67">
        <v>-2345022.29</v>
      </c>
    </row>
    <row r="15" spans="1:6" ht="14.25" x14ac:dyDescent="0.2">
      <c r="C15" s="66" t="s">
        <v>24</v>
      </c>
      <c r="D15" s="67">
        <v>2606602.64</v>
      </c>
      <c r="E15" s="67"/>
      <c r="F15" s="67">
        <v>2606602.64</v>
      </c>
    </row>
    <row r="16" spans="1:6" ht="14.25" x14ac:dyDescent="0.2">
      <c r="C16" s="66" t="s">
        <v>25</v>
      </c>
      <c r="D16" s="67">
        <v>11419.55</v>
      </c>
      <c r="E16" s="67"/>
      <c r="F16" s="67">
        <v>11419.55</v>
      </c>
    </row>
    <row r="17" spans="1:6" ht="14.25" x14ac:dyDescent="0.2">
      <c r="C17" s="66" t="s">
        <v>160</v>
      </c>
      <c r="D17" s="67"/>
      <c r="E17" s="67">
        <v>4108333.67</v>
      </c>
      <c r="F17" s="67">
        <v>-4108333.67</v>
      </c>
    </row>
    <row r="18" spans="1:6" ht="14.25" x14ac:dyDescent="0.2">
      <c r="C18" s="66" t="s">
        <v>161</v>
      </c>
      <c r="D18" s="67"/>
      <c r="E18" s="67">
        <v>121.02</v>
      </c>
      <c r="F18" s="67">
        <v>-121.02</v>
      </c>
    </row>
    <row r="19" spans="1:6" x14ac:dyDescent="0.3">
      <c r="C19" s="66" t="s">
        <v>162</v>
      </c>
      <c r="D19" s="67"/>
      <c r="E19" s="67">
        <v>111.24</v>
      </c>
      <c r="F19" s="67">
        <v>-111.24</v>
      </c>
    </row>
    <row r="20" spans="1:6" x14ac:dyDescent="0.3">
      <c r="C20" s="66" t="s">
        <v>164</v>
      </c>
      <c r="D20" s="67"/>
      <c r="E20" s="67">
        <v>1547536.36</v>
      </c>
      <c r="F20" s="67">
        <v>-1547536.36</v>
      </c>
    </row>
    <row r="21" spans="1:6" x14ac:dyDescent="0.3">
      <c r="A21" s="66" t="s">
        <v>120</v>
      </c>
      <c r="B21" s="66"/>
      <c r="C21" s="66"/>
      <c r="D21" s="67">
        <v>2621794.5699999998</v>
      </c>
      <c r="E21" s="67">
        <v>8001124.5800000001</v>
      </c>
      <c r="F21" s="67">
        <v>-5379330.0100000007</v>
      </c>
    </row>
    <row r="22" spans="1:6" x14ac:dyDescent="0.3">
      <c r="A22" s="66" t="s">
        <v>25</v>
      </c>
      <c r="B22" s="66" t="s">
        <v>25</v>
      </c>
      <c r="C22" s="66" t="s">
        <v>25</v>
      </c>
      <c r="D22" s="67"/>
      <c r="E22" s="67"/>
      <c r="F22" s="67"/>
    </row>
    <row r="23" spans="1:6" x14ac:dyDescent="0.3">
      <c r="A23" s="66" t="s">
        <v>121</v>
      </c>
      <c r="B23" s="66"/>
      <c r="C23" s="66"/>
      <c r="D23" s="67"/>
      <c r="E23" s="67"/>
      <c r="F23" s="67"/>
    </row>
    <row r="24" spans="1:6" x14ac:dyDescent="0.3">
      <c r="A24" s="66">
        <v>201404</v>
      </c>
      <c r="B24" s="66">
        <v>4710</v>
      </c>
      <c r="C24" s="66" t="s">
        <v>23</v>
      </c>
      <c r="D24" s="67">
        <v>1547536.36</v>
      </c>
      <c r="E24" s="67"/>
      <c r="F24" s="67">
        <v>1547536.36</v>
      </c>
    </row>
    <row r="25" spans="1:6" x14ac:dyDescent="0.3">
      <c r="A25" s="66" t="s">
        <v>163</v>
      </c>
      <c r="B25" s="66"/>
      <c r="C25" s="66"/>
      <c r="D25" s="67">
        <v>1547536.36</v>
      </c>
      <c r="E25" s="67"/>
      <c r="F25" s="67">
        <v>1547536.36</v>
      </c>
    </row>
    <row r="26" spans="1:6" x14ac:dyDescent="0.3">
      <c r="A26" s="66" t="s">
        <v>32</v>
      </c>
      <c r="D26" s="67">
        <v>25805677.420000002</v>
      </c>
      <c r="E26" s="67">
        <v>21603230.309999995</v>
      </c>
      <c r="F26" s="67">
        <v>4202447.1100000003</v>
      </c>
    </row>
    <row r="27" spans="1:6" x14ac:dyDescent="0.3">
      <c r="E27" s="67"/>
    </row>
    <row r="28" spans="1:6" x14ac:dyDescent="0.3">
      <c r="E28" s="67"/>
    </row>
    <row r="29" spans="1:6" x14ac:dyDescent="0.3">
      <c r="E29" s="67"/>
    </row>
    <row r="30" spans="1:6" x14ac:dyDescent="0.3">
      <c r="E30" s="67"/>
    </row>
    <row r="32" spans="1:6" x14ac:dyDescent="0.3">
      <c r="D32" s="67">
        <f>D15-E14</f>
        <v>261580.35000000009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9"/>
  <sheetViews>
    <sheetView zoomScaleNormal="100" workbookViewId="0">
      <selection activeCell="C23" sqref="C23"/>
    </sheetView>
  </sheetViews>
  <sheetFormatPr defaultRowHeight="14" x14ac:dyDescent="0.3"/>
  <cols>
    <col min="1" max="1" width="21.75" bestFit="1" customWidth="1"/>
    <col min="2" max="2" width="9.83203125" bestFit="1" customWidth="1"/>
    <col min="3" max="3" width="50.83203125" bestFit="1" customWidth="1"/>
    <col min="4" max="4" width="19.58203125" customWidth="1"/>
    <col min="5" max="5" width="20.33203125" customWidth="1"/>
    <col min="6" max="6" width="14.25" customWidth="1"/>
  </cols>
  <sheetData>
    <row r="3" spans="1:6" ht="14.15" x14ac:dyDescent="0.3">
      <c r="D3" s="21" t="s">
        <v>15</v>
      </c>
    </row>
    <row r="4" spans="1:6" ht="14.15" x14ac:dyDescent="0.3">
      <c r="A4" s="21" t="s">
        <v>16</v>
      </c>
      <c r="B4" s="21" t="s">
        <v>17</v>
      </c>
      <c r="C4" s="21" t="s">
        <v>18</v>
      </c>
      <c r="D4" t="s">
        <v>19</v>
      </c>
      <c r="E4" t="s">
        <v>20</v>
      </c>
      <c r="F4" t="s">
        <v>21</v>
      </c>
    </row>
    <row r="5" spans="1:6" ht="14.15" x14ac:dyDescent="0.3">
      <c r="A5">
        <v>201301</v>
      </c>
      <c r="B5">
        <v>4710</v>
      </c>
      <c r="C5" t="s">
        <v>22</v>
      </c>
      <c r="D5" s="17"/>
      <c r="E5" s="17">
        <v>1478.01</v>
      </c>
      <c r="F5" s="17">
        <v>-1478.01</v>
      </c>
    </row>
    <row r="6" spans="1:6" ht="14.15" x14ac:dyDescent="0.3">
      <c r="C6" t="s">
        <v>23</v>
      </c>
      <c r="D6" s="17">
        <v>10270264.09</v>
      </c>
      <c r="E6" s="17">
        <v>8389013.3399999999</v>
      </c>
      <c r="F6" s="17">
        <v>1881250.75</v>
      </c>
    </row>
    <row r="7" spans="1:6" ht="14.15" x14ac:dyDescent="0.3">
      <c r="C7" t="s">
        <v>24</v>
      </c>
      <c r="D7" s="18">
        <v>8770403.1199999992</v>
      </c>
      <c r="E7" s="17"/>
      <c r="F7" s="17">
        <v>8770403.1199999992</v>
      </c>
    </row>
    <row r="8" spans="1:6" ht="14.15" x14ac:dyDescent="0.3">
      <c r="C8" t="s">
        <v>25</v>
      </c>
      <c r="D8" s="17"/>
      <c r="E8" s="17">
        <v>4191.58</v>
      </c>
      <c r="F8" s="17">
        <v>-4191.58</v>
      </c>
    </row>
    <row r="9" spans="1:6" ht="14.15" x14ac:dyDescent="0.3">
      <c r="C9" t="s">
        <v>26</v>
      </c>
      <c r="D9" s="17">
        <v>11784.42</v>
      </c>
      <c r="E9" s="17"/>
      <c r="F9" s="17">
        <v>11784.42</v>
      </c>
    </row>
    <row r="10" spans="1:6" ht="14.15" x14ac:dyDescent="0.3">
      <c r="A10" s="19"/>
      <c r="B10" s="19" t="s">
        <v>27</v>
      </c>
      <c r="C10" s="19"/>
      <c r="D10" s="20">
        <v>19052451.630000003</v>
      </c>
      <c r="E10" s="20">
        <v>8394682.9299999997</v>
      </c>
      <c r="F10" s="20">
        <v>10657768.699999999</v>
      </c>
    </row>
    <row r="11" spans="1:6" ht="14.15" x14ac:dyDescent="0.3">
      <c r="A11">
        <v>201302</v>
      </c>
      <c r="B11">
        <v>4710</v>
      </c>
      <c r="C11" t="s">
        <v>23</v>
      </c>
      <c r="D11" s="17">
        <v>7772586.5099999998</v>
      </c>
      <c r="E11" s="17">
        <v>10270264.09</v>
      </c>
      <c r="F11" s="17">
        <v>-2497677.58</v>
      </c>
    </row>
    <row r="12" spans="1:6" ht="14.15" x14ac:dyDescent="0.3">
      <c r="C12" t="s">
        <v>24</v>
      </c>
      <c r="D12" s="18">
        <v>9953438.3699999992</v>
      </c>
      <c r="E12" s="17"/>
      <c r="F12" s="17">
        <v>9953438.3699999992</v>
      </c>
    </row>
    <row r="13" spans="1:6" ht="14.15" x14ac:dyDescent="0.3">
      <c r="C13" t="s">
        <v>26</v>
      </c>
      <c r="D13" s="17">
        <v>11784.42</v>
      </c>
      <c r="E13" s="17"/>
      <c r="F13" s="17">
        <v>11784.42</v>
      </c>
    </row>
    <row r="14" spans="1:6" ht="14.15" x14ac:dyDescent="0.3">
      <c r="A14" s="19"/>
      <c r="B14" s="19" t="s">
        <v>27</v>
      </c>
      <c r="C14" s="19"/>
      <c r="D14" s="20">
        <v>17737809.300000001</v>
      </c>
      <c r="E14" s="20">
        <v>10270264.09</v>
      </c>
      <c r="F14" s="20">
        <v>7467545.209999999</v>
      </c>
    </row>
    <row r="15" spans="1:6" ht="14.15" x14ac:dyDescent="0.3">
      <c r="A15">
        <v>201303</v>
      </c>
      <c r="B15">
        <v>4710</v>
      </c>
      <c r="C15" t="s">
        <v>23</v>
      </c>
      <c r="D15" s="17">
        <v>8328895.4199999999</v>
      </c>
      <c r="E15" s="17">
        <v>7772586.5099999998</v>
      </c>
      <c r="F15" s="17">
        <v>556308.91000000015</v>
      </c>
    </row>
    <row r="16" spans="1:6" ht="14.15" x14ac:dyDescent="0.3">
      <c r="C16" t="s">
        <v>24</v>
      </c>
      <c r="D16" s="18">
        <v>8646653.0099999998</v>
      </c>
      <c r="E16" s="17"/>
      <c r="F16" s="17">
        <v>8646653.0099999998</v>
      </c>
    </row>
    <row r="17" spans="1:6" ht="14.15" x14ac:dyDescent="0.3">
      <c r="C17" t="s">
        <v>26</v>
      </c>
      <c r="D17" s="17">
        <v>11784.42</v>
      </c>
      <c r="E17" s="17"/>
      <c r="F17" s="17">
        <v>11784.42</v>
      </c>
    </row>
    <row r="18" spans="1:6" ht="14.25" x14ac:dyDescent="0.2">
      <c r="A18" s="19"/>
      <c r="B18" s="19" t="s">
        <v>27</v>
      </c>
      <c r="C18" s="19"/>
      <c r="D18" s="20">
        <v>16987332.850000001</v>
      </c>
      <c r="E18" s="20">
        <v>7772586.5099999998</v>
      </c>
      <c r="F18" s="20">
        <v>9214746.3399999999</v>
      </c>
    </row>
    <row r="19" spans="1:6" x14ac:dyDescent="0.3">
      <c r="A19">
        <v>201304</v>
      </c>
      <c r="B19">
        <v>4710</v>
      </c>
      <c r="C19" t="s">
        <v>23</v>
      </c>
      <c r="D19" s="17">
        <v>10686550.470000001</v>
      </c>
      <c r="E19" s="17">
        <v>8328895.4199999999</v>
      </c>
      <c r="F19" s="17">
        <v>2357655.0500000007</v>
      </c>
    </row>
    <row r="20" spans="1:6" x14ac:dyDescent="0.3">
      <c r="C20" t="s">
        <v>24</v>
      </c>
      <c r="D20" s="18">
        <v>8114877.6900000004</v>
      </c>
      <c r="E20" s="17"/>
      <c r="F20" s="17">
        <v>8114877.6900000004</v>
      </c>
    </row>
    <row r="21" spans="1:6" x14ac:dyDescent="0.3">
      <c r="C21" t="s">
        <v>26</v>
      </c>
      <c r="D21" s="17">
        <v>11784.42</v>
      </c>
      <c r="E21" s="17"/>
      <c r="F21" s="17">
        <v>11784.42</v>
      </c>
    </row>
    <row r="22" spans="1:6" x14ac:dyDescent="0.3">
      <c r="A22" s="19"/>
      <c r="B22" s="19" t="s">
        <v>27</v>
      </c>
      <c r="C22" s="19"/>
      <c r="D22" s="20">
        <v>18813212.580000002</v>
      </c>
      <c r="E22" s="20">
        <v>8328895.4199999999</v>
      </c>
      <c r="F22" s="20">
        <v>10484317.160000002</v>
      </c>
    </row>
    <row r="23" spans="1:6" x14ac:dyDescent="0.3">
      <c r="A23">
        <v>201305</v>
      </c>
      <c r="B23">
        <v>4710</v>
      </c>
      <c r="C23" t="s">
        <v>23</v>
      </c>
      <c r="D23" s="17">
        <v>12034445.640000001</v>
      </c>
      <c r="E23" s="17">
        <v>10686550.470000001</v>
      </c>
      <c r="F23" s="17">
        <v>1347895.17</v>
      </c>
    </row>
    <row r="24" spans="1:6" x14ac:dyDescent="0.3">
      <c r="C24" t="s">
        <v>24</v>
      </c>
      <c r="D24" s="18">
        <v>12100298.42</v>
      </c>
      <c r="E24" s="17"/>
      <c r="F24" s="17">
        <v>12100298.42</v>
      </c>
    </row>
    <row r="25" spans="1:6" x14ac:dyDescent="0.3">
      <c r="C25" t="s">
        <v>26</v>
      </c>
      <c r="D25" s="17">
        <v>11419.55</v>
      </c>
      <c r="E25" s="17"/>
      <c r="F25" s="17">
        <v>11419.55</v>
      </c>
    </row>
    <row r="26" spans="1:6" x14ac:dyDescent="0.3">
      <c r="A26" s="19"/>
      <c r="B26" s="19" t="s">
        <v>27</v>
      </c>
      <c r="C26" s="19"/>
      <c r="D26" s="20">
        <v>24146163.610000003</v>
      </c>
      <c r="E26" s="20">
        <v>10686550.470000001</v>
      </c>
      <c r="F26" s="20">
        <v>13459613.140000001</v>
      </c>
    </row>
    <row r="27" spans="1:6" x14ac:dyDescent="0.3">
      <c r="A27">
        <v>201306</v>
      </c>
      <c r="B27">
        <v>4710</v>
      </c>
      <c r="C27" t="s">
        <v>28</v>
      </c>
      <c r="D27" s="17"/>
      <c r="E27" s="17">
        <v>1257.22</v>
      </c>
      <c r="F27" s="17">
        <v>-1257.22</v>
      </c>
    </row>
    <row r="28" spans="1:6" x14ac:dyDescent="0.3">
      <c r="C28" t="s">
        <v>23</v>
      </c>
      <c r="D28" s="17">
        <v>13711694.630000001</v>
      </c>
      <c r="E28" s="17">
        <v>12034445.640000001</v>
      </c>
      <c r="F28" s="17">
        <v>1677248.9900000002</v>
      </c>
    </row>
    <row r="29" spans="1:6" x14ac:dyDescent="0.3">
      <c r="C29" t="s">
        <v>24</v>
      </c>
      <c r="D29" s="18">
        <v>12491232.279999999</v>
      </c>
      <c r="E29" s="17"/>
      <c r="F29" s="17">
        <v>12491232.279999999</v>
      </c>
    </row>
    <row r="30" spans="1:6" x14ac:dyDescent="0.3">
      <c r="C30" t="s">
        <v>26</v>
      </c>
      <c r="D30" s="17">
        <v>11419.55</v>
      </c>
      <c r="E30" s="17"/>
      <c r="F30" s="17">
        <v>11419.55</v>
      </c>
    </row>
    <row r="31" spans="1:6" x14ac:dyDescent="0.3">
      <c r="A31" s="19"/>
      <c r="B31" s="19" t="s">
        <v>27</v>
      </c>
      <c r="C31" s="19"/>
      <c r="D31" s="20">
        <v>26214346.460000001</v>
      </c>
      <c r="E31" s="20">
        <v>12035702.860000001</v>
      </c>
      <c r="F31" s="20">
        <v>14178643.6</v>
      </c>
    </row>
    <row r="32" spans="1:6" x14ac:dyDescent="0.3">
      <c r="A32">
        <v>201307</v>
      </c>
      <c r="B32">
        <v>4710</v>
      </c>
      <c r="C32" t="s">
        <v>29</v>
      </c>
      <c r="D32" s="17">
        <v>1089.8699999999999</v>
      </c>
      <c r="E32" s="17"/>
      <c r="F32" s="17">
        <v>1089.8699999999999</v>
      </c>
    </row>
    <row r="33" spans="1:6" x14ac:dyDescent="0.3">
      <c r="C33" t="s">
        <v>23</v>
      </c>
      <c r="D33" s="17">
        <v>12268215.619999999</v>
      </c>
      <c r="E33" s="17">
        <v>13711694.630000001</v>
      </c>
      <c r="F33" s="17">
        <v>-1443479.0100000016</v>
      </c>
    </row>
    <row r="34" spans="1:6" x14ac:dyDescent="0.3">
      <c r="C34" t="s">
        <v>30</v>
      </c>
      <c r="D34" s="18">
        <v>10524774.18</v>
      </c>
      <c r="E34" s="17"/>
      <c r="F34" s="17">
        <v>10524774.18</v>
      </c>
    </row>
    <row r="35" spans="1:6" x14ac:dyDescent="0.3">
      <c r="C35" t="s">
        <v>26</v>
      </c>
      <c r="D35" s="17">
        <v>11419.55</v>
      </c>
      <c r="E35" s="17"/>
      <c r="F35" s="17">
        <v>11419.55</v>
      </c>
    </row>
    <row r="36" spans="1:6" x14ac:dyDescent="0.3">
      <c r="A36" s="19"/>
      <c r="B36" s="19" t="s">
        <v>27</v>
      </c>
      <c r="C36" s="19"/>
      <c r="D36" s="20">
        <v>22805499.219999999</v>
      </c>
      <c r="E36" s="20">
        <v>13711694.630000001</v>
      </c>
      <c r="F36" s="20">
        <v>9093804.5899999999</v>
      </c>
    </row>
    <row r="37" spans="1:6" x14ac:dyDescent="0.3">
      <c r="A37">
        <v>201308</v>
      </c>
      <c r="B37">
        <v>4710</v>
      </c>
      <c r="C37" t="s">
        <v>23</v>
      </c>
      <c r="D37" s="17">
        <v>12859560.43</v>
      </c>
      <c r="E37" s="17">
        <v>12268215.619999999</v>
      </c>
      <c r="F37" s="17">
        <v>591344.81000000052</v>
      </c>
    </row>
    <row r="38" spans="1:6" x14ac:dyDescent="0.3">
      <c r="C38" t="s">
        <v>24</v>
      </c>
      <c r="D38" s="18">
        <v>14736725.83</v>
      </c>
      <c r="E38" s="17"/>
      <c r="F38" s="17">
        <v>14736725.83</v>
      </c>
    </row>
    <row r="39" spans="1:6" x14ac:dyDescent="0.3">
      <c r="C39" t="s">
        <v>26</v>
      </c>
      <c r="D39" s="17">
        <v>11419.55</v>
      </c>
      <c r="E39" s="17"/>
      <c r="F39" s="17">
        <v>11419.55</v>
      </c>
    </row>
    <row r="40" spans="1:6" x14ac:dyDescent="0.3">
      <c r="A40" s="19"/>
      <c r="B40" s="19" t="s">
        <v>27</v>
      </c>
      <c r="C40" s="19"/>
      <c r="D40" s="20">
        <v>27607705.809999999</v>
      </c>
      <c r="E40" s="20">
        <v>12268215.619999999</v>
      </c>
      <c r="F40" s="20">
        <v>15339490.190000001</v>
      </c>
    </row>
    <row r="41" spans="1:6" x14ac:dyDescent="0.3">
      <c r="A41">
        <v>201309</v>
      </c>
      <c r="B41">
        <v>4710</v>
      </c>
      <c r="C41" t="s">
        <v>28</v>
      </c>
      <c r="D41" s="17">
        <v>317.43</v>
      </c>
      <c r="E41" s="17"/>
      <c r="F41" s="17">
        <v>317.43</v>
      </c>
    </row>
    <row r="42" spans="1:6" x14ac:dyDescent="0.3">
      <c r="C42" t="s">
        <v>31</v>
      </c>
      <c r="D42" s="17">
        <v>1807.97</v>
      </c>
      <c r="E42" s="17"/>
      <c r="F42" s="17">
        <v>1807.97</v>
      </c>
    </row>
    <row r="43" spans="1:6" x14ac:dyDescent="0.3">
      <c r="C43" t="s">
        <v>23</v>
      </c>
      <c r="D43" s="18">
        <v>13964967.57</v>
      </c>
      <c r="E43" s="17">
        <v>12859560.43</v>
      </c>
      <c r="F43" s="17">
        <v>1105407.1400000006</v>
      </c>
    </row>
    <row r="44" spans="1:6" x14ac:dyDescent="0.3">
      <c r="C44" t="s">
        <v>24</v>
      </c>
      <c r="D44" s="17">
        <v>10222226.41</v>
      </c>
      <c r="E44" s="17"/>
      <c r="F44" s="17">
        <v>10222226.41</v>
      </c>
    </row>
    <row r="45" spans="1:6" x14ac:dyDescent="0.3">
      <c r="C45" t="s">
        <v>26</v>
      </c>
      <c r="D45" s="17">
        <v>11419.55</v>
      </c>
      <c r="E45" s="17"/>
      <c r="F45" s="17">
        <v>11419.55</v>
      </c>
    </row>
    <row r="46" spans="1:6" x14ac:dyDescent="0.3">
      <c r="A46" s="19"/>
      <c r="B46" s="19" t="s">
        <v>27</v>
      </c>
      <c r="C46" s="19"/>
      <c r="D46" s="20">
        <v>24200738.930000003</v>
      </c>
      <c r="E46" s="20">
        <v>12859560.43</v>
      </c>
      <c r="F46" s="20">
        <v>11341178.500000002</v>
      </c>
    </row>
    <row r="47" spans="1:6" x14ac:dyDescent="0.3">
      <c r="A47">
        <v>201310</v>
      </c>
      <c r="B47">
        <v>4710</v>
      </c>
      <c r="C47" t="s">
        <v>23</v>
      </c>
      <c r="D47" s="17">
        <v>10558463.26</v>
      </c>
      <c r="E47" s="17">
        <v>13964967.57</v>
      </c>
      <c r="F47" s="17">
        <v>-3406504.3100000005</v>
      </c>
    </row>
    <row r="48" spans="1:6" x14ac:dyDescent="0.3">
      <c r="C48" t="s">
        <v>24</v>
      </c>
      <c r="D48" s="18">
        <v>15080049.34</v>
      </c>
      <c r="E48" s="17"/>
      <c r="F48" s="17">
        <v>15080049.34</v>
      </c>
    </row>
    <row r="49" spans="1:6" x14ac:dyDescent="0.3">
      <c r="C49" t="s">
        <v>26</v>
      </c>
      <c r="D49" s="17">
        <v>11419.55</v>
      </c>
      <c r="E49" s="17"/>
      <c r="F49" s="17">
        <v>11419.55</v>
      </c>
    </row>
    <row r="50" spans="1:6" x14ac:dyDescent="0.3">
      <c r="A50" s="19"/>
      <c r="B50" s="19" t="s">
        <v>27</v>
      </c>
      <c r="C50" s="19"/>
      <c r="D50" s="20">
        <v>25649932.150000002</v>
      </c>
      <c r="E50" s="20">
        <v>13964967.57</v>
      </c>
      <c r="F50" s="20">
        <v>11684964.58</v>
      </c>
    </row>
    <row r="51" spans="1:6" x14ac:dyDescent="0.3">
      <c r="A51">
        <v>201311</v>
      </c>
      <c r="B51">
        <v>4710</v>
      </c>
      <c r="C51" t="s">
        <v>23</v>
      </c>
      <c r="D51" s="17">
        <v>16026607.23</v>
      </c>
      <c r="E51" s="17">
        <v>10558463.26</v>
      </c>
      <c r="F51" s="17">
        <v>5468143.9700000007</v>
      </c>
    </row>
    <row r="52" spans="1:6" x14ac:dyDescent="0.3">
      <c r="C52" t="s">
        <v>24</v>
      </c>
      <c r="D52" s="18">
        <v>10346890.93</v>
      </c>
      <c r="E52" s="17"/>
      <c r="F52" s="17">
        <v>10346890.93</v>
      </c>
    </row>
    <row r="53" spans="1:6" x14ac:dyDescent="0.3">
      <c r="C53" t="s">
        <v>26</v>
      </c>
      <c r="D53" s="17">
        <v>11419.55</v>
      </c>
      <c r="E53" s="17"/>
      <c r="F53" s="17">
        <v>11419.55</v>
      </c>
    </row>
    <row r="54" spans="1:6" x14ac:dyDescent="0.3">
      <c r="A54" s="19"/>
      <c r="B54" s="19" t="s">
        <v>27</v>
      </c>
      <c r="C54" s="19"/>
      <c r="D54" s="20">
        <v>26384917.710000001</v>
      </c>
      <c r="E54" s="20">
        <v>10558463.26</v>
      </c>
      <c r="F54" s="20">
        <v>15826454.450000001</v>
      </c>
    </row>
    <row r="55" spans="1:6" x14ac:dyDescent="0.3">
      <c r="A55">
        <v>201312</v>
      </c>
      <c r="B55">
        <v>4710</v>
      </c>
      <c r="C55" t="s">
        <v>23</v>
      </c>
      <c r="D55" s="17">
        <v>10976550.310000001</v>
      </c>
      <c r="E55" s="17">
        <v>16026607.23</v>
      </c>
      <c r="F55" s="17">
        <v>-5050056.92</v>
      </c>
    </row>
    <row r="56" spans="1:6" x14ac:dyDescent="0.3">
      <c r="C56" t="s">
        <v>24</v>
      </c>
      <c r="D56" s="18">
        <v>13721864.83</v>
      </c>
      <c r="E56" s="17"/>
      <c r="F56" s="17">
        <v>13721864.83</v>
      </c>
    </row>
    <row r="57" spans="1:6" x14ac:dyDescent="0.3">
      <c r="C57" t="s">
        <v>26</v>
      </c>
      <c r="D57" s="17">
        <v>11419.55</v>
      </c>
      <c r="E57" s="17"/>
      <c r="F57" s="17">
        <v>11419.55</v>
      </c>
    </row>
    <row r="58" spans="1:6" x14ac:dyDescent="0.3">
      <c r="A58" s="19"/>
      <c r="B58" s="19" t="s">
        <v>27</v>
      </c>
      <c r="C58" s="19"/>
      <c r="D58" s="20">
        <v>24709834.690000001</v>
      </c>
      <c r="E58" s="20">
        <v>16026607.23</v>
      </c>
      <c r="F58" s="20">
        <v>8683227.4600000009</v>
      </c>
    </row>
    <row r="59" spans="1:6" x14ac:dyDescent="0.3">
      <c r="A59" t="s">
        <v>32</v>
      </c>
      <c r="D59" s="17">
        <v>274309944.94000006</v>
      </c>
      <c r="E59" s="17">
        <v>136878191.02000001</v>
      </c>
      <c r="F59" s="17">
        <v>137431753.92000002</v>
      </c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Summary Impact 2012_13</vt:lpstr>
      <vt:lpstr>2013 Summary</vt:lpstr>
      <vt:lpstr>2012 Summary</vt:lpstr>
      <vt:lpstr>2012_14 Reconciliation 1589</vt:lpstr>
      <vt:lpstr>Summary Impact Table for IR</vt:lpstr>
      <vt:lpstr>Summary Invoice 2012-2014</vt:lpstr>
      <vt:lpstr>Jan-Feb correction</vt:lpstr>
      <vt:lpstr>2014 Pivot</vt:lpstr>
      <vt:lpstr>2013 Pivot</vt:lpstr>
      <vt:lpstr>2012 Pivot</vt:lpstr>
      <vt:lpstr>11GLVoucherRowsAnalysis 2014</vt:lpstr>
      <vt:lpstr>11GLVoucherRowsAnalysis 2013</vt:lpstr>
      <vt:lpstr>11GLVoucherRowsAnalysis 2012</vt:lpstr>
      <vt:lpstr>'2012 Summary'!Print_Area</vt:lpstr>
      <vt:lpstr>'2012_14 Reconciliation 1589'!Print_Area</vt:lpstr>
      <vt:lpstr>'2013 Summary'!Print_Area</vt:lpstr>
      <vt:lpstr>'Summary Impact 2012_13'!Print_Area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Dilalla, Nicolas</dc:creator>
  <cp:lastModifiedBy>Blackwell, Sally</cp:lastModifiedBy>
  <cp:lastPrinted>2014-04-08T15:34:47Z</cp:lastPrinted>
  <dcterms:created xsi:type="dcterms:W3CDTF">2014-03-20T17:10:49Z</dcterms:created>
  <dcterms:modified xsi:type="dcterms:W3CDTF">2014-07-09T19:05:48Z</dcterms:modified>
</cp:coreProperties>
</file>