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40" windowWidth="27795" windowHeight="12465" activeTab="1"/>
  </bookViews>
  <sheets>
    <sheet name="Cover" sheetId="12" r:id="rId1"/>
    <sheet name="Rates" sheetId="3" r:id="rId2"/>
    <sheet name="Residential - R1 RPP" sheetId="2" r:id="rId3"/>
    <sheet name="Residential - R1 Non-RPP" sheetId="17" r:id="rId4"/>
    <sheet name="Residential - R2 Non-RPP" sheetId="7" r:id="rId5"/>
    <sheet name="Residential - R2 Non-RPP Int." sheetId="13" r:id="rId6"/>
    <sheet name="Residential - R2 RPP" sheetId="14" r:id="rId7"/>
    <sheet name="Seasonal RPP" sheetId="4" r:id="rId8"/>
    <sheet name="Seasonal Non-RPP" sheetId="18" r:id="rId9"/>
    <sheet name="Street Lighting Non-RPP" sheetId="10" r:id="rId10"/>
    <sheet name="Street Lighting_2 Non-RPP" sheetId="16" r:id="rId11"/>
  </sheets>
  <externalReferences>
    <externalReference r:id="rId12"/>
  </externalReferences>
  <definedNames>
    <definedName name="EBNUMBER">'[1]LDC Info'!$E$16</definedName>
    <definedName name="_xlnm.Print_Area" localSheetId="3">'Residential - R1 Non-RPP'!$A$1:$O$63</definedName>
    <definedName name="_xlnm.Print_Area" localSheetId="2">'Residential - R1 RPP'!$A$1:$O$74</definedName>
    <definedName name="_xlnm.Print_Area" localSheetId="4">'Residential - R2 Non-RPP'!$A$1:$O$61</definedName>
    <definedName name="_xlnm.Print_Area" localSheetId="5">'Residential - R2 Non-RPP Int.'!$A$1:$O$61</definedName>
    <definedName name="_xlnm.Print_Area" localSheetId="6">'Residential - R2 RPP'!$A$1:$O$61</definedName>
    <definedName name="_xlnm.Print_Area" localSheetId="8">'Seasonal Non-RPP'!$A$1:$O$64</definedName>
    <definedName name="_xlnm.Print_Area" localSheetId="7">'Seasonal RPP'!$A$1:$O$74</definedName>
    <definedName name="_xlnm.Print_Area" localSheetId="9">'Street Lighting Non-RPP'!$A$1:$O$61</definedName>
    <definedName name="_xlnm.Print_Area" localSheetId="10">'Street Lighting_2 Non-RPP'!$A$1:$O$61</definedName>
  </definedNames>
  <calcPr calcId="144525"/>
</workbook>
</file>

<file path=xl/calcChain.xml><?xml version="1.0" encoding="utf-8"?>
<calcChain xmlns="http://schemas.openxmlformats.org/spreadsheetml/2006/main">
  <c r="F61" i="3" l="1"/>
  <c r="F60" i="3"/>
  <c r="F45" i="3"/>
  <c r="F44" i="3"/>
  <c r="F24" i="3"/>
  <c r="F23" i="3"/>
  <c r="F8" i="3"/>
  <c r="F7" i="3"/>
  <c r="G55" i="18" l="1"/>
  <c r="K55" i="18" s="1"/>
  <c r="J45" i="18"/>
  <c r="F45" i="18"/>
  <c r="J55" i="18"/>
  <c r="F55" i="18"/>
  <c r="J64" i="18"/>
  <c r="K48" i="18" s="1"/>
  <c r="K49" i="18" s="1"/>
  <c r="F64" i="18"/>
  <c r="G48" i="18" s="1"/>
  <c r="K54" i="18"/>
  <c r="J54" i="18"/>
  <c r="G54" i="18"/>
  <c r="F54" i="18"/>
  <c r="J53" i="18"/>
  <c r="L53" i="18" s="1"/>
  <c r="F53" i="18"/>
  <c r="H53" i="18" s="1"/>
  <c r="J52" i="18"/>
  <c r="F52" i="18"/>
  <c r="J51" i="18"/>
  <c r="F51" i="18"/>
  <c r="J49" i="18"/>
  <c r="F49" i="18"/>
  <c r="J48" i="18"/>
  <c r="F48" i="18"/>
  <c r="J46" i="18"/>
  <c r="L46" i="18" s="1"/>
  <c r="F46" i="18"/>
  <c r="H46" i="18" s="1"/>
  <c r="K45" i="18"/>
  <c r="K44" i="18"/>
  <c r="L44" i="18" s="1"/>
  <c r="G44" i="18"/>
  <c r="H44" i="18" s="1"/>
  <c r="O44" i="18" s="1"/>
  <c r="K43" i="18"/>
  <c r="L43" i="18" s="1"/>
  <c r="G43" i="18"/>
  <c r="H43" i="18" s="1"/>
  <c r="O43" i="18" s="1"/>
  <c r="K42" i="18"/>
  <c r="L42" i="18" s="1"/>
  <c r="G42" i="18"/>
  <c r="H42" i="18" s="1"/>
  <c r="O42" i="18" s="1"/>
  <c r="K41" i="18"/>
  <c r="J41" i="18"/>
  <c r="G41" i="18"/>
  <c r="F41" i="18"/>
  <c r="B41" i="18"/>
  <c r="K40" i="18"/>
  <c r="L40" i="18" s="1"/>
  <c r="J40" i="18"/>
  <c r="G40" i="18"/>
  <c r="H40" i="18" s="1"/>
  <c r="O40" i="18" s="1"/>
  <c r="F40" i="18"/>
  <c r="B40" i="18"/>
  <c r="K38" i="18"/>
  <c r="L38" i="18" s="1"/>
  <c r="G38" i="18"/>
  <c r="H38" i="18" s="1"/>
  <c r="O38" i="18" s="1"/>
  <c r="K37" i="18"/>
  <c r="L37" i="18" s="1"/>
  <c r="G37" i="18"/>
  <c r="H37" i="18" s="1"/>
  <c r="O37" i="18" s="1"/>
  <c r="K36" i="18"/>
  <c r="L36" i="18" s="1"/>
  <c r="G36" i="18"/>
  <c r="H36" i="18" s="1"/>
  <c r="O36" i="18" s="1"/>
  <c r="K35" i="18"/>
  <c r="J35" i="18"/>
  <c r="G35" i="18"/>
  <c r="F35" i="18"/>
  <c r="B35" i="18"/>
  <c r="K34" i="18"/>
  <c r="L34" i="18" s="1"/>
  <c r="J34" i="18"/>
  <c r="G34" i="18"/>
  <c r="H34" i="18" s="1"/>
  <c r="F34" i="18"/>
  <c r="B34" i="18"/>
  <c r="K33" i="18"/>
  <c r="J33" i="18"/>
  <c r="G33" i="18"/>
  <c r="F33" i="18"/>
  <c r="B33" i="18"/>
  <c r="K32" i="18"/>
  <c r="L32" i="18" s="1"/>
  <c r="J32" i="18"/>
  <c r="G32" i="18"/>
  <c r="F32" i="18"/>
  <c r="B32" i="18"/>
  <c r="K31" i="18"/>
  <c r="L31" i="18" s="1"/>
  <c r="G31" i="18"/>
  <c r="H31" i="18" s="1"/>
  <c r="O31" i="18" s="1"/>
  <c r="K30" i="18"/>
  <c r="L30" i="18" s="1"/>
  <c r="G30" i="18"/>
  <c r="H30" i="18" s="1"/>
  <c r="O30" i="18" s="1"/>
  <c r="K29" i="18"/>
  <c r="J29" i="18"/>
  <c r="G29" i="18"/>
  <c r="F29" i="18"/>
  <c r="L28" i="18"/>
  <c r="N28" i="18" s="1"/>
  <c r="H28" i="18"/>
  <c r="O28" i="18" s="1"/>
  <c r="J27" i="18"/>
  <c r="L27" i="18" s="1"/>
  <c r="N27" i="18" s="1"/>
  <c r="F27" i="18"/>
  <c r="H27" i="18" s="1"/>
  <c r="O27" i="18" s="1"/>
  <c r="B27" i="18"/>
  <c r="J26" i="18"/>
  <c r="L26" i="18" s="1"/>
  <c r="F26" i="18"/>
  <c r="H26" i="18" s="1"/>
  <c r="B26" i="18"/>
  <c r="J25" i="18"/>
  <c r="L25" i="18" s="1"/>
  <c r="F25" i="18"/>
  <c r="H25" i="18" s="1"/>
  <c r="B25" i="18"/>
  <c r="L24" i="18"/>
  <c r="H24" i="18"/>
  <c r="O24" i="18" s="1"/>
  <c r="J23" i="18"/>
  <c r="L23" i="18" s="1"/>
  <c r="F23" i="18"/>
  <c r="H23" i="18" s="1"/>
  <c r="O1" i="18"/>
  <c r="G55" i="17"/>
  <c r="K55" i="17" s="1"/>
  <c r="J45" i="17"/>
  <c r="F45" i="17"/>
  <c r="J55" i="17"/>
  <c r="F55" i="17"/>
  <c r="J63" i="17"/>
  <c r="K45" i="17" s="1"/>
  <c r="F63" i="17"/>
  <c r="G45" i="17" s="1"/>
  <c r="K54" i="17"/>
  <c r="J54" i="17"/>
  <c r="G54" i="17"/>
  <c r="F54" i="17"/>
  <c r="J53" i="17"/>
  <c r="L53" i="17" s="1"/>
  <c r="F53" i="17"/>
  <c r="H53" i="17" s="1"/>
  <c r="J52" i="17"/>
  <c r="F52" i="17"/>
  <c r="J51" i="17"/>
  <c r="F51" i="17"/>
  <c r="J49" i="17"/>
  <c r="F49" i="17"/>
  <c r="J48" i="17"/>
  <c r="F48" i="17"/>
  <c r="J46" i="17"/>
  <c r="L46" i="17" s="1"/>
  <c r="F46" i="17"/>
  <c r="H46" i="17" s="1"/>
  <c r="K44" i="17"/>
  <c r="L44" i="17" s="1"/>
  <c r="G44" i="17"/>
  <c r="H44" i="17" s="1"/>
  <c r="O44" i="17" s="1"/>
  <c r="K43" i="17"/>
  <c r="L43" i="17" s="1"/>
  <c r="G43" i="17"/>
  <c r="H43" i="17" s="1"/>
  <c r="O43" i="17" s="1"/>
  <c r="K42" i="17"/>
  <c r="L42" i="17" s="1"/>
  <c r="G42" i="17"/>
  <c r="H42" i="17" s="1"/>
  <c r="O42" i="17" s="1"/>
  <c r="K41" i="17"/>
  <c r="J41" i="17"/>
  <c r="G41" i="17"/>
  <c r="F41" i="17"/>
  <c r="B41" i="17"/>
  <c r="K40" i="17"/>
  <c r="J40" i="17"/>
  <c r="G40" i="17"/>
  <c r="F40" i="17"/>
  <c r="B40" i="17"/>
  <c r="K38" i="17"/>
  <c r="L38" i="17" s="1"/>
  <c r="G38" i="17"/>
  <c r="H38" i="17" s="1"/>
  <c r="O38" i="17" s="1"/>
  <c r="K37" i="17"/>
  <c r="L37" i="17" s="1"/>
  <c r="G37" i="17"/>
  <c r="H37" i="17" s="1"/>
  <c r="O37" i="17" s="1"/>
  <c r="K36" i="17"/>
  <c r="L36" i="17" s="1"/>
  <c r="G36" i="17"/>
  <c r="H36" i="17" s="1"/>
  <c r="O36" i="17" s="1"/>
  <c r="K35" i="17"/>
  <c r="L35" i="17" s="1"/>
  <c r="G35" i="17"/>
  <c r="H35" i="17" s="1"/>
  <c r="O35" i="17" s="1"/>
  <c r="K34" i="17"/>
  <c r="J34" i="17"/>
  <c r="G34" i="17"/>
  <c r="F34" i="17"/>
  <c r="B34" i="17"/>
  <c r="K33" i="17"/>
  <c r="J33" i="17"/>
  <c r="G33" i="17"/>
  <c r="F33" i="17"/>
  <c r="B33" i="17"/>
  <c r="K32" i="17"/>
  <c r="J32" i="17"/>
  <c r="G32" i="17"/>
  <c r="F32" i="17"/>
  <c r="B32" i="17"/>
  <c r="K31" i="17"/>
  <c r="J31" i="17"/>
  <c r="G31" i="17"/>
  <c r="F31" i="17"/>
  <c r="B31" i="17"/>
  <c r="K30" i="17"/>
  <c r="L30" i="17" s="1"/>
  <c r="G30" i="17"/>
  <c r="H30" i="17" s="1"/>
  <c r="O30" i="17" s="1"/>
  <c r="K29" i="17"/>
  <c r="J29" i="17"/>
  <c r="G29" i="17"/>
  <c r="F29" i="17"/>
  <c r="L28" i="17"/>
  <c r="H28" i="17"/>
  <c r="O28" i="17" s="1"/>
  <c r="L27" i="17"/>
  <c r="H27" i="17"/>
  <c r="O27" i="17" s="1"/>
  <c r="L26" i="17"/>
  <c r="H26" i="17"/>
  <c r="O26" i="17" s="1"/>
  <c r="L25" i="17"/>
  <c r="H25" i="17"/>
  <c r="O25" i="17" s="1"/>
  <c r="L24" i="17"/>
  <c r="H24" i="17"/>
  <c r="O24" i="17" s="1"/>
  <c r="J23" i="17"/>
  <c r="L23" i="17" s="1"/>
  <c r="F23" i="17"/>
  <c r="H23" i="17" s="1"/>
  <c r="O1" i="17"/>
  <c r="N43" i="18" l="1"/>
  <c r="N30" i="18"/>
  <c r="N36" i="18"/>
  <c r="H33" i="18"/>
  <c r="L35" i="18"/>
  <c r="H41" i="18"/>
  <c r="O41" i="18" s="1"/>
  <c r="L54" i="18"/>
  <c r="N24" i="18"/>
  <c r="L29" i="18"/>
  <c r="N29" i="18" s="1"/>
  <c r="O29" i="18" s="1"/>
  <c r="L41" i="18"/>
  <c r="N41" i="18" s="1"/>
  <c r="L33" i="18"/>
  <c r="N42" i="18"/>
  <c r="L48" i="18"/>
  <c r="H54" i="18"/>
  <c r="N54" i="18" s="1"/>
  <c r="N25" i="18"/>
  <c r="O25" i="18" s="1"/>
  <c r="H29" i="18"/>
  <c r="H32" i="18"/>
  <c r="H35" i="18"/>
  <c r="O35" i="18" s="1"/>
  <c r="N38" i="18"/>
  <c r="N40" i="18"/>
  <c r="N34" i="18"/>
  <c r="O34" i="18" s="1"/>
  <c r="N44" i="18"/>
  <c r="N46" i="18"/>
  <c r="N53" i="18"/>
  <c r="O53" i="18" s="1"/>
  <c r="L55" i="18"/>
  <c r="L45" i="18"/>
  <c r="H55" i="18"/>
  <c r="N23" i="18"/>
  <c r="O23" i="18" s="1"/>
  <c r="N31" i="18"/>
  <c r="N37" i="18"/>
  <c r="L49" i="18"/>
  <c r="K52" i="18"/>
  <c r="L52" i="18" s="1"/>
  <c r="K51" i="18"/>
  <c r="L51" i="18" s="1"/>
  <c r="N26" i="18"/>
  <c r="O26" i="18" s="1"/>
  <c r="G49" i="18"/>
  <c r="H48" i="18"/>
  <c r="G45" i="18"/>
  <c r="H45" i="18" s="1"/>
  <c r="H55" i="17"/>
  <c r="N44" i="17"/>
  <c r="G48" i="17"/>
  <c r="H48" i="17" s="1"/>
  <c r="L55" i="17"/>
  <c r="L31" i="17"/>
  <c r="L40" i="17"/>
  <c r="L45" i="17"/>
  <c r="H45" i="17"/>
  <c r="N38" i="17"/>
  <c r="H34" i="17"/>
  <c r="O34" i="17" s="1"/>
  <c r="L29" i="17"/>
  <c r="H33" i="17"/>
  <c r="L34" i="17"/>
  <c r="N36" i="17"/>
  <c r="H40" i="17"/>
  <c r="O40" i="17" s="1"/>
  <c r="L41" i="17"/>
  <c r="N53" i="17"/>
  <c r="O53" i="17" s="1"/>
  <c r="L54" i="17"/>
  <c r="H31" i="17"/>
  <c r="O31" i="17" s="1"/>
  <c r="L32" i="17"/>
  <c r="K48" i="17"/>
  <c r="N30" i="17"/>
  <c r="N35" i="17"/>
  <c r="N42" i="17"/>
  <c r="H54" i="17"/>
  <c r="N23" i="17"/>
  <c r="O23" i="17" s="1"/>
  <c r="N27" i="17"/>
  <c r="H29" i="17"/>
  <c r="N37" i="17"/>
  <c r="N43" i="17"/>
  <c r="L33" i="17"/>
  <c r="H41" i="17"/>
  <c r="O41" i="17" s="1"/>
  <c r="N46" i="17"/>
  <c r="N24" i="17"/>
  <c r="N26" i="17"/>
  <c r="N28" i="17"/>
  <c r="H32" i="17"/>
  <c r="N25" i="17"/>
  <c r="J61" i="16"/>
  <c r="K44" i="16" s="1"/>
  <c r="L44" i="16" s="1"/>
  <c r="F61" i="16"/>
  <c r="K54" i="16"/>
  <c r="L54" i="16" s="1"/>
  <c r="J54" i="16"/>
  <c r="G54" i="16"/>
  <c r="H54" i="16" s="1"/>
  <c r="F54" i="16"/>
  <c r="K53" i="16"/>
  <c r="L53" i="16" s="1"/>
  <c r="J53" i="16"/>
  <c r="G53" i="16"/>
  <c r="H53" i="16" s="1"/>
  <c r="F53" i="16"/>
  <c r="J52" i="16"/>
  <c r="L52" i="16" s="1"/>
  <c r="N52" i="16" s="1"/>
  <c r="F52" i="16"/>
  <c r="H52" i="16" s="1"/>
  <c r="J51" i="16"/>
  <c r="F51" i="16"/>
  <c r="J50" i="16"/>
  <c r="F50" i="16"/>
  <c r="J48" i="16"/>
  <c r="F48" i="16"/>
  <c r="J47" i="16"/>
  <c r="F47" i="16"/>
  <c r="L45" i="16"/>
  <c r="N45" i="16" s="1"/>
  <c r="H45" i="16"/>
  <c r="J44" i="16"/>
  <c r="G44" i="16"/>
  <c r="H44" i="16" s="1"/>
  <c r="F44" i="16"/>
  <c r="L43" i="16"/>
  <c r="K43" i="16"/>
  <c r="G43" i="16"/>
  <c r="H43" i="16" s="1"/>
  <c r="O43" i="16" s="1"/>
  <c r="K42" i="16"/>
  <c r="L42" i="16" s="1"/>
  <c r="H42" i="16"/>
  <c r="O42" i="16" s="1"/>
  <c r="G42" i="16"/>
  <c r="K41" i="16"/>
  <c r="L41" i="16" s="1"/>
  <c r="N41" i="16" s="1"/>
  <c r="G41" i="16"/>
  <c r="H41" i="16" s="1"/>
  <c r="O41" i="16" s="1"/>
  <c r="K40" i="16"/>
  <c r="J40" i="16"/>
  <c r="G40" i="16"/>
  <c r="F40" i="16"/>
  <c r="B40" i="16"/>
  <c r="K39" i="16"/>
  <c r="J39" i="16"/>
  <c r="L39" i="16" s="1"/>
  <c r="G39" i="16"/>
  <c r="F39" i="16"/>
  <c r="B39" i="16"/>
  <c r="K37" i="16"/>
  <c r="L37" i="16" s="1"/>
  <c r="N37" i="16" s="1"/>
  <c r="G37" i="16"/>
  <c r="H37" i="16" s="1"/>
  <c r="O37" i="16" s="1"/>
  <c r="K36" i="16"/>
  <c r="L36" i="16" s="1"/>
  <c r="G36" i="16"/>
  <c r="H36" i="16" s="1"/>
  <c r="O36" i="16" s="1"/>
  <c r="K35" i="16"/>
  <c r="L35" i="16" s="1"/>
  <c r="N35" i="16" s="1"/>
  <c r="G35" i="16"/>
  <c r="H35" i="16" s="1"/>
  <c r="O35" i="16" s="1"/>
  <c r="K34" i="16"/>
  <c r="L34" i="16" s="1"/>
  <c r="G34" i="16"/>
  <c r="H34" i="16" s="1"/>
  <c r="O34" i="16" s="1"/>
  <c r="K33" i="16"/>
  <c r="L33" i="16" s="1"/>
  <c r="J33" i="16"/>
  <c r="H33" i="16"/>
  <c r="O33" i="16" s="1"/>
  <c r="G33" i="16"/>
  <c r="F33" i="16"/>
  <c r="B33" i="16"/>
  <c r="K32" i="16"/>
  <c r="J32" i="16"/>
  <c r="G32" i="16"/>
  <c r="H32" i="16" s="1"/>
  <c r="F32" i="16"/>
  <c r="B32" i="16"/>
  <c r="K31" i="16"/>
  <c r="J31" i="16"/>
  <c r="G31" i="16"/>
  <c r="F31" i="16"/>
  <c r="B31" i="16"/>
  <c r="K30" i="16"/>
  <c r="L30" i="16" s="1"/>
  <c r="N30" i="16" s="1"/>
  <c r="G30" i="16"/>
  <c r="H30" i="16" s="1"/>
  <c r="O30" i="16" s="1"/>
  <c r="K29" i="16"/>
  <c r="L29" i="16" s="1"/>
  <c r="H29" i="16"/>
  <c r="O29" i="16" s="1"/>
  <c r="G29" i="16"/>
  <c r="K28" i="16"/>
  <c r="L28" i="16" s="1"/>
  <c r="J28" i="16"/>
  <c r="G28" i="16"/>
  <c r="F28" i="16"/>
  <c r="L27" i="16"/>
  <c r="H27" i="16"/>
  <c r="O27" i="16" s="1"/>
  <c r="L26" i="16"/>
  <c r="H26" i="16"/>
  <c r="O26" i="16" s="1"/>
  <c r="L25" i="16"/>
  <c r="H25" i="16"/>
  <c r="O25" i="16" s="1"/>
  <c r="L24" i="16"/>
  <c r="H24" i="16"/>
  <c r="O24" i="16" s="1"/>
  <c r="L23" i="16"/>
  <c r="H23" i="16"/>
  <c r="O23" i="16" s="1"/>
  <c r="J22" i="16"/>
  <c r="L22" i="16" s="1"/>
  <c r="F22" i="16"/>
  <c r="H22" i="16" s="1"/>
  <c r="O1" i="16"/>
  <c r="K40" i="10"/>
  <c r="K39" i="10"/>
  <c r="G40" i="10"/>
  <c r="G39" i="10"/>
  <c r="K33" i="10"/>
  <c r="G33" i="10"/>
  <c r="J33" i="10"/>
  <c r="F33" i="10"/>
  <c r="B33" i="10"/>
  <c r="J40" i="10"/>
  <c r="F40" i="10"/>
  <c r="B40" i="10"/>
  <c r="J39" i="10"/>
  <c r="F39" i="10"/>
  <c r="B39" i="10"/>
  <c r="J35" i="4"/>
  <c r="F35" i="4"/>
  <c r="B35" i="4"/>
  <c r="F41" i="4"/>
  <c r="B41" i="4"/>
  <c r="J40" i="4"/>
  <c r="F40" i="4"/>
  <c r="B40" i="4"/>
  <c r="J27" i="4"/>
  <c r="F27" i="4"/>
  <c r="B27" i="4"/>
  <c r="J44" i="14"/>
  <c r="F44" i="14"/>
  <c r="J61" i="14"/>
  <c r="K44" i="14" s="1"/>
  <c r="F61" i="14"/>
  <c r="K54" i="14"/>
  <c r="L54" i="14" s="1"/>
  <c r="J54" i="14"/>
  <c r="G54" i="14"/>
  <c r="F54" i="14"/>
  <c r="K53" i="14"/>
  <c r="L53" i="14" s="1"/>
  <c r="J53" i="14"/>
  <c r="G53" i="14"/>
  <c r="F53" i="14"/>
  <c r="J52" i="14"/>
  <c r="L52" i="14" s="1"/>
  <c r="N52" i="14" s="1"/>
  <c r="F52" i="14"/>
  <c r="H52" i="14" s="1"/>
  <c r="J51" i="14"/>
  <c r="F51" i="14"/>
  <c r="J50" i="14"/>
  <c r="F50" i="14"/>
  <c r="J48" i="14"/>
  <c r="F48" i="14"/>
  <c r="J47" i="14"/>
  <c r="F47" i="14"/>
  <c r="L45" i="14"/>
  <c r="N45" i="14" s="1"/>
  <c r="H45" i="14"/>
  <c r="L43" i="14"/>
  <c r="N43" i="14" s="1"/>
  <c r="K43" i="14"/>
  <c r="G43" i="14"/>
  <c r="H43" i="14" s="1"/>
  <c r="O43" i="14" s="1"/>
  <c r="O42" i="14"/>
  <c r="K42" i="14"/>
  <c r="L42" i="14" s="1"/>
  <c r="N42" i="14" s="1"/>
  <c r="H42" i="14"/>
  <c r="G42" i="14"/>
  <c r="L41" i="14"/>
  <c r="N41" i="14" s="1"/>
  <c r="K41" i="14"/>
  <c r="G41" i="14"/>
  <c r="H41" i="14" s="1"/>
  <c r="O41" i="14" s="1"/>
  <c r="K40" i="14"/>
  <c r="L40" i="14" s="1"/>
  <c r="G40" i="14"/>
  <c r="F40" i="14"/>
  <c r="B40" i="14"/>
  <c r="K39" i="14"/>
  <c r="L39" i="14" s="1"/>
  <c r="N39" i="14" s="1"/>
  <c r="J39" i="14"/>
  <c r="G39" i="14"/>
  <c r="H39" i="14" s="1"/>
  <c r="O39" i="14" s="1"/>
  <c r="F39" i="14"/>
  <c r="B39" i="14"/>
  <c r="L37" i="14"/>
  <c r="N37" i="14" s="1"/>
  <c r="K37" i="14"/>
  <c r="G37" i="14"/>
  <c r="H37" i="14" s="1"/>
  <c r="O37" i="14" s="1"/>
  <c r="K36" i="14"/>
  <c r="L36" i="14" s="1"/>
  <c r="H36" i="14"/>
  <c r="O36" i="14" s="1"/>
  <c r="G36" i="14"/>
  <c r="L35" i="14"/>
  <c r="N35" i="14" s="1"/>
  <c r="K35" i="14"/>
  <c r="G35" i="14"/>
  <c r="H35" i="14" s="1"/>
  <c r="O35" i="14" s="1"/>
  <c r="K34" i="14"/>
  <c r="L34" i="14" s="1"/>
  <c r="H34" i="14"/>
  <c r="O34" i="14" s="1"/>
  <c r="G34" i="14"/>
  <c r="L33" i="14"/>
  <c r="N33" i="14" s="1"/>
  <c r="K33" i="14"/>
  <c r="J33" i="14"/>
  <c r="G33" i="14"/>
  <c r="H33" i="14" s="1"/>
  <c r="O33" i="14" s="1"/>
  <c r="F33" i="14"/>
  <c r="B33" i="14"/>
  <c r="K32" i="14"/>
  <c r="J32" i="14"/>
  <c r="H32" i="14"/>
  <c r="G32" i="14"/>
  <c r="F32" i="14"/>
  <c r="B32" i="14"/>
  <c r="K31" i="14"/>
  <c r="J31" i="14"/>
  <c r="G31" i="14"/>
  <c r="H31" i="14" s="1"/>
  <c r="F31" i="14"/>
  <c r="B31" i="14"/>
  <c r="K30" i="14"/>
  <c r="L30" i="14" s="1"/>
  <c r="J30" i="14"/>
  <c r="G30" i="14"/>
  <c r="F30" i="14"/>
  <c r="B30" i="14"/>
  <c r="L29" i="14"/>
  <c r="N29" i="14" s="1"/>
  <c r="K29" i="14"/>
  <c r="G29" i="14"/>
  <c r="H29" i="14" s="1"/>
  <c r="O29" i="14" s="1"/>
  <c r="K28" i="14"/>
  <c r="J28" i="14"/>
  <c r="G28" i="14"/>
  <c r="H28" i="14" s="1"/>
  <c r="F28" i="14"/>
  <c r="L27" i="14"/>
  <c r="H27" i="14"/>
  <c r="O27" i="14" s="1"/>
  <c r="L26" i="14"/>
  <c r="H26" i="14"/>
  <c r="O26" i="14" s="1"/>
  <c r="O25" i="14"/>
  <c r="L25" i="14"/>
  <c r="H25" i="14"/>
  <c r="O24" i="14"/>
  <c r="L24" i="14"/>
  <c r="N24" i="14" s="1"/>
  <c r="H24" i="14"/>
  <c r="L23" i="14"/>
  <c r="H23" i="14"/>
  <c r="O23" i="14" s="1"/>
  <c r="J22" i="14"/>
  <c r="L22" i="14" s="1"/>
  <c r="H22" i="14"/>
  <c r="F22" i="14"/>
  <c r="O1" i="14"/>
  <c r="J48" i="13"/>
  <c r="J47" i="13"/>
  <c r="F48" i="13"/>
  <c r="F47" i="13"/>
  <c r="J61" i="13"/>
  <c r="K44" i="13" s="1"/>
  <c r="L44" i="13" s="1"/>
  <c r="N44" i="13" s="1"/>
  <c r="F61" i="13"/>
  <c r="L54" i="13"/>
  <c r="K54" i="13"/>
  <c r="J54" i="13"/>
  <c r="G54" i="13"/>
  <c r="H54" i="13" s="1"/>
  <c r="F54" i="13"/>
  <c r="L53" i="13"/>
  <c r="N53" i="13" s="1"/>
  <c r="K53" i="13"/>
  <c r="J53" i="13"/>
  <c r="G53" i="13"/>
  <c r="H53" i="13" s="1"/>
  <c r="F53" i="13"/>
  <c r="L52" i="13"/>
  <c r="N52" i="13" s="1"/>
  <c r="J52" i="13"/>
  <c r="H52" i="13"/>
  <c r="F52" i="13"/>
  <c r="J51" i="13"/>
  <c r="F51" i="13"/>
  <c r="J50" i="13"/>
  <c r="G50" i="13"/>
  <c r="H50" i="13" s="1"/>
  <c r="F50" i="13"/>
  <c r="G47" i="13"/>
  <c r="N45" i="13"/>
  <c r="L45" i="13"/>
  <c r="H45" i="13"/>
  <c r="J44" i="13"/>
  <c r="H44" i="13"/>
  <c r="G44" i="13"/>
  <c r="F44" i="13"/>
  <c r="K43" i="13"/>
  <c r="L43" i="13" s="1"/>
  <c r="N43" i="13" s="1"/>
  <c r="G43" i="13"/>
  <c r="H43" i="13" s="1"/>
  <c r="O43" i="13" s="1"/>
  <c r="K42" i="13"/>
  <c r="L42" i="13" s="1"/>
  <c r="G42" i="13"/>
  <c r="H42" i="13" s="1"/>
  <c r="O42" i="13" s="1"/>
  <c r="K41" i="13"/>
  <c r="L41" i="13" s="1"/>
  <c r="N41" i="13" s="1"/>
  <c r="G41" i="13"/>
  <c r="H41" i="13" s="1"/>
  <c r="O41" i="13" s="1"/>
  <c r="K40" i="13"/>
  <c r="J40" i="13"/>
  <c r="G40" i="13"/>
  <c r="F40" i="13"/>
  <c r="H40" i="13" s="1"/>
  <c r="O40" i="13" s="1"/>
  <c r="B40" i="13"/>
  <c r="K39" i="13"/>
  <c r="J39" i="13"/>
  <c r="L39" i="13" s="1"/>
  <c r="N39" i="13" s="1"/>
  <c r="G39" i="13"/>
  <c r="H39" i="13" s="1"/>
  <c r="O39" i="13" s="1"/>
  <c r="F39" i="13"/>
  <c r="B39" i="13"/>
  <c r="K37" i="13"/>
  <c r="L37" i="13" s="1"/>
  <c r="G37" i="13"/>
  <c r="H37" i="13" s="1"/>
  <c r="O37" i="13" s="1"/>
  <c r="K36" i="13"/>
  <c r="L36" i="13" s="1"/>
  <c r="G36" i="13"/>
  <c r="H36" i="13" s="1"/>
  <c r="O36" i="13" s="1"/>
  <c r="K35" i="13"/>
  <c r="L35" i="13" s="1"/>
  <c r="G35" i="13"/>
  <c r="H35" i="13" s="1"/>
  <c r="O35" i="13" s="1"/>
  <c r="K34" i="13"/>
  <c r="L34" i="13" s="1"/>
  <c r="G34" i="13"/>
  <c r="H34" i="13" s="1"/>
  <c r="O34" i="13" s="1"/>
  <c r="K33" i="13"/>
  <c r="L33" i="13" s="1"/>
  <c r="N33" i="13" s="1"/>
  <c r="J33" i="13"/>
  <c r="H33" i="13"/>
  <c r="O33" i="13" s="1"/>
  <c r="G33" i="13"/>
  <c r="F33" i="13"/>
  <c r="B33" i="13"/>
  <c r="K32" i="13"/>
  <c r="J32" i="13"/>
  <c r="L32" i="13" s="1"/>
  <c r="N32" i="13" s="1"/>
  <c r="G32" i="13"/>
  <c r="H32" i="13" s="1"/>
  <c r="F32" i="13"/>
  <c r="B32" i="13"/>
  <c r="K31" i="13"/>
  <c r="L31" i="13" s="1"/>
  <c r="N31" i="13" s="1"/>
  <c r="J31" i="13"/>
  <c r="G31" i="13"/>
  <c r="F31" i="13"/>
  <c r="H31" i="13" s="1"/>
  <c r="B31" i="13"/>
  <c r="L30" i="13"/>
  <c r="K30" i="13"/>
  <c r="J30" i="13"/>
  <c r="G30" i="13"/>
  <c r="H30" i="13" s="1"/>
  <c r="O30" i="13" s="1"/>
  <c r="F30" i="13"/>
  <c r="B30" i="13"/>
  <c r="K29" i="13"/>
  <c r="L29" i="13" s="1"/>
  <c r="G29" i="13"/>
  <c r="H29" i="13" s="1"/>
  <c r="O29" i="13" s="1"/>
  <c r="K28" i="13"/>
  <c r="L28" i="13" s="1"/>
  <c r="J28" i="13"/>
  <c r="G28" i="13"/>
  <c r="F28" i="13"/>
  <c r="H28" i="13" s="1"/>
  <c r="L27" i="13"/>
  <c r="H27" i="13"/>
  <c r="O27" i="13" s="1"/>
  <c r="L26" i="13"/>
  <c r="H26" i="13"/>
  <c r="O26" i="13" s="1"/>
  <c r="L25" i="13"/>
  <c r="H25" i="13"/>
  <c r="O25" i="13" s="1"/>
  <c r="L24" i="13"/>
  <c r="H24" i="13"/>
  <c r="O24" i="13" s="1"/>
  <c r="L23" i="13"/>
  <c r="H23" i="13"/>
  <c r="O23" i="13" s="1"/>
  <c r="J22" i="13"/>
  <c r="L22" i="13" s="1"/>
  <c r="F22" i="13"/>
  <c r="H22" i="13" s="1"/>
  <c r="O1" i="13"/>
  <c r="J33" i="7"/>
  <c r="F33" i="7"/>
  <c r="B33" i="7"/>
  <c r="J40" i="7"/>
  <c r="F40" i="7"/>
  <c r="B40" i="7"/>
  <c r="J39" i="7"/>
  <c r="F39" i="7"/>
  <c r="B39" i="7"/>
  <c r="J30" i="7"/>
  <c r="F30" i="7"/>
  <c r="B30" i="7"/>
  <c r="J34" i="2"/>
  <c r="F34" i="2"/>
  <c r="B34" i="2"/>
  <c r="J31" i="2"/>
  <c r="F31" i="2"/>
  <c r="B31" i="2"/>
  <c r="F41" i="2"/>
  <c r="B41" i="2"/>
  <c r="J40" i="2"/>
  <c r="F40" i="2"/>
  <c r="B40" i="2"/>
  <c r="N48" i="18" l="1"/>
  <c r="O48" i="18" s="1"/>
  <c r="N33" i="18"/>
  <c r="O33" i="18" s="1"/>
  <c r="L40" i="13"/>
  <c r="N40" i="13" s="1"/>
  <c r="N32" i="18"/>
  <c r="O32" i="18" s="1"/>
  <c r="L39" i="18"/>
  <c r="L47" i="18" s="1"/>
  <c r="O54" i="18"/>
  <c r="N35" i="18"/>
  <c r="H39" i="18"/>
  <c r="H47" i="18" s="1"/>
  <c r="N55" i="18"/>
  <c r="O55" i="18" s="1"/>
  <c r="N45" i="18"/>
  <c r="O45" i="18" s="1"/>
  <c r="G52" i="18"/>
  <c r="H52" i="18" s="1"/>
  <c r="N52" i="18" s="1"/>
  <c r="G51" i="18"/>
  <c r="H51" i="18" s="1"/>
  <c r="H49" i="18"/>
  <c r="G49" i="17"/>
  <c r="H49" i="17" s="1"/>
  <c r="N29" i="17"/>
  <c r="N55" i="17"/>
  <c r="O55" i="17" s="1"/>
  <c r="N34" i="17"/>
  <c r="N45" i="17"/>
  <c r="O45" i="17" s="1"/>
  <c r="N40" i="17"/>
  <c r="N54" i="17"/>
  <c r="O54" i="17" s="1"/>
  <c r="N31" i="17"/>
  <c r="L39" i="17"/>
  <c r="L47" i="17" s="1"/>
  <c r="K49" i="17"/>
  <c r="L48" i="17"/>
  <c r="N48" i="17" s="1"/>
  <c r="O48" i="17" s="1"/>
  <c r="N33" i="17"/>
  <c r="O33" i="17" s="1"/>
  <c r="N32" i="17"/>
  <c r="O32" i="17" s="1"/>
  <c r="N41" i="17"/>
  <c r="G51" i="17"/>
  <c r="H51" i="17" s="1"/>
  <c r="O29" i="17"/>
  <c r="H39" i="17"/>
  <c r="N29" i="16"/>
  <c r="N43" i="16"/>
  <c r="O44" i="16"/>
  <c r="N44" i="16"/>
  <c r="N22" i="16"/>
  <c r="O22" i="16" s="1"/>
  <c r="N33" i="16"/>
  <c r="N23" i="16"/>
  <c r="N27" i="16"/>
  <c r="H31" i="16"/>
  <c r="H39" i="16"/>
  <c r="O39" i="16" s="1"/>
  <c r="N54" i="16"/>
  <c r="O54" i="16" s="1"/>
  <c r="G50" i="16"/>
  <c r="G47" i="16"/>
  <c r="N39" i="16"/>
  <c r="O52" i="16"/>
  <c r="N25" i="16"/>
  <c r="L40" i="16"/>
  <c r="N42" i="16"/>
  <c r="L32" i="16"/>
  <c r="N32" i="16" s="1"/>
  <c r="O32" i="16" s="1"/>
  <c r="N53" i="16"/>
  <c r="O53" i="16" s="1"/>
  <c r="N24" i="16"/>
  <c r="N26" i="16"/>
  <c r="H28" i="16"/>
  <c r="N28" i="16" s="1"/>
  <c r="L31" i="16"/>
  <c r="N34" i="16"/>
  <c r="N36" i="16"/>
  <c r="H40" i="16"/>
  <c r="O40" i="16" s="1"/>
  <c r="K47" i="16"/>
  <c r="K50" i="16"/>
  <c r="L44" i="14"/>
  <c r="O31" i="14"/>
  <c r="G50" i="14"/>
  <c r="G47" i="14"/>
  <c r="N23" i="14"/>
  <c r="N27" i="14"/>
  <c r="L32" i="14"/>
  <c r="N32" i="14" s="1"/>
  <c r="O32" i="14" s="1"/>
  <c r="N22" i="14"/>
  <c r="N26" i="14"/>
  <c r="L28" i="14"/>
  <c r="H30" i="14"/>
  <c r="O30" i="14" s="1"/>
  <c r="L31" i="14"/>
  <c r="N31" i="14" s="1"/>
  <c r="N34" i="14"/>
  <c r="N36" i="14"/>
  <c r="H40" i="14"/>
  <c r="O40" i="14" s="1"/>
  <c r="H53" i="14"/>
  <c r="H54" i="14"/>
  <c r="O22" i="14"/>
  <c r="N25" i="14"/>
  <c r="G44" i="14"/>
  <c r="H44" i="14" s="1"/>
  <c r="O52" i="14"/>
  <c r="K47" i="14"/>
  <c r="K50" i="14"/>
  <c r="H47" i="13"/>
  <c r="O22" i="13"/>
  <c r="H38" i="13"/>
  <c r="L38" i="13"/>
  <c r="N22" i="13"/>
  <c r="N29" i="13"/>
  <c r="O31" i="13"/>
  <c r="N34" i="13"/>
  <c r="N36" i="13"/>
  <c r="N42" i="13"/>
  <c r="N28" i="13"/>
  <c r="N30" i="13"/>
  <c r="O32" i="13"/>
  <c r="N35" i="13"/>
  <c r="N37" i="13"/>
  <c r="O44" i="13"/>
  <c r="O52" i="13"/>
  <c r="O53" i="13"/>
  <c r="N54" i="13"/>
  <c r="O54" i="13" s="1"/>
  <c r="O28" i="13"/>
  <c r="K47" i="13"/>
  <c r="K50" i="13"/>
  <c r="N23" i="13"/>
  <c r="N24" i="13"/>
  <c r="N25" i="13"/>
  <c r="N26" i="13"/>
  <c r="N27" i="13"/>
  <c r="G48" i="13"/>
  <c r="H48" i="13" s="1"/>
  <c r="G51" i="13"/>
  <c r="H51" i="13" s="1"/>
  <c r="N39" i="18" l="1"/>
  <c r="O39" i="18" s="1"/>
  <c r="L50" i="18"/>
  <c r="N47" i="18"/>
  <c r="O47" i="18" s="1"/>
  <c r="N49" i="18"/>
  <c r="O49" i="18" s="1"/>
  <c r="H57" i="18"/>
  <c r="N51" i="18"/>
  <c r="O51" i="18" s="1"/>
  <c r="H50" i="18"/>
  <c r="O52" i="18"/>
  <c r="G52" i="17"/>
  <c r="H52" i="17" s="1"/>
  <c r="L49" i="17"/>
  <c r="N49" i="17" s="1"/>
  <c r="O49" i="17" s="1"/>
  <c r="K51" i="17"/>
  <c r="L51" i="17" s="1"/>
  <c r="N51" i="17" s="1"/>
  <c r="K52" i="17"/>
  <c r="L52" i="17" s="1"/>
  <c r="H47" i="17"/>
  <c r="N39" i="17"/>
  <c r="O39" i="17" s="1"/>
  <c r="O51" i="17"/>
  <c r="H38" i="16"/>
  <c r="G48" i="16"/>
  <c r="H48" i="16" s="1"/>
  <c r="H47" i="16"/>
  <c r="L50" i="16"/>
  <c r="K51" i="16"/>
  <c r="L51" i="16" s="1"/>
  <c r="N40" i="16"/>
  <c r="G51" i="16"/>
  <c r="H51" i="16" s="1"/>
  <c r="H50" i="16"/>
  <c r="O28" i="16"/>
  <c r="L38" i="16"/>
  <c r="O31" i="16"/>
  <c r="L47" i="16"/>
  <c r="N47" i="16" s="1"/>
  <c r="K48" i="16"/>
  <c r="L48" i="16" s="1"/>
  <c r="N31" i="16"/>
  <c r="L50" i="14"/>
  <c r="K51" i="14"/>
  <c r="L51" i="14" s="1"/>
  <c r="G48" i="14"/>
  <c r="H48" i="14" s="1"/>
  <c r="H47" i="14"/>
  <c r="N40" i="14"/>
  <c r="L47" i="14"/>
  <c r="N47" i="14" s="1"/>
  <c r="K48" i="14"/>
  <c r="L48" i="14" s="1"/>
  <c r="N48" i="14" s="1"/>
  <c r="N28" i="14"/>
  <c r="O28" i="14" s="1"/>
  <c r="L38" i="14"/>
  <c r="G51" i="14"/>
  <c r="H51" i="14" s="1"/>
  <c r="H50" i="14"/>
  <c r="N30" i="14"/>
  <c r="N54" i="14"/>
  <c r="O54" i="14" s="1"/>
  <c r="H38" i="14"/>
  <c r="N53" i="14"/>
  <c r="O53" i="14" s="1"/>
  <c r="N44" i="14"/>
  <c r="O44" i="14" s="1"/>
  <c r="H46" i="13"/>
  <c r="L50" i="13"/>
  <c r="K51" i="13"/>
  <c r="L51" i="13" s="1"/>
  <c r="N51" i="13" s="1"/>
  <c r="O51" i="13" s="1"/>
  <c r="L47" i="13"/>
  <c r="N47" i="13" s="1"/>
  <c r="O47" i="13" s="1"/>
  <c r="K48" i="13"/>
  <c r="L48" i="13" s="1"/>
  <c r="N48" i="13" s="1"/>
  <c r="O48" i="13" s="1"/>
  <c r="L46" i="13"/>
  <c r="N38" i="13"/>
  <c r="O38" i="13" s="1"/>
  <c r="H58" i="18" l="1"/>
  <c r="N50" i="18"/>
  <c r="O50" i="18" s="1"/>
  <c r="L57" i="18"/>
  <c r="N52" i="17"/>
  <c r="O52" i="17" s="1"/>
  <c r="L50" i="17"/>
  <c r="H50" i="17"/>
  <c r="N47" i="17"/>
  <c r="O47" i="17" s="1"/>
  <c r="N48" i="16"/>
  <c r="N50" i="16"/>
  <c r="O50" i="16" s="1"/>
  <c r="O47" i="16"/>
  <c r="L46" i="16"/>
  <c r="N38" i="16"/>
  <c r="O38" i="16" s="1"/>
  <c r="O48" i="16"/>
  <c r="N51" i="16"/>
  <c r="O51" i="16" s="1"/>
  <c r="H46" i="16"/>
  <c r="N51" i="14"/>
  <c r="O51" i="14" s="1"/>
  <c r="H46" i="14"/>
  <c r="L46" i="14"/>
  <c r="N38" i="14"/>
  <c r="O38" i="14" s="1"/>
  <c r="N50" i="14"/>
  <c r="O47" i="14"/>
  <c r="O50" i="14"/>
  <c r="O48" i="14"/>
  <c r="N50" i="13"/>
  <c r="O50" i="13" s="1"/>
  <c r="N46" i="13"/>
  <c r="O46" i="13" s="1"/>
  <c r="L49" i="13"/>
  <c r="H49" i="13"/>
  <c r="J52" i="10"/>
  <c r="L52" i="10" s="1"/>
  <c r="F52" i="10"/>
  <c r="H52" i="10" s="1"/>
  <c r="J51" i="10"/>
  <c r="F51" i="10"/>
  <c r="J50" i="10"/>
  <c r="F50" i="10"/>
  <c r="J48" i="10"/>
  <c r="J47" i="10"/>
  <c r="F48" i="10"/>
  <c r="F47" i="10"/>
  <c r="K31" i="10"/>
  <c r="G31" i="10"/>
  <c r="J32" i="10"/>
  <c r="F32" i="10"/>
  <c r="K32" i="10"/>
  <c r="G32" i="10"/>
  <c r="J31" i="10"/>
  <c r="F31" i="10"/>
  <c r="K28" i="10"/>
  <c r="G28" i="10"/>
  <c r="J28" i="10"/>
  <c r="F28" i="10"/>
  <c r="J22" i="10"/>
  <c r="L22" i="10" s="1"/>
  <c r="F22" i="10"/>
  <c r="H22" i="10" s="1"/>
  <c r="J61" i="10"/>
  <c r="K44" i="10" s="1"/>
  <c r="F61" i="10"/>
  <c r="G50" i="10" s="1"/>
  <c r="K54" i="10"/>
  <c r="J54" i="10"/>
  <c r="G54" i="10"/>
  <c r="F54" i="10"/>
  <c r="K53" i="10"/>
  <c r="J53" i="10"/>
  <c r="G53" i="10"/>
  <c r="F53" i="10"/>
  <c r="N45" i="10"/>
  <c r="L45" i="10"/>
  <c r="H45" i="10"/>
  <c r="J44" i="10"/>
  <c r="F44" i="10"/>
  <c r="K43" i="10"/>
  <c r="L43" i="10" s="1"/>
  <c r="G43" i="10"/>
  <c r="H43" i="10" s="1"/>
  <c r="O43" i="10" s="1"/>
  <c r="K42" i="10"/>
  <c r="L42" i="10" s="1"/>
  <c r="N42" i="10" s="1"/>
  <c r="G42" i="10"/>
  <c r="H42" i="10" s="1"/>
  <c r="O42" i="10" s="1"/>
  <c r="K41" i="10"/>
  <c r="L41" i="10" s="1"/>
  <c r="G41" i="10"/>
  <c r="H41" i="10" s="1"/>
  <c r="O41" i="10" s="1"/>
  <c r="L40" i="10"/>
  <c r="H40" i="10"/>
  <c r="O40" i="10" s="1"/>
  <c r="L39" i="10"/>
  <c r="H39" i="10"/>
  <c r="O39" i="10" s="1"/>
  <c r="K37" i="10"/>
  <c r="L37" i="10" s="1"/>
  <c r="N37" i="10" s="1"/>
  <c r="G37" i="10"/>
  <c r="H37" i="10" s="1"/>
  <c r="O37" i="10" s="1"/>
  <c r="K36" i="10"/>
  <c r="L36" i="10" s="1"/>
  <c r="G36" i="10"/>
  <c r="H36" i="10" s="1"/>
  <c r="O36" i="10" s="1"/>
  <c r="K35" i="10"/>
  <c r="L35" i="10" s="1"/>
  <c r="N35" i="10" s="1"/>
  <c r="G35" i="10"/>
  <c r="H35" i="10" s="1"/>
  <c r="O35" i="10" s="1"/>
  <c r="K34" i="10"/>
  <c r="L34" i="10" s="1"/>
  <c r="G34" i="10"/>
  <c r="H34" i="10" s="1"/>
  <c r="O34" i="10" s="1"/>
  <c r="L33" i="10"/>
  <c r="H33" i="10"/>
  <c r="O33" i="10" s="1"/>
  <c r="B32" i="10"/>
  <c r="B31" i="10"/>
  <c r="L30" i="10"/>
  <c r="K30" i="10"/>
  <c r="G30" i="10"/>
  <c r="H30" i="10" s="1"/>
  <c r="O30" i="10" s="1"/>
  <c r="K29" i="10"/>
  <c r="L29" i="10" s="1"/>
  <c r="G29" i="10"/>
  <c r="H29" i="10" s="1"/>
  <c r="L27" i="10"/>
  <c r="H27" i="10"/>
  <c r="O27" i="10" s="1"/>
  <c r="L26" i="10"/>
  <c r="H26" i="10"/>
  <c r="O26" i="10" s="1"/>
  <c r="L25" i="10"/>
  <c r="H25" i="10"/>
  <c r="O25" i="10" s="1"/>
  <c r="L24" i="10"/>
  <c r="H24" i="10"/>
  <c r="O24" i="10" s="1"/>
  <c r="L23" i="10"/>
  <c r="H23" i="10"/>
  <c r="O23" i="10" s="1"/>
  <c r="O1" i="10"/>
  <c r="L58" i="18" l="1"/>
  <c r="N58" i="18" s="1"/>
  <c r="O58" i="18" s="1"/>
  <c r="N57" i="18"/>
  <c r="O57" i="18" s="1"/>
  <c r="H59" i="18"/>
  <c r="N50" i="17"/>
  <c r="O50" i="17" s="1"/>
  <c r="L57" i="17"/>
  <c r="L58" i="17" s="1"/>
  <c r="L59" i="17" s="1"/>
  <c r="H57" i="17"/>
  <c r="L49" i="16"/>
  <c r="N46" i="16"/>
  <c r="O46" i="16" s="1"/>
  <c r="H49" i="16"/>
  <c r="N33" i="10"/>
  <c r="N40" i="10"/>
  <c r="L49" i="14"/>
  <c r="N46" i="14"/>
  <c r="O46" i="14" s="1"/>
  <c r="H49" i="14"/>
  <c r="H56" i="13"/>
  <c r="N49" i="13"/>
  <c r="O49" i="13" s="1"/>
  <c r="L56" i="13"/>
  <c r="G47" i="10"/>
  <c r="H47" i="10" s="1"/>
  <c r="G44" i="10"/>
  <c r="H44" i="10" s="1"/>
  <c r="H53" i="10"/>
  <c r="H54" i="10"/>
  <c r="L53" i="10"/>
  <c r="L54" i="10"/>
  <c r="N52" i="10"/>
  <c r="O52" i="10" s="1"/>
  <c r="H50" i="10"/>
  <c r="L32" i="10"/>
  <c r="H32" i="10"/>
  <c r="L28" i="10"/>
  <c r="N34" i="10"/>
  <c r="N36" i="10"/>
  <c r="N39" i="10"/>
  <c r="N41" i="10"/>
  <c r="N43" i="10"/>
  <c r="N30" i="10"/>
  <c r="N22" i="10"/>
  <c r="O22" i="10" s="1"/>
  <c r="N29" i="10"/>
  <c r="O29" i="10"/>
  <c r="N24" i="10"/>
  <c r="N26" i="10"/>
  <c r="H28" i="10"/>
  <c r="L31" i="10"/>
  <c r="K50" i="10"/>
  <c r="N23" i="10"/>
  <c r="N25" i="10"/>
  <c r="N27" i="10"/>
  <c r="H31" i="10"/>
  <c r="K47" i="10"/>
  <c r="L44" i="10"/>
  <c r="G51" i="10"/>
  <c r="H51" i="10" s="1"/>
  <c r="K54" i="7"/>
  <c r="G54" i="7"/>
  <c r="J54" i="7"/>
  <c r="F54" i="7"/>
  <c r="J44" i="7"/>
  <c r="F44" i="7"/>
  <c r="J61" i="7"/>
  <c r="F61" i="7"/>
  <c r="G50" i="7" s="1"/>
  <c r="K53" i="7"/>
  <c r="J53" i="7"/>
  <c r="G53" i="7"/>
  <c r="F53" i="7"/>
  <c r="J52" i="7"/>
  <c r="L52" i="7" s="1"/>
  <c r="F52" i="7"/>
  <c r="H52" i="7" s="1"/>
  <c r="J51" i="7"/>
  <c r="F51" i="7"/>
  <c r="J50" i="7"/>
  <c r="F50" i="7"/>
  <c r="J48" i="7"/>
  <c r="F48" i="7"/>
  <c r="J47" i="7"/>
  <c r="F47" i="7"/>
  <c r="L45" i="7"/>
  <c r="H45" i="7"/>
  <c r="K43" i="7"/>
  <c r="L43" i="7" s="1"/>
  <c r="G43" i="7"/>
  <c r="H43" i="7" s="1"/>
  <c r="O43" i="7" s="1"/>
  <c r="K42" i="7"/>
  <c r="L42" i="7" s="1"/>
  <c r="G42" i="7"/>
  <c r="H42" i="7" s="1"/>
  <c r="O42" i="7" s="1"/>
  <c r="K41" i="7"/>
  <c r="L41" i="7" s="1"/>
  <c r="G41" i="7"/>
  <c r="H41" i="7" s="1"/>
  <c r="O41" i="7" s="1"/>
  <c r="K40" i="7"/>
  <c r="L40" i="7" s="1"/>
  <c r="G40" i="7"/>
  <c r="H40" i="7" s="1"/>
  <c r="O40" i="7" s="1"/>
  <c r="K39" i="7"/>
  <c r="L39" i="7" s="1"/>
  <c r="G39" i="7"/>
  <c r="H39" i="7" s="1"/>
  <c r="O39" i="7" s="1"/>
  <c r="K37" i="7"/>
  <c r="L37" i="7" s="1"/>
  <c r="G37" i="7"/>
  <c r="H37" i="7" s="1"/>
  <c r="O37" i="7" s="1"/>
  <c r="K36" i="7"/>
  <c r="L36" i="7" s="1"/>
  <c r="G36" i="7"/>
  <c r="H36" i="7" s="1"/>
  <c r="K35" i="7"/>
  <c r="L35" i="7" s="1"/>
  <c r="G35" i="7"/>
  <c r="H35" i="7" s="1"/>
  <c r="O35" i="7" s="1"/>
  <c r="K34" i="7"/>
  <c r="L34" i="7" s="1"/>
  <c r="G34" i="7"/>
  <c r="H34" i="7" s="1"/>
  <c r="K33" i="7"/>
  <c r="L33" i="7" s="1"/>
  <c r="G33" i="7"/>
  <c r="H33" i="7" s="1"/>
  <c r="O33" i="7" s="1"/>
  <c r="K32" i="7"/>
  <c r="J32" i="7"/>
  <c r="G32" i="7"/>
  <c r="F32" i="7"/>
  <c r="B32" i="7"/>
  <c r="K31" i="7"/>
  <c r="J31" i="7"/>
  <c r="G31" i="7"/>
  <c r="F31" i="7"/>
  <c r="B31" i="7"/>
  <c r="K30" i="7"/>
  <c r="L30" i="7" s="1"/>
  <c r="G30" i="7"/>
  <c r="H30" i="7" s="1"/>
  <c r="O30" i="7" s="1"/>
  <c r="K29" i="7"/>
  <c r="L29" i="7" s="1"/>
  <c r="G29" i="7"/>
  <c r="H29" i="7" s="1"/>
  <c r="O29" i="7" s="1"/>
  <c r="K28" i="7"/>
  <c r="J28" i="7"/>
  <c r="G28" i="7"/>
  <c r="F28" i="7"/>
  <c r="L27" i="7"/>
  <c r="H27" i="7"/>
  <c r="O27" i="7" s="1"/>
  <c r="L26" i="7"/>
  <c r="H26" i="7"/>
  <c r="O26" i="7" s="1"/>
  <c r="L25" i="7"/>
  <c r="H25" i="7"/>
  <c r="O25" i="7" s="1"/>
  <c r="L24" i="7"/>
  <c r="H24" i="7"/>
  <c r="O24" i="7" s="1"/>
  <c r="L23" i="7"/>
  <c r="H23" i="7"/>
  <c r="O23" i="7" s="1"/>
  <c r="J22" i="7"/>
  <c r="L22" i="7" s="1"/>
  <c r="F22" i="7"/>
  <c r="H22" i="7" s="1"/>
  <c r="O1" i="7"/>
  <c r="H60" i="18" l="1"/>
  <c r="L59" i="18"/>
  <c r="L60" i="17"/>
  <c r="H58" i="17"/>
  <c r="N58" i="17" s="1"/>
  <c r="N57" i="17"/>
  <c r="O57" i="17" s="1"/>
  <c r="N49" i="16"/>
  <c r="O49" i="16" s="1"/>
  <c r="L56" i="16"/>
  <c r="H56" i="16"/>
  <c r="N49" i="14"/>
  <c r="O49" i="14" s="1"/>
  <c r="L56" i="14"/>
  <c r="H56" i="14"/>
  <c r="N56" i="13"/>
  <c r="O56" i="13" s="1"/>
  <c r="L57" i="13"/>
  <c r="H57" i="13"/>
  <c r="G48" i="10"/>
  <c r="H48" i="10" s="1"/>
  <c r="N44" i="10"/>
  <c r="O44" i="10" s="1"/>
  <c r="N53" i="10"/>
  <c r="O53" i="10" s="1"/>
  <c r="H50" i="7"/>
  <c r="N54" i="10"/>
  <c r="O54" i="10" s="1"/>
  <c r="N28" i="10"/>
  <c r="O28" i="10" s="1"/>
  <c r="N32" i="10"/>
  <c r="O32" i="10" s="1"/>
  <c r="L47" i="10"/>
  <c r="N47" i="10" s="1"/>
  <c r="O47" i="10" s="1"/>
  <c r="K48" i="10"/>
  <c r="L48" i="10" s="1"/>
  <c r="N31" i="10"/>
  <c r="O31" i="10" s="1"/>
  <c r="L50" i="10"/>
  <c r="K51" i="10"/>
  <c r="L51" i="10" s="1"/>
  <c r="N51" i="10" s="1"/>
  <c r="O51" i="10" s="1"/>
  <c r="L38" i="10"/>
  <c r="H38" i="10"/>
  <c r="H32" i="7"/>
  <c r="L53" i="7"/>
  <c r="N45" i="7"/>
  <c r="N41" i="7"/>
  <c r="N39" i="7"/>
  <c r="N43" i="7"/>
  <c r="G44" i="7"/>
  <c r="H44" i="7" s="1"/>
  <c r="G47" i="7"/>
  <c r="G48" i="7" s="1"/>
  <c r="H48" i="7" s="1"/>
  <c r="N35" i="7"/>
  <c r="L31" i="7"/>
  <c r="N40" i="7"/>
  <c r="H53" i="7"/>
  <c r="N33" i="7"/>
  <c r="L28" i="7"/>
  <c r="N30" i="7"/>
  <c r="N24" i="7"/>
  <c r="N26" i="7"/>
  <c r="H28" i="7"/>
  <c r="N29" i="7"/>
  <c r="O36" i="7"/>
  <c r="N36" i="7"/>
  <c r="O34" i="7"/>
  <c r="N34" i="7"/>
  <c r="N42" i="7"/>
  <c r="N37" i="7"/>
  <c r="N22" i="7"/>
  <c r="O22" i="7" s="1"/>
  <c r="K44" i="7"/>
  <c r="L44" i="7" s="1"/>
  <c r="K50" i="7"/>
  <c r="K47" i="7"/>
  <c r="N23" i="7"/>
  <c r="N25" i="7"/>
  <c r="N27" i="7"/>
  <c r="H31" i="7"/>
  <c r="L54" i="7"/>
  <c r="H54" i="7"/>
  <c r="L32" i="7"/>
  <c r="N52" i="7"/>
  <c r="O52" i="7" s="1"/>
  <c r="G51" i="7"/>
  <c r="H51" i="7" s="1"/>
  <c r="L60" i="18" l="1"/>
  <c r="N60" i="18" s="1"/>
  <c r="O60" i="18" s="1"/>
  <c r="N59" i="18"/>
  <c r="O59" i="18" s="1"/>
  <c r="H61" i="18"/>
  <c r="O58" i="17"/>
  <c r="L61" i="17"/>
  <c r="H59" i="17"/>
  <c r="H57" i="16"/>
  <c r="N56" i="16"/>
  <c r="O56" i="16" s="1"/>
  <c r="L57" i="16"/>
  <c r="L58" i="16" s="1"/>
  <c r="N56" i="14"/>
  <c r="O56" i="14" s="1"/>
  <c r="L57" i="14"/>
  <c r="L58" i="14" s="1"/>
  <c r="H57" i="14"/>
  <c r="H58" i="13"/>
  <c r="N57" i="13"/>
  <c r="O57" i="13" s="1"/>
  <c r="L58" i="13"/>
  <c r="N48" i="10"/>
  <c r="O48" i="10" s="1"/>
  <c r="N53" i="7"/>
  <c r="O53" i="7" s="1"/>
  <c r="H46" i="10"/>
  <c r="N50" i="10"/>
  <c r="O50" i="10" s="1"/>
  <c r="L46" i="10"/>
  <c r="N38" i="10"/>
  <c r="O38" i="10" s="1"/>
  <c r="N32" i="7"/>
  <c r="O32" i="7" s="1"/>
  <c r="H47" i="7"/>
  <c r="N44" i="7"/>
  <c r="O44" i="7" s="1"/>
  <c r="N54" i="7"/>
  <c r="O54" i="7" s="1"/>
  <c r="N28" i="7"/>
  <c r="O28" i="7" s="1"/>
  <c r="H38" i="7"/>
  <c r="H46" i="7" s="1"/>
  <c r="L47" i="7"/>
  <c r="K48" i="7"/>
  <c r="L48" i="7" s="1"/>
  <c r="N48" i="7" s="1"/>
  <c r="O48" i="7" s="1"/>
  <c r="L38" i="7"/>
  <c r="K51" i="7"/>
  <c r="L51" i="7" s="1"/>
  <c r="N51" i="7" s="1"/>
  <c r="O51" i="7" s="1"/>
  <c r="L50" i="7"/>
  <c r="N31" i="7"/>
  <c r="O31" i="7" s="1"/>
  <c r="L61" i="18" l="1"/>
  <c r="N61" i="18" s="1"/>
  <c r="O61" i="18" s="1"/>
  <c r="H60" i="17"/>
  <c r="N59" i="17"/>
  <c r="O59" i="17" s="1"/>
  <c r="N57" i="16"/>
  <c r="O57" i="16" s="1"/>
  <c r="H58" i="16"/>
  <c r="H58" i="14"/>
  <c r="N58" i="14" s="1"/>
  <c r="N57" i="14"/>
  <c r="O57" i="14" s="1"/>
  <c r="N58" i="13"/>
  <c r="O58" i="13" s="1"/>
  <c r="H49" i="10"/>
  <c r="N46" i="10"/>
  <c r="O46" i="10" s="1"/>
  <c r="L49" i="10"/>
  <c r="N47" i="7"/>
  <c r="O47" i="7" s="1"/>
  <c r="N50" i="7"/>
  <c r="O50" i="7" s="1"/>
  <c r="L46" i="7"/>
  <c r="N38" i="7"/>
  <c r="O38" i="7" s="1"/>
  <c r="H49" i="7"/>
  <c r="N60" i="17" l="1"/>
  <c r="O60" i="17" s="1"/>
  <c r="H61" i="17"/>
  <c r="N58" i="16"/>
  <c r="O58" i="16" s="1"/>
  <c r="O58" i="14"/>
  <c r="H56" i="10"/>
  <c r="N49" i="10"/>
  <c r="O49" i="10" s="1"/>
  <c r="L56" i="10"/>
  <c r="H56" i="7"/>
  <c r="N46" i="7"/>
  <c r="O46" i="7" s="1"/>
  <c r="L49" i="7"/>
  <c r="N61" i="17" l="1"/>
  <c r="O61" i="17" s="1"/>
  <c r="H57" i="10"/>
  <c r="N56" i="10"/>
  <c r="O56" i="10" s="1"/>
  <c r="L57" i="10"/>
  <c r="N49" i="7"/>
  <c r="O49" i="7" s="1"/>
  <c r="L56" i="7"/>
  <c r="H57" i="7"/>
  <c r="N57" i="10" l="1"/>
  <c r="O57" i="10" s="1"/>
  <c r="L58" i="10"/>
  <c r="H58" i="10"/>
  <c r="N56" i="7"/>
  <c r="O56" i="7" s="1"/>
  <c r="L57" i="7"/>
  <c r="N57" i="7" s="1"/>
  <c r="O57" i="7" s="1"/>
  <c r="H58" i="7"/>
  <c r="N58" i="10" l="1"/>
  <c r="O58" i="10" s="1"/>
  <c r="L58" i="7"/>
  <c r="N58" i="7" l="1"/>
  <c r="O58" i="7" s="1"/>
  <c r="J53" i="4" l="1"/>
  <c r="L53" i="4" s="1"/>
  <c r="F53" i="4"/>
  <c r="H53" i="4" s="1"/>
  <c r="J52" i="4"/>
  <c r="J51" i="4"/>
  <c r="F52" i="4"/>
  <c r="F51" i="4"/>
  <c r="J49" i="4"/>
  <c r="J48" i="4"/>
  <c r="F48" i="4"/>
  <c r="F49" i="4"/>
  <c r="J46" i="4"/>
  <c r="L46" i="4" s="1"/>
  <c r="F46" i="4"/>
  <c r="H46" i="4" s="1"/>
  <c r="J34" i="4"/>
  <c r="F34" i="4"/>
  <c r="B34" i="4"/>
  <c r="J33" i="4"/>
  <c r="F33" i="4"/>
  <c r="J32" i="4"/>
  <c r="F32" i="4"/>
  <c r="J29" i="4"/>
  <c r="F29" i="4"/>
  <c r="J26" i="4"/>
  <c r="L26" i="4" s="1"/>
  <c r="F26" i="4"/>
  <c r="H26" i="4" s="1"/>
  <c r="J25" i="4"/>
  <c r="L25" i="4" s="1"/>
  <c r="F25" i="4"/>
  <c r="H25" i="4" s="1"/>
  <c r="B26" i="4"/>
  <c r="B25" i="4"/>
  <c r="J23" i="4"/>
  <c r="L23" i="4" s="1"/>
  <c r="F23" i="4"/>
  <c r="H23" i="4" s="1"/>
  <c r="J74" i="4"/>
  <c r="K48" i="4" s="1"/>
  <c r="F74" i="4"/>
  <c r="G48" i="4" s="1"/>
  <c r="J59" i="4"/>
  <c r="G59" i="4"/>
  <c r="K59" i="4" s="1"/>
  <c r="F59" i="4"/>
  <c r="J58" i="4"/>
  <c r="G58" i="4"/>
  <c r="K58" i="4" s="1"/>
  <c r="F58" i="4"/>
  <c r="J57" i="4"/>
  <c r="G57" i="4"/>
  <c r="K57" i="4" s="1"/>
  <c r="F57" i="4"/>
  <c r="J56" i="4"/>
  <c r="G56" i="4"/>
  <c r="K56" i="4" s="1"/>
  <c r="F56" i="4"/>
  <c r="J55" i="4"/>
  <c r="G55" i="4"/>
  <c r="K55" i="4" s="1"/>
  <c r="F55" i="4"/>
  <c r="K54" i="4"/>
  <c r="J54" i="4"/>
  <c r="L54" i="4" s="1"/>
  <c r="G54" i="4"/>
  <c r="F54" i="4"/>
  <c r="K44" i="4"/>
  <c r="L44" i="4" s="1"/>
  <c r="G44" i="4"/>
  <c r="H44" i="4" s="1"/>
  <c r="O44" i="4" s="1"/>
  <c r="K43" i="4"/>
  <c r="L43" i="4" s="1"/>
  <c r="G43" i="4"/>
  <c r="H43" i="4" s="1"/>
  <c r="O43" i="4" s="1"/>
  <c r="K42" i="4"/>
  <c r="L42" i="4" s="1"/>
  <c r="G42" i="4"/>
  <c r="H42" i="4" s="1"/>
  <c r="O42" i="4" s="1"/>
  <c r="K41" i="4"/>
  <c r="L41" i="4" s="1"/>
  <c r="G41" i="4"/>
  <c r="H41" i="4" s="1"/>
  <c r="O41" i="4" s="1"/>
  <c r="K40" i="4"/>
  <c r="L40" i="4" s="1"/>
  <c r="G40" i="4"/>
  <c r="H40" i="4" s="1"/>
  <c r="O40" i="4" s="1"/>
  <c r="K38" i="4"/>
  <c r="L38" i="4" s="1"/>
  <c r="G38" i="4"/>
  <c r="H38" i="4" s="1"/>
  <c r="O38" i="4" s="1"/>
  <c r="K37" i="4"/>
  <c r="L37" i="4" s="1"/>
  <c r="G37" i="4"/>
  <c r="H37" i="4" s="1"/>
  <c r="O37" i="4" s="1"/>
  <c r="K36" i="4"/>
  <c r="L36" i="4" s="1"/>
  <c r="G36" i="4"/>
  <c r="H36" i="4" s="1"/>
  <c r="O36" i="4" s="1"/>
  <c r="K35" i="4"/>
  <c r="L35" i="4" s="1"/>
  <c r="G35" i="4"/>
  <c r="H35" i="4" s="1"/>
  <c r="O35" i="4" s="1"/>
  <c r="K34" i="4"/>
  <c r="G34" i="4"/>
  <c r="K33" i="4"/>
  <c r="G33" i="4"/>
  <c r="B33" i="4"/>
  <c r="K32" i="4"/>
  <c r="G32" i="4"/>
  <c r="B32" i="4"/>
  <c r="K31" i="4"/>
  <c r="L31" i="4" s="1"/>
  <c r="G31" i="4"/>
  <c r="H31" i="4" s="1"/>
  <c r="O31" i="4" s="1"/>
  <c r="K30" i="4"/>
  <c r="L30" i="4" s="1"/>
  <c r="G30" i="4"/>
  <c r="H30" i="4" s="1"/>
  <c r="O30" i="4" s="1"/>
  <c r="K29" i="4"/>
  <c r="G29" i="4"/>
  <c r="L28" i="4"/>
  <c r="H28" i="4"/>
  <c r="O28" i="4" s="1"/>
  <c r="L27" i="4"/>
  <c r="H27" i="4"/>
  <c r="O27" i="4" s="1"/>
  <c r="L24" i="4"/>
  <c r="H24" i="4"/>
  <c r="O24" i="4" s="1"/>
  <c r="O1" i="4"/>
  <c r="J57" i="2"/>
  <c r="F57" i="2"/>
  <c r="N41" i="4" l="1"/>
  <c r="L55" i="4"/>
  <c r="L59" i="4"/>
  <c r="H29" i="4"/>
  <c r="H33" i="4"/>
  <c r="N43" i="4"/>
  <c r="L32" i="4"/>
  <c r="H34" i="4"/>
  <c r="K45" i="4"/>
  <c r="L57" i="4"/>
  <c r="F45" i="4"/>
  <c r="J45" i="4"/>
  <c r="L34" i="4"/>
  <c r="H48" i="4"/>
  <c r="N53" i="4"/>
  <c r="O53" i="4" s="1"/>
  <c r="N25" i="4"/>
  <c r="O25" i="4" s="1"/>
  <c r="N31" i="4"/>
  <c r="N36" i="4"/>
  <c r="N38" i="4"/>
  <c r="H54" i="4"/>
  <c r="N54" i="4" s="1"/>
  <c r="O54" i="4" s="1"/>
  <c r="L56" i="4"/>
  <c r="N28" i="4"/>
  <c r="G45" i="4"/>
  <c r="N24" i="4"/>
  <c r="N30" i="4"/>
  <c r="L58" i="4"/>
  <c r="L33" i="4"/>
  <c r="H32" i="4"/>
  <c r="L29" i="4"/>
  <c r="N40" i="4"/>
  <c r="N46" i="4"/>
  <c r="N23" i="4"/>
  <c r="O23" i="4" s="1"/>
  <c r="N27" i="4"/>
  <c r="N35" i="4"/>
  <c r="N42" i="4"/>
  <c r="N26" i="4"/>
  <c r="O26" i="4" s="1"/>
  <c r="N37" i="4"/>
  <c r="N44" i="4"/>
  <c r="L48" i="4"/>
  <c r="K49" i="4"/>
  <c r="H55" i="4"/>
  <c r="H56" i="4"/>
  <c r="H57" i="4"/>
  <c r="H58" i="4"/>
  <c r="H59" i="4"/>
  <c r="G49" i="4"/>
  <c r="F55" i="2"/>
  <c r="F56" i="2"/>
  <c r="F58" i="2"/>
  <c r="F59" i="2"/>
  <c r="J55" i="2"/>
  <c r="J56" i="2"/>
  <c r="J58" i="2"/>
  <c r="J59" i="2"/>
  <c r="J54" i="2"/>
  <c r="F54" i="2"/>
  <c r="J53" i="2"/>
  <c r="F53" i="2"/>
  <c r="J52" i="2"/>
  <c r="F52" i="2"/>
  <c r="J51" i="2"/>
  <c r="F51" i="2"/>
  <c r="J49" i="2"/>
  <c r="J48" i="2"/>
  <c r="F49" i="2"/>
  <c r="F48" i="2"/>
  <c r="J74" i="2"/>
  <c r="F74" i="2"/>
  <c r="J33" i="2"/>
  <c r="F33" i="2"/>
  <c r="B33" i="2"/>
  <c r="J29" i="2"/>
  <c r="F29" i="2"/>
  <c r="J23" i="2"/>
  <c r="F23" i="2"/>
  <c r="J32" i="2"/>
  <c r="F32" i="2"/>
  <c r="B32" i="2"/>
  <c r="J46" i="2"/>
  <c r="F46" i="2"/>
  <c r="N29" i="4" l="1"/>
  <c r="O29" i="4" s="1"/>
  <c r="N55" i="4"/>
  <c r="O55" i="4" s="1"/>
  <c r="N33" i="4"/>
  <c r="O33" i="4" s="1"/>
  <c r="N32" i="4"/>
  <c r="O32" i="4" s="1"/>
  <c r="N34" i="4"/>
  <c r="O34" i="4" s="1"/>
  <c r="H45" i="4"/>
  <c r="N48" i="4"/>
  <c r="O48" i="4" s="1"/>
  <c r="L45" i="4"/>
  <c r="H39" i="4"/>
  <c r="L39" i="4"/>
  <c r="L49" i="4"/>
  <c r="K52" i="4"/>
  <c r="L52" i="4" s="1"/>
  <c r="K51" i="4"/>
  <c r="L51" i="4" s="1"/>
  <c r="N57" i="4"/>
  <c r="O57" i="4" s="1"/>
  <c r="N58" i="4"/>
  <c r="O58" i="4" s="1"/>
  <c r="H49" i="4"/>
  <c r="G52" i="4"/>
  <c r="H52" i="4" s="1"/>
  <c r="G51" i="4"/>
  <c r="H51" i="4" s="1"/>
  <c r="N56" i="4"/>
  <c r="O56" i="4" s="1"/>
  <c r="N59" i="4"/>
  <c r="O59" i="4" s="1"/>
  <c r="G59" i="2"/>
  <c r="K59" i="2" s="1"/>
  <c r="L59" i="2" s="1"/>
  <c r="G58" i="2"/>
  <c r="K58" i="2" s="1"/>
  <c r="L58" i="2" s="1"/>
  <c r="G57" i="2"/>
  <c r="K57" i="2" s="1"/>
  <c r="L57" i="2" s="1"/>
  <c r="G56" i="2"/>
  <c r="K56" i="2" s="1"/>
  <c r="L56" i="2" s="1"/>
  <c r="G55" i="2"/>
  <c r="K55" i="2" s="1"/>
  <c r="L55" i="2" s="1"/>
  <c r="K54" i="2"/>
  <c r="L54" i="2" s="1"/>
  <c r="G54" i="2"/>
  <c r="H54" i="2" s="1"/>
  <c r="L53" i="2"/>
  <c r="H53" i="2"/>
  <c r="K48" i="2"/>
  <c r="K49" i="2" s="1"/>
  <c r="G48" i="2"/>
  <c r="G49" i="2" s="1"/>
  <c r="L46" i="2"/>
  <c r="H46" i="2"/>
  <c r="K45" i="2"/>
  <c r="J45" i="2"/>
  <c r="G45" i="2"/>
  <c r="F45" i="2"/>
  <c r="K44" i="2"/>
  <c r="L44" i="2" s="1"/>
  <c r="G44" i="2"/>
  <c r="H44" i="2" s="1"/>
  <c r="O44" i="2" s="1"/>
  <c r="K43" i="2"/>
  <c r="L43" i="2" s="1"/>
  <c r="G43" i="2"/>
  <c r="H43" i="2" s="1"/>
  <c r="O43" i="2" s="1"/>
  <c r="K42" i="2"/>
  <c r="L42" i="2" s="1"/>
  <c r="G42" i="2"/>
  <c r="H42" i="2" s="1"/>
  <c r="O42" i="2" s="1"/>
  <c r="K41" i="2"/>
  <c r="L41" i="2" s="1"/>
  <c r="G41" i="2"/>
  <c r="H41" i="2" s="1"/>
  <c r="O41" i="2" s="1"/>
  <c r="K40" i="2"/>
  <c r="L40" i="2" s="1"/>
  <c r="G40" i="2"/>
  <c r="H40" i="2" s="1"/>
  <c r="O40" i="2" s="1"/>
  <c r="K38" i="2"/>
  <c r="L38" i="2" s="1"/>
  <c r="G38" i="2"/>
  <c r="H38" i="2" s="1"/>
  <c r="O38" i="2" s="1"/>
  <c r="K37" i="2"/>
  <c r="L37" i="2" s="1"/>
  <c r="G37" i="2"/>
  <c r="H37" i="2" s="1"/>
  <c r="O37" i="2" s="1"/>
  <c r="K36" i="2"/>
  <c r="L36" i="2" s="1"/>
  <c r="G36" i="2"/>
  <c r="H36" i="2" s="1"/>
  <c r="O36" i="2" s="1"/>
  <c r="K35" i="2"/>
  <c r="L35" i="2" s="1"/>
  <c r="G35" i="2"/>
  <c r="H35" i="2" s="1"/>
  <c r="O35" i="2" s="1"/>
  <c r="K34" i="2"/>
  <c r="L34" i="2" s="1"/>
  <c r="G34" i="2"/>
  <c r="H34" i="2" s="1"/>
  <c r="O34" i="2" s="1"/>
  <c r="K33" i="2"/>
  <c r="L33" i="2" s="1"/>
  <c r="G33" i="2"/>
  <c r="H33" i="2" s="1"/>
  <c r="K32" i="2"/>
  <c r="L32" i="2" s="1"/>
  <c r="G32" i="2"/>
  <c r="H32" i="2" s="1"/>
  <c r="K31" i="2"/>
  <c r="L31" i="2" s="1"/>
  <c r="G31" i="2"/>
  <c r="H31" i="2" s="1"/>
  <c r="O31" i="2" s="1"/>
  <c r="K30" i="2"/>
  <c r="L30" i="2" s="1"/>
  <c r="G30" i="2"/>
  <c r="H30" i="2" s="1"/>
  <c r="O30" i="2" s="1"/>
  <c r="K29" i="2"/>
  <c r="L29" i="2" s="1"/>
  <c r="G29" i="2"/>
  <c r="H29" i="2" s="1"/>
  <c r="L28" i="2"/>
  <c r="N28" i="2" s="1"/>
  <c r="H28" i="2"/>
  <c r="O28" i="2" s="1"/>
  <c r="L27" i="2"/>
  <c r="H27" i="2"/>
  <c r="O27" i="2" s="1"/>
  <c r="N26" i="2"/>
  <c r="L26" i="2"/>
  <c r="H26" i="2"/>
  <c r="O26" i="2" s="1"/>
  <c r="L25" i="2"/>
  <c r="N25" i="2" s="1"/>
  <c r="H25" i="2"/>
  <c r="O25" i="2" s="1"/>
  <c r="L24" i="2"/>
  <c r="N24" i="2" s="1"/>
  <c r="H24" i="2"/>
  <c r="O24" i="2" s="1"/>
  <c r="L23" i="2"/>
  <c r="H23" i="2"/>
  <c r="O1" i="2"/>
  <c r="N45" i="4" l="1"/>
  <c r="O45" i="4" s="1"/>
  <c r="N34" i="2"/>
  <c r="N36" i="2"/>
  <c r="N38" i="2"/>
  <c r="N43" i="2"/>
  <c r="N27" i="2"/>
  <c r="H47" i="4"/>
  <c r="N23" i="2"/>
  <c r="O23" i="2" s="1"/>
  <c r="L47" i="4"/>
  <c r="L50" i="4" s="1"/>
  <c r="L61" i="4" s="1"/>
  <c r="N53" i="2"/>
  <c r="O53" i="2" s="1"/>
  <c r="N49" i="4"/>
  <c r="O49" i="4" s="1"/>
  <c r="N39" i="4"/>
  <c r="O39" i="4" s="1"/>
  <c r="N51" i="4"/>
  <c r="O51" i="4" s="1"/>
  <c r="N52" i="4"/>
  <c r="O52" i="4" s="1"/>
  <c r="H57" i="2"/>
  <c r="N57" i="2" s="1"/>
  <c r="O57" i="2" s="1"/>
  <c r="H59" i="2"/>
  <c r="N59" i="2" s="1"/>
  <c r="O59" i="2" s="1"/>
  <c r="N32" i="2"/>
  <c r="O32" i="2" s="1"/>
  <c r="L48" i="2"/>
  <c r="N30" i="2"/>
  <c r="N41" i="2"/>
  <c r="N35" i="2"/>
  <c r="H55" i="2"/>
  <c r="N55" i="2" s="1"/>
  <c r="H56" i="2"/>
  <c r="N56" i="2" s="1"/>
  <c r="H58" i="2"/>
  <c r="N58" i="2" s="1"/>
  <c r="N42" i="2"/>
  <c r="H48" i="2"/>
  <c r="H45" i="2"/>
  <c r="N54" i="2"/>
  <c r="O54" i="2" s="1"/>
  <c r="N46" i="2"/>
  <c r="L45" i="2"/>
  <c r="G52" i="2"/>
  <c r="H52" i="2" s="1"/>
  <c r="G51" i="2"/>
  <c r="H51" i="2" s="1"/>
  <c r="H49" i="2"/>
  <c r="N29" i="2"/>
  <c r="O29" i="2" s="1"/>
  <c r="N37" i="2"/>
  <c r="N31" i="2"/>
  <c r="K51" i="2"/>
  <c r="L51" i="2" s="1"/>
  <c r="L49" i="2"/>
  <c r="K52" i="2"/>
  <c r="L52" i="2" s="1"/>
  <c r="N52" i="2" s="1"/>
  <c r="L39" i="2"/>
  <c r="N33" i="2"/>
  <c r="O33" i="2" s="1"/>
  <c r="N40" i="2"/>
  <c r="N44" i="2"/>
  <c r="H39" i="2"/>
  <c r="N47" i="4" l="1"/>
  <c r="O47" i="4" s="1"/>
  <c r="H50" i="4"/>
  <c r="H61" i="4" s="1"/>
  <c r="H62" i="4" s="1"/>
  <c r="L62" i="4"/>
  <c r="L67" i="4"/>
  <c r="O52" i="2"/>
  <c r="N48" i="2"/>
  <c r="O48" i="2" s="1"/>
  <c r="N45" i="2"/>
  <c r="O45" i="2" s="1"/>
  <c r="O58" i="2"/>
  <c r="O56" i="2"/>
  <c r="O55" i="2"/>
  <c r="N51" i="2"/>
  <c r="O51" i="2" s="1"/>
  <c r="L47" i="2"/>
  <c r="N39" i="2"/>
  <c r="O39" i="2" s="1"/>
  <c r="H47" i="2"/>
  <c r="N49" i="2"/>
  <c r="O49" i="2" s="1"/>
  <c r="H67" i="4" l="1"/>
  <c r="N67" i="4" s="1"/>
  <c r="O67" i="4" s="1"/>
  <c r="N61" i="4"/>
  <c r="O61" i="4" s="1"/>
  <c r="N50" i="4"/>
  <c r="O50" i="4" s="1"/>
  <c r="N62" i="4"/>
  <c r="O62" i="4" s="1"/>
  <c r="H63" i="4"/>
  <c r="L63" i="4"/>
  <c r="L68" i="4"/>
  <c r="H50" i="2"/>
  <c r="N47" i="2"/>
  <c r="O47" i="2" s="1"/>
  <c r="L50" i="2"/>
  <c r="H68" i="4" l="1"/>
  <c r="H69" i="4" s="1"/>
  <c r="H70" i="4" s="1"/>
  <c r="N63" i="4"/>
  <c r="O63" i="4" s="1"/>
  <c r="L64" i="4"/>
  <c r="H64" i="4"/>
  <c r="H65" i="4" s="1"/>
  <c r="L69" i="4"/>
  <c r="N50" i="2"/>
  <c r="O50" i="2" s="1"/>
  <c r="L67" i="2"/>
  <c r="L61" i="2"/>
  <c r="H67" i="2"/>
  <c r="H61" i="2"/>
  <c r="N68" i="4" l="1"/>
  <c r="O68" i="4" s="1"/>
  <c r="N64" i="4"/>
  <c r="O64" i="4" s="1"/>
  <c r="N69" i="4"/>
  <c r="O69" i="4" s="1"/>
  <c r="L70" i="4"/>
  <c r="N70" i="4" s="1"/>
  <c r="O70" i="4" s="1"/>
  <c r="L65" i="4"/>
  <c r="N65" i="4" s="1"/>
  <c r="O65" i="4" s="1"/>
  <c r="H71" i="4"/>
  <c r="N61" i="2"/>
  <c r="O61" i="2" s="1"/>
  <c r="L62" i="2"/>
  <c r="N67" i="2"/>
  <c r="O67" i="2" s="1"/>
  <c r="L68" i="2"/>
  <c r="H68" i="2"/>
  <c r="H69" i="2" s="1"/>
  <c r="H62" i="2"/>
  <c r="L71" i="4" l="1"/>
  <c r="N71" i="4" s="1"/>
  <c r="O71" i="4" s="1"/>
  <c r="N68" i="2"/>
  <c r="O68" i="2" s="1"/>
  <c r="N62" i="2"/>
  <c r="O62" i="2" s="1"/>
  <c r="L63" i="2"/>
  <c r="H70" i="2"/>
  <c r="H63" i="2"/>
  <c r="L69" i="2"/>
  <c r="N63" i="2" l="1"/>
  <c r="O63" i="2" s="1"/>
  <c r="L64" i="2"/>
  <c r="N69" i="2"/>
  <c r="O69" i="2" s="1"/>
  <c r="L70" i="2"/>
  <c r="N70" i="2" s="1"/>
  <c r="O70" i="2" s="1"/>
  <c r="H64" i="2"/>
  <c r="H65" i="2" s="1"/>
  <c r="H71" i="2"/>
  <c r="N64" i="2" l="1"/>
  <c r="O64" i="2" s="1"/>
  <c r="L65" i="2"/>
  <c r="N65" i="2" s="1"/>
  <c r="O65" i="2" s="1"/>
  <c r="L71" i="2"/>
  <c r="N71" i="2" s="1"/>
  <c r="O71" i="2" s="1"/>
</calcChain>
</file>

<file path=xl/comments1.xml><?xml version="1.0" encoding="utf-8"?>
<comments xmlns="http://schemas.openxmlformats.org/spreadsheetml/2006/main">
  <authors>
    <author>Marc Abramovitz</author>
  </authors>
  <commentLis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2.xml><?xml version="1.0" encoding="utf-8"?>
<comments xmlns="http://schemas.openxmlformats.org/spreadsheetml/2006/main">
  <authors>
    <author>Marc Abramovitz</author>
  </authors>
  <commentLis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3.xml><?xml version="1.0" encoding="utf-8"?>
<comments xmlns="http://schemas.openxmlformats.org/spreadsheetml/2006/main">
  <authors>
    <author>Marc Abramovitz</author>
  </authors>
  <commentLis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4.xml><?xml version="1.0" encoding="utf-8"?>
<comments xmlns="http://schemas.openxmlformats.org/spreadsheetml/2006/main">
  <authors>
    <author>Marc Abramovitz</author>
  </authors>
  <commentLis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5.xml><?xml version="1.0" encoding="utf-8"?>
<comments xmlns="http://schemas.openxmlformats.org/spreadsheetml/2006/main">
  <authors>
    <author>Marc Abramovitz</author>
  </authors>
  <commentLis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6.xml><?xml version="1.0" encoding="utf-8"?>
<comments xmlns="http://schemas.openxmlformats.org/spreadsheetml/2006/main">
  <authors>
    <author>Marc Abramovitz</author>
  </authors>
  <commentLis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7.xml><?xml version="1.0" encoding="utf-8"?>
<comments xmlns="http://schemas.openxmlformats.org/spreadsheetml/2006/main">
  <authors>
    <author>Marc Abramovitz</author>
  </authors>
  <commentLis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8.xml><?xml version="1.0" encoding="utf-8"?>
<comments xmlns="http://schemas.openxmlformats.org/spreadsheetml/2006/main">
  <authors>
    <author>Marc Abramovitz</author>
  </authors>
  <commentLis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9.xml><?xml version="1.0" encoding="utf-8"?>
<comments xmlns="http://schemas.openxmlformats.org/spreadsheetml/2006/main">
  <authors>
    <author>Marc Abramovitz</author>
  </authors>
  <commentLis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sharedStrings.xml><?xml version="1.0" encoding="utf-8"?>
<sst xmlns="http://schemas.openxmlformats.org/spreadsheetml/2006/main" count="818" uniqueCount="113">
  <si>
    <t>File Number:</t>
  </si>
  <si>
    <t>Exhibit:</t>
  </si>
  <si>
    <t>Tab:</t>
  </si>
  <si>
    <t>Schedule:</t>
  </si>
  <si>
    <t>Page:</t>
  </si>
  <si>
    <t>Date:</t>
  </si>
  <si>
    <t>Appendix 2-W</t>
  </si>
  <si>
    <t>Bill Impacts</t>
  </si>
  <si>
    <t>Customer Class:</t>
  </si>
  <si>
    <t>TOU / non-TOU:</t>
  </si>
  <si>
    <t>TOU</t>
  </si>
  <si>
    <t>Consumption</t>
  </si>
  <si>
    <t xml:space="preserve"> kWh</t>
  </si>
  <si>
    <t>Current Board-Approved</t>
  </si>
  <si>
    <t>Proposed</t>
  </si>
  <si>
    <t>Impact</t>
  </si>
  <si>
    <t>Charge Unit</t>
  </si>
  <si>
    <t>Rate</t>
  </si>
  <si>
    <t>Volume</t>
  </si>
  <si>
    <t>Charge</t>
  </si>
  <si>
    <t>$ Change</t>
  </si>
  <si>
    <t>% Change</t>
  </si>
  <si>
    <t>($)</t>
  </si>
  <si>
    <t>Monthly Service Charge</t>
  </si>
  <si>
    <t>Smart Meter Rate Adder</t>
  </si>
  <si>
    <t>Distribution Volumetric Rate</t>
  </si>
  <si>
    <t>Smart Meter Disposition Rider</t>
  </si>
  <si>
    <t>LRAM &amp; SSM Rate Rider</t>
  </si>
  <si>
    <t>Sub-Total A (excluding pass through)</t>
  </si>
  <si>
    <t>Low Voltage Service Charge</t>
  </si>
  <si>
    <t>Line Losses on Cost of Power</t>
  </si>
  <si>
    <t>Smart Meter Entity Charge</t>
  </si>
  <si>
    <t>Sub-Total B - Distribution (includes Sub-Total A)</t>
  </si>
  <si>
    <t>RTSR - Network</t>
  </si>
  <si>
    <t>RTSR -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</si>
  <si>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</si>
  <si>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</si>
  <si>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</si>
  <si>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</si>
  <si>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Debt Retirement Charge (DRC)</t>
  </si>
  <si>
    <t>TOU - Off Peak</t>
  </si>
  <si>
    <t>TOU - Mid Peak</t>
  </si>
  <si>
    <t>TOU - On Peak</t>
  </si>
  <si>
    <t>Energy - RPP - Tier 1</t>
  </si>
  <si>
    <t>Energy - RPP - Tier 2</t>
  </si>
  <si>
    <t>Total Bill on TOU (before Taxes)</t>
  </si>
  <si>
    <t>HST</t>
  </si>
  <si>
    <t>Total Bill on TOU (including OCEB)</t>
  </si>
  <si>
    <t>Total Bill on RPP (before Taxes)</t>
  </si>
  <si>
    <t>Total Bill on RPP (including OCEB)</t>
  </si>
  <si>
    <t>Loss Factor (%)</t>
  </si>
  <si>
    <t>Note that cells with the highlighted color shown to the left indicate quantities that are loss adjusted.</t>
  </si>
  <si>
    <r>
      <t xml:space="preserve">Total Bill </t>
    </r>
    <r>
      <rPr>
        <sz val="10"/>
        <rFont val="Arial"/>
        <family val="2"/>
      </rPr>
      <t>(including HST)</t>
    </r>
  </si>
  <si>
    <r>
      <t xml:space="preserve">Ontario Clean Energy Benefit </t>
    </r>
    <r>
      <rPr>
        <b/>
        <i/>
        <vertAlign val="superscript"/>
        <sz val="10"/>
        <rFont val="Arial"/>
        <family val="2"/>
      </rPr>
      <t>1</t>
    </r>
  </si>
  <si>
    <t>Monthly Rates and Charges</t>
  </si>
  <si>
    <t xml:space="preserve">Current Approved Rates     </t>
  </si>
  <si>
    <t>Proposed Rates</t>
  </si>
  <si>
    <t>Residential - R1</t>
  </si>
  <si>
    <t>$</t>
  </si>
  <si>
    <t>$/kWh</t>
  </si>
  <si>
    <t>Retail Transmission Rate - Network Service Rate</t>
  </si>
  <si>
    <t>Retail Transmission Rate - Line and Transformation Connection Service Rate</t>
  </si>
  <si>
    <t>Wholesale Market Service Rate</t>
  </si>
  <si>
    <t>Rural Rate Protection Charge</t>
  </si>
  <si>
    <t>Smart Meter Entity Charge - effective May 1, 2013 until October 31, 2018</t>
  </si>
  <si>
    <t>Standard Supply Service - Administrative Charge (if applicable)</t>
  </si>
  <si>
    <t>Residential - R2</t>
  </si>
  <si>
    <t>$/kW</t>
  </si>
  <si>
    <t>Retail Transmission Rate - Network Service Rate - Interval Meter &gt; 1,000 kW</t>
  </si>
  <si>
    <t>Retail Transmission Rate - Line and Transformation Connection Service Rate - Interval &gt; 1,000 kW</t>
  </si>
  <si>
    <t>Seasonal</t>
  </si>
  <si>
    <t>Street Lighting</t>
  </si>
  <si>
    <t>Other</t>
  </si>
  <si>
    <t>Debt Retirement Charge</t>
  </si>
  <si>
    <t>Energy - First Tier</t>
  </si>
  <si>
    <t>Energy - Second Tier</t>
  </si>
  <si>
    <t>Loss Factor</t>
  </si>
  <si>
    <t>Total Loss Factor</t>
  </si>
  <si>
    <t>%</t>
  </si>
  <si>
    <t>Monthly</t>
  </si>
  <si>
    <t>Foregone Revenue Recovery - effective until December 31, 2014 (2014)</t>
  </si>
  <si>
    <t>per kWh</t>
  </si>
  <si>
    <t>SME - Net Deferred Revenue Requirement, effective until December 31, 2016</t>
  </si>
  <si>
    <t>SME - Incremental Revenue Requirement, effective until December 31, 2014</t>
  </si>
  <si>
    <t>Tax Changes - effective until December 31, 2014</t>
  </si>
  <si>
    <t>UOM</t>
  </si>
  <si>
    <t>Billing Demand</t>
  </si>
  <si>
    <t>kW</t>
  </si>
  <si>
    <t>per kW</t>
  </si>
  <si>
    <t>Energy Price Non - RPP</t>
  </si>
  <si>
    <t>Energy Price RPP</t>
  </si>
  <si>
    <t>Cost of Power (Non-RPP)</t>
  </si>
  <si>
    <t>Residential - R2 (Non - RPP)</t>
  </si>
  <si>
    <t>Street Lighting (Non - RPP)</t>
  </si>
  <si>
    <t>Algoma Power Inc.</t>
  </si>
  <si>
    <t>2015 Electricity Distribution Rate Application</t>
  </si>
  <si>
    <t>Cost of Service</t>
  </si>
  <si>
    <t>Bill Impact Model</t>
  </si>
  <si>
    <t>EB-2014-0055</t>
  </si>
  <si>
    <t>April 24, 2014</t>
  </si>
  <si>
    <t>Rate Rider for the Disposition of Deferral/Variance Accounts (2014) - effective until December 31, 2015</t>
  </si>
  <si>
    <t>Rate Rider for Stranded Meter Assets - effective until December 31, 2015</t>
  </si>
  <si>
    <t>Deferral/Variance Account Disposition - effective until June 30, 2019</t>
  </si>
  <si>
    <t>Rate Rider for the Disposition of Global Adjustment Sub-Account (2014) - effective until December 31, 2015</t>
  </si>
  <si>
    <t>Rate Rider for the Recovery of Lost Revenue Adjustment (LRAM) - effective until December 31, 2015</t>
  </si>
  <si>
    <t>Rate Rider for the Disposition of Account 1575 &amp; 1576 - effective until December 31, 2019</t>
  </si>
  <si>
    <t>Total Bill  (before Taxes)</t>
  </si>
  <si>
    <t>Residential - R1 [RPP]</t>
  </si>
  <si>
    <t>Residential - R1 [Non-RPP]</t>
  </si>
  <si>
    <t>Cost of Power Non-RPP</t>
  </si>
  <si>
    <t>Seasonal [RPP]</t>
  </si>
  <si>
    <t>Seasonal [Non-RPP]</t>
  </si>
  <si>
    <t>Residential - R2 (formerly Interval) (Non - RPP)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</si>
</sst>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.0000_-;\-&quot;$&quot;* #,##0.0000_-;_-&quot;$&quot;* &quot;-&quot;??_-;_-@_-"/>
    <numFmt numFmtId="166" formatCode="_(* #,##0.0000_);_(* \(#,##0.0000\);_(* &quot;-&quot;??_);_(@_)"/>
    <numFmt numFmtId="167" formatCode="0.0%"/>
    <numFmt numFmtId="168" formatCode="_-&quot;$&quot;* #,##0.00000_-;\-&quot;$&quot;* #,##0.00000_-;_-&quot;$&quot;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12"/>
      <name val="Algerian"/>
      <family val="5"/>
    </font>
    <font>
      <b/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b/>
      <i/>
      <vertAlign val="superscript"/>
      <sz val="10"/>
      <name val="Arial"/>
      <family val="2"/>
    </font>
    <font>
      <b/>
      <sz val="10"/>
      <color indexed="81"/>
      <name val="Arial"/>
      <family val="2"/>
    </font>
    <font>
      <b/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230">
    <xf numFmtId="0" fontId="0" fillId="0" borderId="0" xfId="0"/>
    <xf numFmtId="0" fontId="2" fillId="2" borderId="0" xfId="0" applyFont="1" applyFill="1" applyAlignment="1" applyProtection="1">
      <alignment vertical="top" wrapText="1"/>
    </xf>
    <xf numFmtId="0" fontId="0" fillId="2" borderId="0" xfId="0" applyFill="1" applyBorder="1" applyProtection="1"/>
    <xf numFmtId="0" fontId="3" fillId="0" borderId="0" xfId="0" applyFont="1"/>
    <xf numFmtId="0" fontId="4" fillId="0" borderId="0" xfId="0" applyFont="1" applyAlignment="1">
      <alignment horizontal="right" vertical="top"/>
    </xf>
    <xf numFmtId="0" fontId="5" fillId="2" borderId="0" xfId="0" applyFont="1" applyFill="1" applyBorder="1" applyAlignment="1" applyProtection="1"/>
    <xf numFmtId="0" fontId="4" fillId="3" borderId="1" xfId="0" applyFont="1" applyFill="1" applyBorder="1" applyAlignment="1">
      <alignment horizontal="right" vertical="top"/>
    </xf>
    <xf numFmtId="0" fontId="0" fillId="2" borderId="0" xfId="0" applyFill="1" applyBorder="1" applyAlignment="1" applyProtection="1">
      <alignment horizontal="left" indent="1"/>
    </xf>
    <xf numFmtId="0" fontId="6" fillId="2" borderId="0" xfId="0" applyFont="1" applyFill="1" applyBorder="1" applyAlignment="1" applyProtection="1"/>
    <xf numFmtId="0" fontId="4" fillId="3" borderId="0" xfId="0" applyFont="1" applyFill="1" applyAlignment="1">
      <alignment horizontal="right" vertical="top"/>
    </xf>
    <xf numFmtId="0" fontId="0" fillId="0" borderId="0" xfId="0" applyProtection="1"/>
    <xf numFmtId="0" fontId="3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center"/>
    </xf>
    <xf numFmtId="0" fontId="9" fillId="4" borderId="0" xfId="0" applyFont="1" applyFill="1" applyAlignment="1" applyProtection="1">
      <alignment horizontal="center"/>
    </xf>
    <xf numFmtId="0" fontId="8" fillId="0" borderId="0" xfId="0" applyFont="1" applyProtection="1"/>
    <xf numFmtId="0" fontId="3" fillId="0" borderId="0" xfId="0" applyFont="1" applyProtection="1"/>
    <xf numFmtId="164" fontId="3" fillId="3" borderId="2" xfId="1" applyNumberFormat="1" applyFont="1" applyFill="1" applyBorder="1" applyProtection="1">
      <protection locked="0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10" xfId="0" quotePrefix="1" applyFont="1" applyBorder="1" applyAlignment="1" applyProtection="1">
      <alignment horizontal="center"/>
    </xf>
    <xf numFmtId="0" fontId="3" fillId="0" borderId="11" xfId="0" quotePrefix="1" applyFont="1" applyBorder="1" applyAlignment="1" applyProtection="1">
      <alignment horizontal="center"/>
    </xf>
    <xf numFmtId="0" fontId="0" fillId="0" borderId="0" xfId="0" applyAlignment="1" applyProtection="1">
      <alignment vertical="top"/>
    </xf>
    <xf numFmtId="0" fontId="0" fillId="4" borderId="0" xfId="0" applyFill="1" applyAlignment="1" applyProtection="1">
      <alignment vertical="top"/>
      <protection locked="0"/>
    </xf>
    <xf numFmtId="0" fontId="0" fillId="0" borderId="0" xfId="0" applyFill="1" applyAlignment="1" applyProtection="1">
      <alignment vertical="top"/>
    </xf>
    <xf numFmtId="165" fontId="0" fillId="3" borderId="9" xfId="2" applyNumberFormat="1" applyFont="1" applyFill="1" applyBorder="1" applyAlignment="1" applyProtection="1">
      <alignment vertical="top"/>
      <protection locked="0"/>
    </xf>
    <xf numFmtId="0" fontId="0" fillId="0" borderId="9" xfId="0" applyFill="1" applyBorder="1" applyAlignment="1" applyProtection="1">
      <alignment vertical="center"/>
    </xf>
    <xf numFmtId="44" fontId="0" fillId="0" borderId="7" xfId="2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165" fontId="0" fillId="3" borderId="9" xfId="2" applyNumberFormat="1" applyFont="1" applyFill="1" applyBorder="1" applyAlignment="1" applyProtection="1">
      <alignment vertical="center"/>
      <protection locked="0"/>
    </xf>
    <xf numFmtId="0" fontId="0" fillId="0" borderId="7" xfId="0" applyFill="1" applyBorder="1" applyAlignment="1" applyProtection="1">
      <alignment vertical="center"/>
    </xf>
    <xf numFmtId="44" fontId="0" fillId="0" borderId="9" xfId="0" applyNumberFormat="1" applyBorder="1" applyAlignment="1" applyProtection="1">
      <alignment vertical="center"/>
    </xf>
    <xf numFmtId="10" fontId="0" fillId="0" borderId="7" xfId="3" applyNumberFormat="1" applyFont="1" applyBorder="1" applyAlignment="1" applyProtection="1">
      <alignment vertical="center"/>
    </xf>
    <xf numFmtId="0" fontId="0" fillId="3" borderId="0" xfId="0" applyFill="1" applyAlignment="1" applyProtection="1">
      <alignment vertical="top"/>
    </xf>
    <xf numFmtId="0" fontId="0" fillId="3" borderId="0" xfId="0" applyFill="1" applyAlignment="1" applyProtection="1">
      <alignment vertical="top"/>
      <protection locked="0"/>
    </xf>
    <xf numFmtId="0" fontId="3" fillId="5" borderId="3" xfId="0" applyFont="1" applyFill="1" applyBorder="1" applyAlignment="1" applyProtection="1">
      <alignment vertical="top"/>
      <protection locked="0"/>
    </xf>
    <xf numFmtId="0" fontId="0" fillId="5" borderId="4" xfId="0" applyFill="1" applyBorder="1" applyAlignment="1" applyProtection="1">
      <alignment vertical="top"/>
    </xf>
    <xf numFmtId="0" fontId="0" fillId="5" borderId="4" xfId="0" applyFill="1" applyBorder="1" applyAlignment="1" applyProtection="1">
      <alignment vertical="top"/>
      <protection locked="0"/>
    </xf>
    <xf numFmtId="165" fontId="0" fillId="5" borderId="2" xfId="2" applyNumberFormat="1" applyFont="1" applyFill="1" applyBorder="1" applyAlignment="1" applyProtection="1">
      <alignment vertical="top"/>
      <protection locked="0"/>
    </xf>
    <xf numFmtId="0" fontId="0" fillId="5" borderId="2" xfId="0" applyFill="1" applyBorder="1" applyAlignment="1" applyProtection="1">
      <alignment vertical="center"/>
      <protection locked="0"/>
    </xf>
    <xf numFmtId="44" fontId="0" fillId="5" borderId="5" xfId="2" applyFont="1" applyFill="1" applyBorder="1" applyAlignment="1" applyProtection="1">
      <alignment vertical="center"/>
    </xf>
    <xf numFmtId="0" fontId="0" fillId="5" borderId="0" xfId="0" applyFill="1" applyAlignment="1" applyProtection="1">
      <alignment vertical="center"/>
    </xf>
    <xf numFmtId="165" fontId="0" fillId="5" borderId="2" xfId="2" applyNumberFormat="1" applyFont="1" applyFill="1" applyBorder="1" applyAlignment="1" applyProtection="1">
      <alignment vertical="center"/>
      <protection locked="0"/>
    </xf>
    <xf numFmtId="0" fontId="0" fillId="5" borderId="5" xfId="0" applyFill="1" applyBorder="1" applyAlignment="1" applyProtection="1">
      <alignment vertical="center"/>
      <protection locked="0"/>
    </xf>
    <xf numFmtId="44" fontId="3" fillId="5" borderId="2" xfId="0" applyNumberFormat="1" applyFont="1" applyFill="1" applyBorder="1" applyAlignment="1" applyProtection="1">
      <alignment vertical="center"/>
    </xf>
    <xf numFmtId="10" fontId="3" fillId="5" borderId="5" xfId="3" applyNumberFormat="1" applyFont="1" applyFill="1" applyBorder="1" applyAlignment="1" applyProtection="1">
      <alignment vertical="center"/>
    </xf>
    <xf numFmtId="0" fontId="0" fillId="0" borderId="0" xfId="0" applyFill="1" applyProtection="1"/>
    <xf numFmtId="0" fontId="8" fillId="3" borderId="0" xfId="0" applyFont="1" applyFill="1" applyAlignment="1" applyProtection="1">
      <alignment vertical="top" wrapText="1"/>
    </xf>
    <xf numFmtId="0" fontId="0" fillId="0" borderId="12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8" fillId="0" borderId="0" xfId="0" applyFont="1" applyAlignment="1" applyProtection="1">
      <alignment vertical="top"/>
    </xf>
    <xf numFmtId="165" fontId="0" fillId="6" borderId="9" xfId="2" applyNumberFormat="1" applyFont="1" applyFill="1" applyBorder="1" applyAlignment="1" applyProtection="1">
      <alignment vertical="top"/>
      <protection locked="0"/>
    </xf>
    <xf numFmtId="0" fontId="0" fillId="7" borderId="9" xfId="0" applyFill="1" applyBorder="1" applyAlignment="1" applyProtection="1">
      <alignment vertical="center"/>
    </xf>
    <xf numFmtId="165" fontId="0" fillId="6" borderId="9" xfId="2" applyNumberFormat="1" applyFont="1" applyFill="1" applyBorder="1" applyAlignment="1" applyProtection="1">
      <alignment vertical="center"/>
      <protection locked="0"/>
    </xf>
    <xf numFmtId="0" fontId="3" fillId="5" borderId="3" xfId="0" applyFont="1" applyFill="1" applyBorder="1" applyAlignment="1" applyProtection="1">
      <alignment vertical="top" wrapText="1"/>
    </xf>
    <xf numFmtId="0" fontId="0" fillId="5" borderId="4" xfId="0" applyFill="1" applyBorder="1" applyProtection="1"/>
    <xf numFmtId="0" fontId="0" fillId="5" borderId="2" xfId="0" applyFill="1" applyBorder="1" applyProtection="1"/>
    <xf numFmtId="0" fontId="0" fillId="5" borderId="2" xfId="0" applyFill="1" applyBorder="1" applyAlignment="1" applyProtection="1">
      <alignment vertical="center"/>
    </xf>
    <xf numFmtId="44" fontId="3" fillId="5" borderId="5" xfId="0" applyNumberFormat="1" applyFont="1" applyFill="1" applyBorder="1" applyAlignment="1" applyProtection="1">
      <alignment vertical="center"/>
    </xf>
    <xf numFmtId="0" fontId="0" fillId="5" borderId="5" xfId="0" applyFill="1" applyBorder="1" applyAlignment="1" applyProtection="1">
      <alignment vertical="center"/>
    </xf>
    <xf numFmtId="0" fontId="0" fillId="4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1" fontId="0" fillId="7" borderId="9" xfId="0" applyNumberFormat="1" applyFill="1" applyBorder="1" applyAlignment="1" applyProtection="1">
      <alignment vertical="center"/>
    </xf>
    <xf numFmtId="1" fontId="0" fillId="7" borderId="7" xfId="0" applyNumberFormat="1" applyFill="1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5" borderId="2" xfId="0" applyFill="1" applyBorder="1" applyAlignment="1" applyProtection="1">
      <alignment vertical="top"/>
    </xf>
    <xf numFmtId="0" fontId="3" fillId="5" borderId="0" xfId="0" applyFont="1" applyFill="1" applyAlignment="1" applyProtection="1">
      <alignment vertical="center"/>
    </xf>
    <xf numFmtId="0" fontId="3" fillId="5" borderId="2" xfId="0" applyFont="1" applyFill="1" applyBorder="1" applyAlignment="1" applyProtection="1">
      <alignment vertical="center"/>
    </xf>
    <xf numFmtId="0" fontId="3" fillId="5" borderId="5" xfId="0" applyFont="1" applyFill="1" applyBorder="1" applyAlignment="1" applyProtection="1">
      <alignment vertical="center"/>
    </xf>
    <xf numFmtId="0" fontId="0" fillId="0" borderId="0" xfId="0" applyAlignment="1" applyProtection="1">
      <alignment vertical="top" wrapText="1"/>
    </xf>
    <xf numFmtId="165" fontId="1" fillId="3" borderId="9" xfId="2" applyNumberFormat="1" applyFill="1" applyBorder="1" applyAlignment="1" applyProtection="1">
      <alignment vertical="top"/>
      <protection locked="0"/>
    </xf>
    <xf numFmtId="44" fontId="1" fillId="0" borderId="7" xfId="2" applyBorder="1" applyAlignment="1" applyProtection="1">
      <alignment vertical="center"/>
    </xf>
    <xf numFmtId="165" fontId="1" fillId="3" borderId="9" xfId="2" applyNumberFormat="1" applyFill="1" applyBorder="1" applyAlignment="1" applyProtection="1">
      <alignment vertical="center"/>
      <protection locked="0"/>
    </xf>
    <xf numFmtId="10" fontId="1" fillId="0" borderId="7" xfId="3" applyNumberFormat="1" applyBorder="1" applyAlignment="1" applyProtection="1">
      <alignment vertical="center"/>
    </xf>
    <xf numFmtId="1" fontId="0" fillId="0" borderId="9" xfId="0" applyNumberFormat="1" applyFill="1" applyBorder="1" applyAlignment="1" applyProtection="1">
      <alignment vertical="center"/>
    </xf>
    <xf numFmtId="1" fontId="0" fillId="0" borderId="7" xfId="0" applyNumberFormat="1" applyFill="1" applyBorder="1" applyAlignment="1" applyProtection="1">
      <alignment vertical="center"/>
    </xf>
    <xf numFmtId="165" fontId="1" fillId="0" borderId="9" xfId="2" applyNumberFormat="1" applyFill="1" applyBorder="1" applyAlignment="1" applyProtection="1">
      <alignment vertical="top"/>
      <protection locked="0"/>
    </xf>
    <xf numFmtId="1" fontId="8" fillId="6" borderId="9" xfId="0" applyNumberFormat="1" applyFont="1" applyFill="1" applyBorder="1" applyAlignment="1" applyProtection="1">
      <alignment vertical="center"/>
    </xf>
    <xf numFmtId="44" fontId="0" fillId="0" borderId="0" xfId="0" applyNumberFormat="1" applyProtection="1"/>
    <xf numFmtId="0" fontId="8" fillId="0" borderId="0" xfId="4" applyFont="1" applyAlignment="1" applyProtection="1">
      <alignment vertical="top"/>
    </xf>
    <xf numFmtId="0" fontId="8" fillId="0" borderId="0" xfId="4" applyAlignment="1" applyProtection="1">
      <alignment vertical="top"/>
    </xf>
    <xf numFmtId="0" fontId="8" fillId="4" borderId="0" xfId="4" applyFill="1" applyAlignment="1" applyProtection="1">
      <alignment vertical="top"/>
      <protection locked="0"/>
    </xf>
    <xf numFmtId="0" fontId="8" fillId="0" borderId="0" xfId="4" applyFill="1" applyAlignment="1" applyProtection="1">
      <alignment vertical="top"/>
    </xf>
    <xf numFmtId="1" fontId="8" fillId="6" borderId="9" xfId="4" applyNumberFormat="1" applyFill="1" applyBorder="1" applyAlignment="1" applyProtection="1">
      <alignment vertical="center"/>
    </xf>
    <xf numFmtId="0" fontId="8" fillId="0" borderId="0" xfId="4" applyAlignment="1" applyProtection="1">
      <alignment vertical="center"/>
    </xf>
    <xf numFmtId="44" fontId="8" fillId="0" borderId="9" xfId="4" applyNumberFormat="1" applyBorder="1" applyAlignment="1" applyProtection="1">
      <alignment vertical="center"/>
    </xf>
    <xf numFmtId="0" fontId="8" fillId="0" borderId="0" xfId="4" applyProtection="1"/>
    <xf numFmtId="0" fontId="8" fillId="8" borderId="13" xfId="0" applyFont="1" applyFill="1" applyBorder="1" applyProtection="1"/>
    <xf numFmtId="0" fontId="0" fillId="8" borderId="14" xfId="0" applyFill="1" applyBorder="1" applyAlignment="1" applyProtection="1">
      <alignment vertical="top"/>
    </xf>
    <xf numFmtId="0" fontId="0" fillId="8" borderId="14" xfId="0" applyFill="1" applyBorder="1" applyAlignment="1" applyProtection="1">
      <alignment vertical="top"/>
      <protection locked="0"/>
    </xf>
    <xf numFmtId="165" fontId="1" fillId="8" borderId="15" xfId="2" applyNumberFormat="1" applyFill="1" applyBorder="1" applyAlignment="1" applyProtection="1">
      <alignment vertical="top"/>
      <protection locked="0"/>
    </xf>
    <xf numFmtId="0" fontId="0" fillId="8" borderId="16" xfId="0" applyFill="1" applyBorder="1" applyAlignment="1" applyProtection="1">
      <alignment vertical="center"/>
      <protection locked="0"/>
    </xf>
    <xf numFmtId="44" fontId="1" fillId="8" borderId="14" xfId="2" applyFill="1" applyBorder="1" applyAlignment="1" applyProtection="1">
      <alignment vertical="center"/>
    </xf>
    <xf numFmtId="0" fontId="0" fillId="8" borderId="14" xfId="0" applyFill="1" applyBorder="1" applyAlignment="1" applyProtection="1">
      <alignment vertical="center"/>
    </xf>
    <xf numFmtId="0" fontId="0" fillId="8" borderId="15" xfId="0" applyFill="1" applyBorder="1" applyAlignment="1" applyProtection="1">
      <alignment vertical="center"/>
      <protection locked="0"/>
    </xf>
    <xf numFmtId="44" fontId="0" fillId="8" borderId="15" xfId="0" applyNumberFormat="1" applyFill="1" applyBorder="1" applyAlignment="1" applyProtection="1">
      <alignment vertical="center"/>
    </xf>
    <xf numFmtId="10" fontId="1" fillId="8" borderId="17" xfId="3" applyNumberForma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top"/>
    </xf>
    <xf numFmtId="9" fontId="0" fillId="0" borderId="9" xfId="0" applyNumberFormat="1" applyFill="1" applyBorder="1" applyAlignment="1" applyProtection="1">
      <alignment vertical="top"/>
    </xf>
    <xf numFmtId="9" fontId="0" fillId="0" borderId="0" xfId="0" applyNumberFormat="1" applyFill="1" applyBorder="1" applyAlignment="1" applyProtection="1">
      <alignment vertical="center"/>
    </xf>
    <xf numFmtId="44" fontId="3" fillId="0" borderId="12" xfId="0" applyNumberFormat="1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vertical="center"/>
    </xf>
    <xf numFmtId="9" fontId="3" fillId="0" borderId="9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44" fontId="3" fillId="0" borderId="9" xfId="0" applyNumberFormat="1" applyFont="1" applyFill="1" applyBorder="1" applyAlignment="1" applyProtection="1">
      <alignment vertical="center"/>
    </xf>
    <xf numFmtId="10" fontId="3" fillId="0" borderId="7" xfId="3" applyNumberFormat="1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horizontal="left" vertical="top" indent="1"/>
    </xf>
    <xf numFmtId="9" fontId="0" fillId="0" borderId="9" xfId="0" applyNumberFormat="1" applyFill="1" applyBorder="1" applyAlignment="1" applyProtection="1">
      <alignment vertical="top"/>
      <protection locked="0"/>
    </xf>
    <xf numFmtId="0" fontId="0" fillId="0" borderId="0" xfId="0" applyFill="1" applyBorder="1" applyAlignment="1" applyProtection="1">
      <alignment vertical="center"/>
    </xf>
    <xf numFmtId="44" fontId="8" fillId="0" borderId="12" xfId="0" applyNumberFormat="1" applyFont="1" applyFill="1" applyBorder="1" applyAlignment="1" applyProtection="1">
      <alignment vertical="center"/>
    </xf>
    <xf numFmtId="0" fontId="8" fillId="0" borderId="9" xfId="0" applyFont="1" applyFill="1" applyBorder="1" applyAlignment="1" applyProtection="1">
      <alignment vertical="center"/>
    </xf>
    <xf numFmtId="9" fontId="8" fillId="0" borderId="9" xfId="0" applyNumberFormat="1" applyFont="1" applyFill="1" applyBorder="1" applyAlignment="1" applyProtection="1">
      <alignment vertical="center"/>
      <protection locked="0"/>
    </xf>
    <xf numFmtId="44" fontId="8" fillId="0" borderId="7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44" fontId="8" fillId="0" borderId="9" xfId="0" applyNumberFormat="1" applyFont="1" applyFill="1" applyBorder="1" applyAlignment="1" applyProtection="1">
      <alignment vertical="center"/>
    </xf>
    <xf numFmtId="10" fontId="8" fillId="0" borderId="7" xfId="3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top" wrapText="1" indent="1"/>
    </xf>
    <xf numFmtId="0" fontId="0" fillId="0" borderId="9" xfId="0" applyFill="1" applyBorder="1" applyAlignment="1" applyProtection="1">
      <alignment vertical="top"/>
    </xf>
    <xf numFmtId="44" fontId="11" fillId="0" borderId="12" xfId="0" applyNumberFormat="1" applyFont="1" applyFill="1" applyBorder="1" applyAlignment="1" applyProtection="1">
      <alignment vertical="center"/>
    </xf>
    <xf numFmtId="44" fontId="11" fillId="0" borderId="7" xfId="0" applyNumberFormat="1" applyFont="1" applyFill="1" applyBorder="1" applyAlignment="1" applyProtection="1">
      <alignment vertical="center"/>
    </xf>
    <xf numFmtId="44" fontId="11" fillId="0" borderId="9" xfId="0" applyNumberFormat="1" applyFont="1" applyFill="1" applyBorder="1" applyAlignment="1" applyProtection="1">
      <alignment vertical="center"/>
    </xf>
    <xf numFmtId="10" fontId="11" fillId="0" borderId="7" xfId="3" applyNumberFormat="1" applyFont="1" applyFill="1" applyBorder="1" applyAlignment="1" applyProtection="1">
      <alignment vertical="center"/>
    </xf>
    <xf numFmtId="0" fontId="0" fillId="9" borderId="0" xfId="0" applyFill="1" applyAlignment="1" applyProtection="1">
      <alignment vertical="top"/>
    </xf>
    <xf numFmtId="0" fontId="0" fillId="9" borderId="10" xfId="0" applyFill="1" applyBorder="1" applyAlignment="1" applyProtection="1">
      <alignment vertical="top"/>
    </xf>
    <xf numFmtId="0" fontId="0" fillId="9" borderId="18" xfId="0" applyFill="1" applyBorder="1" applyAlignment="1" applyProtection="1">
      <alignment vertical="center"/>
    </xf>
    <xf numFmtId="44" fontId="3" fillId="9" borderId="19" xfId="0" applyNumberFormat="1" applyFont="1" applyFill="1" applyBorder="1" applyAlignment="1" applyProtection="1">
      <alignment vertical="center"/>
    </xf>
    <xf numFmtId="0" fontId="3" fillId="9" borderId="10" xfId="0" applyFont="1" applyFill="1" applyBorder="1" applyAlignment="1" applyProtection="1">
      <alignment vertical="center"/>
    </xf>
    <xf numFmtId="44" fontId="3" fillId="9" borderId="11" xfId="0" applyNumberFormat="1" applyFont="1" applyFill="1" applyBorder="1" applyAlignment="1" applyProtection="1">
      <alignment vertical="center"/>
    </xf>
    <xf numFmtId="0" fontId="3" fillId="9" borderId="18" xfId="0" applyFont="1" applyFill="1" applyBorder="1" applyAlignment="1" applyProtection="1">
      <alignment vertical="center"/>
    </xf>
    <xf numFmtId="44" fontId="3" fillId="9" borderId="10" xfId="0" applyNumberFormat="1" applyFont="1" applyFill="1" applyBorder="1" applyAlignment="1" applyProtection="1">
      <alignment vertical="center"/>
    </xf>
    <xf numFmtId="10" fontId="3" fillId="9" borderId="11" xfId="3" applyNumberFormat="1" applyFont="1" applyFill="1" applyBorder="1" applyAlignment="1" applyProtection="1">
      <alignment vertical="center"/>
    </xf>
    <xf numFmtId="0" fontId="8" fillId="8" borderId="13" xfId="4" applyFont="1" applyFill="1" applyBorder="1" applyProtection="1"/>
    <xf numFmtId="0" fontId="8" fillId="8" borderId="14" xfId="4" applyFill="1" applyBorder="1" applyAlignment="1" applyProtection="1">
      <alignment vertical="top"/>
    </xf>
    <xf numFmtId="0" fontId="8" fillId="8" borderId="14" xfId="4" applyFill="1" applyBorder="1" applyAlignment="1" applyProtection="1">
      <alignment vertical="top"/>
      <protection locked="0"/>
    </xf>
    <xf numFmtId="0" fontId="8" fillId="8" borderId="16" xfId="4" applyFill="1" applyBorder="1" applyAlignment="1" applyProtection="1">
      <alignment vertical="center"/>
      <protection locked="0"/>
    </xf>
    <xf numFmtId="0" fontId="8" fillId="8" borderId="14" xfId="4" applyFill="1" applyBorder="1" applyAlignment="1" applyProtection="1">
      <alignment vertical="center"/>
    </xf>
    <xf numFmtId="0" fontId="8" fillId="8" borderId="15" xfId="4" applyFill="1" applyBorder="1" applyAlignment="1" applyProtection="1">
      <alignment vertical="center"/>
      <protection locked="0"/>
    </xf>
    <xf numFmtId="44" fontId="8" fillId="8" borderId="15" xfId="4" applyNumberFormat="1" applyFill="1" applyBorder="1" applyAlignment="1" applyProtection="1">
      <alignment vertical="center"/>
    </xf>
    <xf numFmtId="0" fontId="3" fillId="0" borderId="0" xfId="4" applyFont="1" applyFill="1" applyAlignment="1" applyProtection="1">
      <alignment vertical="top"/>
    </xf>
    <xf numFmtId="9" fontId="8" fillId="0" borderId="9" xfId="4" applyNumberFormat="1" applyFill="1" applyBorder="1" applyAlignment="1" applyProtection="1">
      <alignment vertical="top"/>
    </xf>
    <xf numFmtId="9" fontId="8" fillId="0" borderId="0" xfId="4" applyNumberFormat="1" applyFill="1" applyBorder="1" applyAlignment="1" applyProtection="1">
      <alignment vertical="center"/>
    </xf>
    <xf numFmtId="44" fontId="3" fillId="0" borderId="12" xfId="4" applyNumberFormat="1" applyFont="1" applyFill="1" applyBorder="1" applyAlignment="1" applyProtection="1">
      <alignment vertical="center"/>
    </xf>
    <xf numFmtId="0" fontId="3" fillId="0" borderId="9" xfId="4" applyFont="1" applyFill="1" applyBorder="1" applyAlignment="1" applyProtection="1">
      <alignment vertical="center"/>
    </xf>
    <xf numFmtId="9" fontId="3" fillId="0" borderId="9" xfId="4" applyNumberFormat="1" applyFont="1" applyFill="1" applyBorder="1" applyAlignment="1" applyProtection="1">
      <alignment vertical="center"/>
    </xf>
    <xf numFmtId="0" fontId="3" fillId="0" borderId="0" xfId="4" applyFont="1" applyFill="1" applyBorder="1" applyAlignment="1" applyProtection="1">
      <alignment vertical="center"/>
    </xf>
    <xf numFmtId="44" fontId="3" fillId="0" borderId="9" xfId="4" applyNumberFormat="1" applyFont="1" applyFill="1" applyBorder="1" applyAlignment="1" applyProtection="1">
      <alignment vertical="center"/>
    </xf>
    <xf numFmtId="0" fontId="8" fillId="0" borderId="0" xfId="4" applyFont="1" applyFill="1" applyAlignment="1" applyProtection="1">
      <alignment horizontal="left" vertical="top" indent="1"/>
    </xf>
    <xf numFmtId="9" fontId="8" fillId="0" borderId="9" xfId="4" applyNumberFormat="1" applyFill="1" applyBorder="1" applyAlignment="1" applyProtection="1">
      <alignment vertical="top"/>
      <protection locked="0"/>
    </xf>
    <xf numFmtId="44" fontId="8" fillId="0" borderId="12" xfId="4" applyNumberFormat="1" applyFont="1" applyFill="1" applyBorder="1" applyAlignment="1" applyProtection="1">
      <alignment vertical="center"/>
    </xf>
    <xf numFmtId="0" fontId="8" fillId="0" borderId="9" xfId="4" applyFont="1" applyFill="1" applyBorder="1" applyAlignment="1" applyProtection="1">
      <alignment vertical="center"/>
    </xf>
    <xf numFmtId="9" fontId="8" fillId="0" borderId="9" xfId="4" applyNumberFormat="1" applyFont="1" applyFill="1" applyBorder="1" applyAlignment="1" applyProtection="1">
      <alignment vertical="top"/>
      <protection locked="0"/>
    </xf>
    <xf numFmtId="9" fontId="8" fillId="0" borderId="9" xfId="4" applyNumberFormat="1" applyFont="1" applyFill="1" applyBorder="1" applyAlignment="1" applyProtection="1">
      <alignment vertical="center"/>
    </xf>
    <xf numFmtId="44" fontId="8" fillId="0" borderId="7" xfId="4" applyNumberFormat="1" applyFont="1" applyFill="1" applyBorder="1" applyAlignment="1" applyProtection="1">
      <alignment vertical="center"/>
    </xf>
    <xf numFmtId="0" fontId="8" fillId="0" borderId="0" xfId="4" applyFont="1" applyFill="1" applyBorder="1" applyAlignment="1" applyProtection="1">
      <alignment vertical="center"/>
    </xf>
    <xf numFmtId="44" fontId="8" fillId="0" borderId="9" xfId="4" applyNumberFormat="1" applyFont="1" applyFill="1" applyBorder="1" applyAlignment="1" applyProtection="1">
      <alignment vertical="center"/>
    </xf>
    <xf numFmtId="0" fontId="3" fillId="0" borderId="0" xfId="4" applyFont="1" applyAlignment="1" applyProtection="1">
      <alignment horizontal="left" vertical="top" wrapText="1" indent="1"/>
    </xf>
    <xf numFmtId="0" fontId="8" fillId="0" borderId="9" xfId="4" applyFill="1" applyBorder="1" applyAlignment="1" applyProtection="1">
      <alignment vertical="top"/>
    </xf>
    <xf numFmtId="0" fontId="8" fillId="0" borderId="0" xfId="4" applyFill="1" applyBorder="1" applyAlignment="1" applyProtection="1">
      <alignment vertical="center"/>
    </xf>
    <xf numFmtId="44" fontId="11" fillId="0" borderId="12" xfId="4" applyNumberFormat="1" applyFont="1" applyFill="1" applyBorder="1" applyAlignment="1" applyProtection="1">
      <alignment vertical="center"/>
    </xf>
    <xf numFmtId="44" fontId="11" fillId="0" borderId="7" xfId="4" applyNumberFormat="1" applyFont="1" applyFill="1" applyBorder="1" applyAlignment="1" applyProtection="1">
      <alignment vertical="center"/>
    </xf>
    <xf numFmtId="44" fontId="11" fillId="0" borderId="9" xfId="4" applyNumberFormat="1" applyFont="1" applyFill="1" applyBorder="1" applyAlignment="1" applyProtection="1">
      <alignment vertical="center"/>
    </xf>
    <xf numFmtId="0" fontId="8" fillId="9" borderId="0" xfId="4" applyFill="1" applyAlignment="1" applyProtection="1">
      <alignment vertical="top"/>
    </xf>
    <xf numFmtId="0" fontId="8" fillId="9" borderId="9" xfId="4" applyFill="1" applyBorder="1" applyAlignment="1" applyProtection="1">
      <alignment vertical="top"/>
    </xf>
    <xf numFmtId="0" fontId="8" fillId="9" borderId="0" xfId="4" applyFill="1" applyBorder="1" applyAlignment="1" applyProtection="1">
      <alignment vertical="center"/>
    </xf>
    <xf numFmtId="44" fontId="3" fillId="9" borderId="12" xfId="4" applyNumberFormat="1" applyFont="1" applyFill="1" applyBorder="1" applyAlignment="1" applyProtection="1">
      <alignment vertical="center"/>
    </xf>
    <xf numFmtId="0" fontId="3" fillId="9" borderId="9" xfId="4" applyFont="1" applyFill="1" applyBorder="1" applyAlignment="1" applyProtection="1">
      <alignment vertical="center"/>
    </xf>
    <xf numFmtId="44" fontId="3" fillId="9" borderId="7" xfId="4" applyNumberFormat="1" applyFont="1" applyFill="1" applyBorder="1" applyAlignment="1" applyProtection="1">
      <alignment vertical="center"/>
    </xf>
    <xf numFmtId="0" fontId="3" fillId="9" borderId="0" xfId="4" applyFont="1" applyFill="1" applyBorder="1" applyAlignment="1" applyProtection="1">
      <alignment vertical="center"/>
    </xf>
    <xf numFmtId="44" fontId="3" fillId="9" borderId="9" xfId="4" applyNumberFormat="1" applyFont="1" applyFill="1" applyBorder="1" applyAlignment="1" applyProtection="1">
      <alignment vertical="center"/>
    </xf>
    <xf numFmtId="10" fontId="3" fillId="9" borderId="7" xfId="3" applyNumberFormat="1" applyFont="1" applyFill="1" applyBorder="1" applyAlignment="1" applyProtection="1">
      <alignment vertical="center"/>
    </xf>
    <xf numFmtId="165" fontId="1" fillId="8" borderId="16" xfId="2" applyNumberFormat="1" applyFill="1" applyBorder="1" applyAlignment="1" applyProtection="1">
      <alignment vertical="top"/>
      <protection locked="0"/>
    </xf>
    <xf numFmtId="0" fontId="8" fillId="8" borderId="14" xfId="4" applyFill="1" applyBorder="1" applyAlignment="1" applyProtection="1">
      <alignment vertical="center"/>
      <protection locked="0"/>
    </xf>
    <xf numFmtId="44" fontId="1" fillId="8" borderId="20" xfId="2" applyFill="1" applyBorder="1" applyAlignment="1" applyProtection="1">
      <alignment vertical="center"/>
    </xf>
    <xf numFmtId="0" fontId="8" fillId="8" borderId="16" xfId="4" applyFill="1" applyBorder="1" applyAlignment="1" applyProtection="1">
      <alignment vertical="center"/>
    </xf>
    <xf numFmtId="44" fontId="1" fillId="8" borderId="15" xfId="2" applyFill="1" applyBorder="1" applyAlignment="1" applyProtection="1">
      <alignment vertical="center"/>
    </xf>
    <xf numFmtId="44" fontId="8" fillId="8" borderId="16" xfId="4" applyNumberFormat="1" applyFill="1" applyBorder="1" applyAlignment="1" applyProtection="1">
      <alignment vertical="center"/>
    </xf>
    <xf numFmtId="10" fontId="1" fillId="3" borderId="2" xfId="3" applyNumberFormat="1" applyFill="1" applyBorder="1" applyProtection="1">
      <protection locked="0"/>
    </xf>
    <xf numFmtId="0" fontId="0" fillId="7" borderId="0" xfId="0" applyFill="1" applyProtection="1"/>
    <xf numFmtId="44" fontId="3" fillId="0" borderId="21" xfId="0" applyNumberFormat="1" applyFont="1" applyFill="1" applyBorder="1" applyAlignment="1" applyProtection="1">
      <alignment vertical="center"/>
    </xf>
    <xf numFmtId="44" fontId="3" fillId="0" borderId="21" xfId="4" applyNumberFormat="1" applyFont="1" applyFill="1" applyBorder="1" applyAlignment="1" applyProtection="1">
      <alignment vertical="center"/>
    </xf>
    <xf numFmtId="0" fontId="0" fillId="3" borderId="0" xfId="0" applyFill="1" applyAlignment="1" applyProtection="1">
      <alignment vertical="top" wrapText="1"/>
      <protection locked="0"/>
    </xf>
    <xf numFmtId="0" fontId="15" fillId="0" borderId="0" xfId="0" applyFont="1" applyProtection="1"/>
    <xf numFmtId="164" fontId="0" fillId="0" borderId="9" xfId="0" applyNumberFormat="1" applyFill="1" applyBorder="1" applyAlignment="1" applyProtection="1">
      <alignment vertical="center"/>
    </xf>
    <xf numFmtId="168" fontId="0" fillId="6" borderId="9" xfId="2" applyNumberFormat="1" applyFont="1" applyFill="1" applyBorder="1" applyAlignment="1" applyProtection="1">
      <alignment vertical="top"/>
      <protection locked="0"/>
    </xf>
    <xf numFmtId="168" fontId="1" fillId="0" borderId="9" xfId="2" applyNumberFormat="1" applyFill="1" applyBorder="1" applyAlignment="1" applyProtection="1">
      <alignment vertical="top"/>
      <protection locked="0"/>
    </xf>
    <xf numFmtId="168" fontId="0" fillId="6" borderId="9" xfId="2" applyNumberFormat="1" applyFont="1" applyFill="1" applyBorder="1" applyAlignment="1" applyProtection="1">
      <alignment vertical="center"/>
      <protection locked="0"/>
    </xf>
    <xf numFmtId="168" fontId="1" fillId="3" borderId="9" xfId="2" applyNumberFormat="1" applyFill="1" applyBorder="1" applyAlignment="1" applyProtection="1">
      <alignment vertical="top"/>
      <protection locked="0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/>
    <xf numFmtId="0" fontId="8" fillId="0" borderId="0" xfId="0" applyFont="1" applyBorder="1"/>
    <xf numFmtId="0" fontId="16" fillId="0" borderId="0" xfId="0" applyFont="1"/>
    <xf numFmtId="0" fontId="17" fillId="0" borderId="0" xfId="0" applyFont="1" applyBorder="1"/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43" fontId="18" fillId="0" borderId="0" xfId="1" applyFont="1" applyBorder="1"/>
    <xf numFmtId="10" fontId="18" fillId="0" borderId="0" xfId="3" applyNumberFormat="1" applyFont="1" applyBorder="1"/>
    <xf numFmtId="166" fontId="18" fillId="0" borderId="0" xfId="1" applyNumberFormat="1" applyFont="1" applyBorder="1"/>
    <xf numFmtId="166" fontId="18" fillId="0" borderId="0" xfId="1" applyNumberFormat="1" applyFont="1" applyFill="1" applyBorder="1"/>
    <xf numFmtId="167" fontId="18" fillId="0" borderId="0" xfId="3" applyNumberFormat="1" applyFont="1" applyBorder="1"/>
    <xf numFmtId="167" fontId="18" fillId="0" borderId="0" xfId="0" applyNumberFormat="1" applyFont="1" applyBorder="1"/>
    <xf numFmtId="0" fontId="17" fillId="0" borderId="0" xfId="0" applyFont="1" applyBorder="1" applyAlignment="1">
      <alignment horizontal="center"/>
    </xf>
    <xf numFmtId="0" fontId="0" fillId="3" borderId="0" xfId="0" applyFill="1" applyAlignment="1" applyProtection="1">
      <alignment vertical="top" wrapText="1"/>
    </xf>
    <xf numFmtId="166" fontId="18" fillId="10" borderId="0" xfId="1" applyNumberFormat="1" applyFont="1" applyFill="1" applyBorder="1"/>
    <xf numFmtId="15" fontId="16" fillId="0" borderId="0" xfId="0" quotePrefix="1" applyNumberFormat="1" applyFont="1" applyAlignment="1">
      <alignment horizontal="center"/>
    </xf>
    <xf numFmtId="15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5" fillId="2" borderId="0" xfId="0" applyFont="1" applyFill="1" applyBorder="1" applyAlignment="1" applyProtection="1">
      <alignment horizontal="left" indent="7"/>
    </xf>
    <xf numFmtId="0" fontId="7" fillId="0" borderId="0" xfId="0" applyFont="1" applyAlignment="1" applyProtection="1">
      <alignment horizontal="center"/>
    </xf>
    <xf numFmtId="0" fontId="6" fillId="3" borderId="0" xfId="0" applyFont="1" applyFill="1" applyAlignment="1" applyProtection="1">
      <alignment horizontal="left" vertical="center"/>
    </xf>
    <xf numFmtId="0" fontId="3" fillId="0" borderId="3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9" borderId="0" xfId="4" applyFont="1" applyFill="1" applyAlignment="1" applyProtection="1">
      <alignment horizontal="left" vertical="top" wrapText="1"/>
    </xf>
    <xf numFmtId="0" fontId="3" fillId="0" borderId="0" xfId="0" applyFont="1" applyAlignment="1" applyProtection="1">
      <alignment horizontal="center" wrapText="1"/>
    </xf>
    <xf numFmtId="0" fontId="0" fillId="0" borderId="0" xfId="0" applyAlignment="1">
      <alignment horizontal="center" wrapText="1"/>
    </xf>
    <xf numFmtId="0" fontId="3" fillId="0" borderId="9" xfId="0" applyFont="1" applyFill="1" applyBorder="1" applyAlignment="1" applyProtection="1">
      <alignment horizontal="center" wrapText="1"/>
    </xf>
    <xf numFmtId="0" fontId="0" fillId="0" borderId="10" xfId="0" applyBorder="1" applyAlignment="1">
      <alignment wrapText="1"/>
    </xf>
    <xf numFmtId="0" fontId="3" fillId="0" borderId="7" xfId="0" applyFont="1" applyFill="1" applyBorder="1" applyAlignment="1" applyProtection="1">
      <alignment horizontal="center" wrapText="1"/>
    </xf>
    <xf numFmtId="0" fontId="0" fillId="0" borderId="11" xfId="0" applyBorder="1" applyAlignment="1">
      <alignment wrapText="1"/>
    </xf>
    <xf numFmtId="0" fontId="10" fillId="0" borderId="0" xfId="0" applyFont="1" applyAlignment="1" applyProtection="1">
      <alignment horizontal="left" vertical="top" wrapText="1" indent="1"/>
    </xf>
    <xf numFmtId="0" fontId="3" fillId="9" borderId="0" xfId="0" applyFont="1" applyFill="1" applyAlignment="1" applyProtection="1">
      <alignment horizontal="left" vertical="top" wrapText="1"/>
    </xf>
    <xf numFmtId="0" fontId="10" fillId="0" borderId="0" xfId="4" applyFont="1" applyAlignment="1" applyProtection="1">
      <alignment horizontal="left" vertical="top" wrapText="1" indent="1"/>
    </xf>
    <xf numFmtId="0" fontId="15" fillId="0" borderId="0" xfId="0" applyFont="1" applyAlignment="1" applyProtection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4"/>
    <cellStyle name="Percent" xfId="3" builtinId="5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PI%202015%20REG%20COS/Chap_2_App/Filing_Requirements_Chapter2_Appendices_for%20201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ix Asset Cont.MIFRS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_MIFRS_DepExp_2014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>
        <row r="16">
          <cell r="E1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2:H19"/>
  <sheetViews>
    <sheetView showGridLines="0" zoomScaleNormal="100" workbookViewId="0">
      <selection activeCell="B31" sqref="B31"/>
    </sheetView>
  </sheetViews>
  <sheetFormatPr defaultRowHeight="15" x14ac:dyDescent="0.25"/>
  <cols>
    <col min="2" max="2" width="15.28515625" bestFit="1" customWidth="1"/>
  </cols>
  <sheetData>
    <row r="12" spans="2:8" ht="23.25" x14ac:dyDescent="0.35">
      <c r="B12" s="212" t="s">
        <v>94</v>
      </c>
      <c r="C12" s="212"/>
      <c r="D12" s="212"/>
      <c r="E12" s="212"/>
      <c r="F12" s="212"/>
      <c r="G12" s="212"/>
      <c r="H12" s="212"/>
    </row>
    <row r="13" spans="2:8" ht="23.25" x14ac:dyDescent="0.35">
      <c r="B13" s="212" t="s">
        <v>95</v>
      </c>
      <c r="C13" s="212"/>
      <c r="D13" s="212"/>
      <c r="E13" s="212"/>
      <c r="F13" s="212"/>
      <c r="G13" s="212"/>
      <c r="H13" s="212"/>
    </row>
    <row r="14" spans="2:8" ht="23.25" x14ac:dyDescent="0.35">
      <c r="B14" s="212" t="s">
        <v>96</v>
      </c>
      <c r="C14" s="212"/>
      <c r="D14" s="212"/>
      <c r="E14" s="212"/>
      <c r="F14" s="212"/>
      <c r="G14" s="212"/>
      <c r="H14" s="212"/>
    </row>
    <row r="15" spans="2:8" ht="23.25" x14ac:dyDescent="0.35">
      <c r="B15" s="197"/>
    </row>
    <row r="16" spans="2:8" ht="23.25" x14ac:dyDescent="0.35">
      <c r="B16" s="212" t="s">
        <v>97</v>
      </c>
      <c r="C16" s="212"/>
      <c r="D16" s="212"/>
      <c r="E16" s="212"/>
      <c r="F16" s="212"/>
      <c r="G16" s="212"/>
      <c r="H16" s="212"/>
    </row>
    <row r="17" spans="2:8" ht="23.25" x14ac:dyDescent="0.35">
      <c r="B17" s="212" t="s">
        <v>98</v>
      </c>
      <c r="C17" s="212"/>
      <c r="D17" s="212"/>
      <c r="E17" s="212"/>
      <c r="F17" s="212"/>
      <c r="G17" s="212"/>
      <c r="H17" s="212"/>
    </row>
    <row r="18" spans="2:8" ht="23.25" x14ac:dyDescent="0.35">
      <c r="B18" s="197"/>
    </row>
    <row r="19" spans="2:8" ht="23.25" x14ac:dyDescent="0.35">
      <c r="B19" s="210" t="s">
        <v>99</v>
      </c>
      <c r="C19" s="211"/>
      <c r="D19" s="211"/>
      <c r="E19" s="211"/>
      <c r="F19" s="211"/>
      <c r="G19" s="211"/>
      <c r="H19" s="211"/>
    </row>
  </sheetData>
  <mergeCells count="6">
    <mergeCell ref="B19:H19"/>
    <mergeCell ref="B12:H12"/>
    <mergeCell ref="B13:H13"/>
    <mergeCell ref="B14:H14"/>
    <mergeCell ref="B16:H16"/>
    <mergeCell ref="B17:H17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8"/>
  <sheetViews>
    <sheetView tabSelected="1" zoomScaleNormal="100" workbookViewId="0">
      <selection activeCell="F7" sqref="F7"/>
    </sheetView>
  </sheetViews>
  <sheetFormatPr defaultRowHeight="15" x14ac:dyDescent="0.25"/>
  <cols>
    <col min="1" max="1" width="91.85546875" style="194" bestFit="1" customWidth="1"/>
    <col min="2" max="2" width="6.7109375" style="193" customWidth="1"/>
    <col min="3" max="3" width="2.5703125" style="193" customWidth="1"/>
    <col min="4" max="4" width="11.28515625" style="194" bestFit="1" customWidth="1"/>
    <col min="5" max="5" width="2.5703125" style="194" customWidth="1"/>
    <col min="6" max="6" width="10.85546875" style="194" customWidth="1"/>
    <col min="7" max="7" width="6" style="193" customWidth="1"/>
    <col min="8" max="16384" width="9.140625" style="194"/>
  </cols>
  <sheetData>
    <row r="1" spans="1:6" ht="38.25" x14ac:dyDescent="0.25">
      <c r="A1" s="190" t="s">
        <v>54</v>
      </c>
      <c r="B1" s="191" t="s">
        <v>85</v>
      </c>
      <c r="C1" s="191"/>
      <c r="D1" s="192" t="s">
        <v>55</v>
      </c>
      <c r="E1" s="191"/>
      <c r="F1" s="192" t="s">
        <v>56</v>
      </c>
    </row>
    <row r="2" spans="1:6" x14ac:dyDescent="0.25">
      <c r="A2" s="190" t="s">
        <v>57</v>
      </c>
      <c r="C2" s="195"/>
      <c r="D2" s="193"/>
      <c r="E2" s="195"/>
      <c r="F2" s="193"/>
    </row>
    <row r="3" spans="1:6" x14ac:dyDescent="0.25">
      <c r="A3" s="199" t="s">
        <v>23</v>
      </c>
      <c r="B3" s="200" t="s">
        <v>58</v>
      </c>
      <c r="C3" s="200"/>
      <c r="D3" s="201">
        <v>23.16</v>
      </c>
      <c r="E3" s="202"/>
      <c r="F3" s="201">
        <v>24.03</v>
      </c>
    </row>
    <row r="4" spans="1:6" x14ac:dyDescent="0.25">
      <c r="A4" s="199" t="s">
        <v>25</v>
      </c>
      <c r="B4" s="200" t="s">
        <v>59</v>
      </c>
      <c r="C4" s="200"/>
      <c r="D4" s="203">
        <v>3.2500000000000001E-2</v>
      </c>
      <c r="E4" s="202"/>
      <c r="F4" s="203">
        <v>3.3700000000000001E-2</v>
      </c>
    </row>
    <row r="5" spans="1:6" x14ac:dyDescent="0.25">
      <c r="A5" s="199" t="s">
        <v>80</v>
      </c>
      <c r="B5" s="200" t="s">
        <v>59</v>
      </c>
      <c r="C5" s="200"/>
      <c r="D5" s="203">
        <v>4.0000000000000002E-4</v>
      </c>
      <c r="E5" s="202"/>
      <c r="F5" s="203">
        <v>0</v>
      </c>
    </row>
    <row r="6" spans="1:6" x14ac:dyDescent="0.25">
      <c r="A6" s="196" t="s">
        <v>84</v>
      </c>
      <c r="B6" s="200" t="s">
        <v>59</v>
      </c>
      <c r="C6" s="200"/>
      <c r="D6" s="203">
        <v>-1E-4</v>
      </c>
      <c r="E6" s="201"/>
      <c r="F6" s="203">
        <v>0</v>
      </c>
    </row>
    <row r="7" spans="1:6" x14ac:dyDescent="0.25">
      <c r="A7" s="196" t="s">
        <v>100</v>
      </c>
      <c r="B7" s="200" t="s">
        <v>59</v>
      </c>
      <c r="C7" s="200"/>
      <c r="D7" s="203"/>
      <c r="E7" s="201"/>
      <c r="F7" s="209">
        <f>-0.0129/2</f>
        <v>-6.45E-3</v>
      </c>
    </row>
    <row r="8" spans="1:6" x14ac:dyDescent="0.25">
      <c r="A8" s="196" t="s">
        <v>103</v>
      </c>
      <c r="B8" s="200" t="s">
        <v>59</v>
      </c>
      <c r="C8" s="200"/>
      <c r="D8" s="203"/>
      <c r="E8" s="201"/>
      <c r="F8" s="209">
        <f>0.0201/2</f>
        <v>1.005E-2</v>
      </c>
    </row>
    <row r="9" spans="1:6" x14ac:dyDescent="0.25">
      <c r="A9" s="196" t="s">
        <v>104</v>
      </c>
      <c r="B9" s="200" t="s">
        <v>59</v>
      </c>
      <c r="C9" s="200"/>
      <c r="D9" s="203"/>
      <c r="E9" s="201"/>
      <c r="F9" s="203">
        <v>2.0000000000000001E-4</v>
      </c>
    </row>
    <row r="10" spans="1:6" x14ac:dyDescent="0.25">
      <c r="A10" s="196" t="s">
        <v>105</v>
      </c>
      <c r="B10" s="200" t="s">
        <v>59</v>
      </c>
      <c r="C10" s="200"/>
      <c r="D10" s="203"/>
      <c r="E10" s="201"/>
      <c r="F10" s="203">
        <v>-1.9E-3</v>
      </c>
    </row>
    <row r="11" spans="1:6" x14ac:dyDescent="0.25">
      <c r="A11" s="199" t="s">
        <v>60</v>
      </c>
      <c r="B11" s="200" t="s">
        <v>59</v>
      </c>
      <c r="C11" s="200"/>
      <c r="D11" s="204">
        <v>7.0000000000000001E-3</v>
      </c>
      <c r="E11" s="205"/>
      <c r="F11" s="204">
        <v>7.1999999999999998E-3</v>
      </c>
    </row>
    <row r="12" spans="1:6" x14ac:dyDescent="0.25">
      <c r="A12" s="199" t="s">
        <v>61</v>
      </c>
      <c r="B12" s="200" t="s">
        <v>59</v>
      </c>
      <c r="C12" s="200"/>
      <c r="D12" s="204">
        <v>5.1000000000000004E-3</v>
      </c>
      <c r="E12" s="206"/>
      <c r="F12" s="204">
        <v>5.1999999999999998E-3</v>
      </c>
    </row>
    <row r="13" spans="1:6" x14ac:dyDescent="0.25">
      <c r="A13" s="199" t="s">
        <v>62</v>
      </c>
      <c r="B13" s="200" t="s">
        <v>59</v>
      </c>
      <c r="C13" s="200"/>
      <c r="D13" s="203">
        <v>4.4000000000000003E-3</v>
      </c>
      <c r="E13" s="201"/>
      <c r="F13" s="203">
        <v>4.4000000000000003E-3</v>
      </c>
    </row>
    <row r="14" spans="1:6" x14ac:dyDescent="0.25">
      <c r="A14" s="199" t="s">
        <v>63</v>
      </c>
      <c r="B14" s="200" t="s">
        <v>59</v>
      </c>
      <c r="C14" s="200"/>
      <c r="D14" s="203">
        <v>1.2999999999999999E-3</v>
      </c>
      <c r="E14" s="203"/>
      <c r="F14" s="203">
        <v>1.2999999999999999E-3</v>
      </c>
    </row>
    <row r="15" spans="1:6" x14ac:dyDescent="0.25">
      <c r="A15" s="199" t="s">
        <v>64</v>
      </c>
      <c r="B15" s="200" t="s">
        <v>58</v>
      </c>
      <c r="C15" s="200"/>
      <c r="D15" s="201">
        <v>0.79</v>
      </c>
      <c r="E15" s="203"/>
      <c r="F15" s="201">
        <v>0.79</v>
      </c>
    </row>
    <row r="16" spans="1:6" x14ac:dyDescent="0.25">
      <c r="A16" s="196" t="s">
        <v>65</v>
      </c>
      <c r="B16" s="200" t="s">
        <v>58</v>
      </c>
      <c r="C16" s="200"/>
      <c r="D16" s="201">
        <v>0.25</v>
      </c>
      <c r="E16" s="201"/>
      <c r="F16" s="201">
        <v>0.25</v>
      </c>
    </row>
    <row r="17" spans="1:6" x14ac:dyDescent="0.25">
      <c r="B17" s="200"/>
      <c r="C17" s="200"/>
      <c r="D17" s="199"/>
      <c r="E17" s="199"/>
      <c r="F17" s="199"/>
    </row>
    <row r="18" spans="1:6" x14ac:dyDescent="0.25">
      <c r="A18" s="190" t="s">
        <v>66</v>
      </c>
      <c r="B18" s="200"/>
      <c r="C18" s="200"/>
      <c r="D18" s="199"/>
      <c r="E18" s="199"/>
      <c r="F18" s="199"/>
    </row>
    <row r="19" spans="1:6" x14ac:dyDescent="0.25">
      <c r="A19" s="199" t="s">
        <v>23</v>
      </c>
      <c r="B19" s="200" t="s">
        <v>58</v>
      </c>
      <c r="C19" s="200"/>
      <c r="D19" s="201">
        <v>596.12</v>
      </c>
      <c r="E19" s="202"/>
      <c r="F19" s="201">
        <v>596.12</v>
      </c>
    </row>
    <row r="20" spans="1:6" x14ac:dyDescent="0.25">
      <c r="A20" s="199" t="s">
        <v>25</v>
      </c>
      <c r="B20" s="200" t="s">
        <v>67</v>
      </c>
      <c r="C20" s="200"/>
      <c r="D20" s="203">
        <v>3.0886999999999998</v>
      </c>
      <c r="E20" s="202"/>
      <c r="F20" s="203">
        <v>3.2725</v>
      </c>
    </row>
    <row r="21" spans="1:6" x14ac:dyDescent="0.25">
      <c r="A21" s="199" t="s">
        <v>80</v>
      </c>
      <c r="B21" s="200" t="s">
        <v>67</v>
      </c>
      <c r="C21" s="200"/>
      <c r="D21" s="203">
        <v>3.8800000000000001E-2</v>
      </c>
      <c r="E21" s="202"/>
      <c r="F21" s="203">
        <v>0</v>
      </c>
    </row>
    <row r="22" spans="1:6" x14ac:dyDescent="0.25">
      <c r="A22" s="196" t="s">
        <v>84</v>
      </c>
      <c r="B22" s="200" t="s">
        <v>67</v>
      </c>
      <c r="C22" s="200"/>
      <c r="D22" s="203">
        <v>-1.4800000000000001E-2</v>
      </c>
      <c r="E22" s="201"/>
      <c r="F22" s="203">
        <v>0</v>
      </c>
    </row>
    <row r="23" spans="1:6" x14ac:dyDescent="0.25">
      <c r="A23" s="196" t="s">
        <v>100</v>
      </c>
      <c r="B23" s="200" t="s">
        <v>67</v>
      </c>
      <c r="C23" s="200"/>
      <c r="D23" s="203"/>
      <c r="E23" s="201"/>
      <c r="F23" s="209">
        <f>-5.4026/2</f>
        <v>-2.7012999999999998</v>
      </c>
    </row>
    <row r="24" spans="1:6" x14ac:dyDescent="0.25">
      <c r="A24" s="196" t="s">
        <v>103</v>
      </c>
      <c r="B24" s="200" t="s">
        <v>67</v>
      </c>
      <c r="C24" s="200"/>
      <c r="D24" s="203"/>
      <c r="E24" s="201"/>
      <c r="F24" s="209">
        <f>8.4104/2</f>
        <v>4.2051999999999996</v>
      </c>
    </row>
    <row r="25" spans="1:6" x14ac:dyDescent="0.25">
      <c r="A25" s="196" t="s">
        <v>104</v>
      </c>
      <c r="B25" s="200" t="s">
        <v>67</v>
      </c>
      <c r="C25" s="200"/>
      <c r="D25" s="203"/>
      <c r="E25" s="201"/>
      <c r="F25" s="204">
        <v>2.8999999999999998E-3</v>
      </c>
    </row>
    <row r="26" spans="1:6" x14ac:dyDescent="0.25">
      <c r="A26" s="196" t="s">
        <v>105</v>
      </c>
      <c r="B26" s="200" t="s">
        <v>67</v>
      </c>
      <c r="C26" s="200"/>
      <c r="D26" s="203"/>
      <c r="E26" s="201"/>
      <c r="F26" s="203">
        <v>-0.78769999999999996</v>
      </c>
    </row>
    <row r="27" spans="1:6" x14ac:dyDescent="0.25">
      <c r="A27" s="199" t="s">
        <v>60</v>
      </c>
      <c r="B27" s="200" t="s">
        <v>67</v>
      </c>
      <c r="C27" s="200"/>
      <c r="D27" s="204">
        <v>2.5861000000000001</v>
      </c>
      <c r="E27" s="205"/>
      <c r="F27" s="204">
        <v>2.7770000000000001</v>
      </c>
    </row>
    <row r="28" spans="1:6" x14ac:dyDescent="0.25">
      <c r="A28" s="199" t="s">
        <v>61</v>
      </c>
      <c r="B28" s="200" t="s">
        <v>67</v>
      </c>
      <c r="C28" s="200"/>
      <c r="D28" s="204">
        <v>1.7988</v>
      </c>
      <c r="E28" s="206"/>
      <c r="F28" s="204">
        <v>1.9539</v>
      </c>
    </row>
    <row r="29" spans="1:6" x14ac:dyDescent="0.25">
      <c r="A29" s="199" t="s">
        <v>68</v>
      </c>
      <c r="B29" s="200" t="s">
        <v>67</v>
      </c>
      <c r="C29" s="200"/>
      <c r="D29" s="204">
        <v>2.7433000000000001</v>
      </c>
      <c r="E29" s="205"/>
      <c r="F29" s="204">
        <v>2.7770000000000001</v>
      </c>
    </row>
    <row r="30" spans="1:6" x14ac:dyDescent="0.25">
      <c r="A30" s="199" t="s">
        <v>69</v>
      </c>
      <c r="B30" s="200" t="s">
        <v>67</v>
      </c>
      <c r="C30" s="200"/>
      <c r="D30" s="204">
        <v>1.9879</v>
      </c>
      <c r="E30" s="206"/>
      <c r="F30" s="204">
        <v>1.9539</v>
      </c>
    </row>
    <row r="31" spans="1:6" x14ac:dyDescent="0.25">
      <c r="A31" s="199" t="s">
        <v>62</v>
      </c>
      <c r="B31" s="200" t="s">
        <v>59</v>
      </c>
      <c r="C31" s="200"/>
      <c r="D31" s="203">
        <v>4.4000000000000003E-3</v>
      </c>
      <c r="E31" s="201"/>
      <c r="F31" s="203">
        <v>4.4000000000000003E-3</v>
      </c>
    </row>
    <row r="32" spans="1:6" x14ac:dyDescent="0.25">
      <c r="A32" s="199" t="s">
        <v>63</v>
      </c>
      <c r="B32" s="200" t="s">
        <v>59</v>
      </c>
      <c r="C32" s="200"/>
      <c r="D32" s="203">
        <v>1.2999999999999999E-3</v>
      </c>
      <c r="E32" s="203"/>
      <c r="F32" s="203">
        <v>1.2999999999999999E-3</v>
      </c>
    </row>
    <row r="33" spans="1:6" x14ac:dyDescent="0.25">
      <c r="A33" s="196" t="s">
        <v>65</v>
      </c>
      <c r="B33" s="200" t="s">
        <v>58</v>
      </c>
      <c r="C33" s="200"/>
      <c r="D33" s="201">
        <v>0.25</v>
      </c>
      <c r="E33" s="201"/>
      <c r="F33" s="201">
        <v>0.25</v>
      </c>
    </row>
    <row r="34" spans="1:6" x14ac:dyDescent="0.25">
      <c r="B34" s="200"/>
      <c r="C34" s="200"/>
      <c r="D34" s="199"/>
      <c r="E34" s="199"/>
      <c r="F34" s="199"/>
    </row>
    <row r="35" spans="1:6" x14ac:dyDescent="0.25">
      <c r="A35" s="190" t="s">
        <v>70</v>
      </c>
      <c r="B35" s="200"/>
      <c r="C35" s="200"/>
      <c r="D35" s="199"/>
      <c r="E35" s="199"/>
      <c r="F35" s="199"/>
    </row>
    <row r="36" spans="1:6" x14ac:dyDescent="0.25">
      <c r="A36" s="199" t="s">
        <v>23</v>
      </c>
      <c r="B36" s="200" t="s">
        <v>58</v>
      </c>
      <c r="C36" s="200"/>
      <c r="D36" s="201">
        <v>26.75</v>
      </c>
      <c r="E36" s="202"/>
      <c r="F36" s="201">
        <v>26.75</v>
      </c>
    </row>
    <row r="37" spans="1:6" x14ac:dyDescent="0.25">
      <c r="A37" s="199" t="s">
        <v>25</v>
      </c>
      <c r="B37" s="200" t="s">
        <v>59</v>
      </c>
      <c r="C37" s="200"/>
      <c r="D37" s="203">
        <v>0.10290000000000001</v>
      </c>
      <c r="E37" s="202"/>
      <c r="F37" s="203">
        <v>0.1323</v>
      </c>
    </row>
    <row r="38" spans="1:6" x14ac:dyDescent="0.25">
      <c r="A38" s="199" t="s">
        <v>80</v>
      </c>
      <c r="B38" s="200" t="s">
        <v>59</v>
      </c>
      <c r="C38" s="200"/>
      <c r="D38" s="203">
        <v>5.0000000000000001E-4</v>
      </c>
      <c r="E38" s="202"/>
      <c r="F38" s="203">
        <v>0</v>
      </c>
    </row>
    <row r="39" spans="1:6" x14ac:dyDescent="0.25">
      <c r="A39" s="196" t="s">
        <v>102</v>
      </c>
      <c r="B39" s="200" t="s">
        <v>59</v>
      </c>
      <c r="C39" s="200"/>
      <c r="D39" s="204">
        <v>3.0700000000000002E-2</v>
      </c>
      <c r="E39" s="199"/>
      <c r="F39" s="204">
        <v>3.0700000000000002E-2</v>
      </c>
    </row>
    <row r="40" spans="1:6" x14ac:dyDescent="0.25">
      <c r="A40" s="196" t="s">
        <v>82</v>
      </c>
      <c r="B40" s="200" t="s">
        <v>58</v>
      </c>
      <c r="C40" s="200"/>
      <c r="D40" s="201">
        <v>3.57</v>
      </c>
      <c r="E40" s="199"/>
      <c r="F40" s="201">
        <v>3.57</v>
      </c>
    </row>
    <row r="41" spans="1:6" x14ac:dyDescent="0.25">
      <c r="A41" s="196" t="s">
        <v>83</v>
      </c>
      <c r="B41" s="200" t="s">
        <v>58</v>
      </c>
      <c r="C41" s="200"/>
      <c r="D41" s="201">
        <v>4.6900000000000004</v>
      </c>
      <c r="E41" s="199"/>
      <c r="F41" s="201">
        <v>0</v>
      </c>
    </row>
    <row r="42" spans="1:6" x14ac:dyDescent="0.25">
      <c r="A42" s="196" t="s">
        <v>101</v>
      </c>
      <c r="B42" s="200" t="s">
        <v>58</v>
      </c>
      <c r="C42" s="200"/>
      <c r="D42" s="201"/>
      <c r="E42" s="199"/>
      <c r="F42" s="201">
        <v>2.27</v>
      </c>
    </row>
    <row r="43" spans="1:6" x14ac:dyDescent="0.25">
      <c r="A43" s="196" t="s">
        <v>84</v>
      </c>
      <c r="B43" s="200" t="s">
        <v>59</v>
      </c>
      <c r="C43" s="200"/>
      <c r="D43" s="203">
        <v>-5.9999999999999995E-4</v>
      </c>
      <c r="E43" s="201"/>
      <c r="F43" s="203">
        <v>0</v>
      </c>
    </row>
    <row r="44" spans="1:6" x14ac:dyDescent="0.25">
      <c r="A44" s="196" t="s">
        <v>100</v>
      </c>
      <c r="B44" s="200" t="s">
        <v>59</v>
      </c>
      <c r="C44" s="200"/>
      <c r="D44" s="203"/>
      <c r="E44" s="201"/>
      <c r="F44" s="209">
        <f>-0.0129/2</f>
        <v>-6.45E-3</v>
      </c>
    </row>
    <row r="45" spans="1:6" x14ac:dyDescent="0.25">
      <c r="A45" s="196" t="s">
        <v>103</v>
      </c>
      <c r="B45" s="200" t="s">
        <v>59</v>
      </c>
      <c r="C45" s="200"/>
      <c r="D45" s="203"/>
      <c r="E45" s="201"/>
      <c r="F45" s="209">
        <f>0.0201/2</f>
        <v>1.005E-2</v>
      </c>
    </row>
    <row r="46" spans="1:6" x14ac:dyDescent="0.25">
      <c r="A46" s="196" t="s">
        <v>104</v>
      </c>
      <c r="B46" s="200" t="s">
        <v>59</v>
      </c>
      <c r="C46" s="200"/>
      <c r="D46" s="203"/>
      <c r="E46" s="201"/>
      <c r="F46" s="203">
        <v>0</v>
      </c>
    </row>
    <row r="47" spans="1:6" x14ac:dyDescent="0.25">
      <c r="A47" s="196" t="s">
        <v>105</v>
      </c>
      <c r="B47" s="200" t="s">
        <v>59</v>
      </c>
      <c r="C47" s="200"/>
      <c r="D47" s="203"/>
      <c r="E47" s="201"/>
      <c r="F47" s="203">
        <v>-1.9E-3</v>
      </c>
    </row>
    <row r="48" spans="1:6" x14ac:dyDescent="0.25">
      <c r="A48" s="199" t="s">
        <v>60</v>
      </c>
      <c r="B48" s="200" t="s">
        <v>59</v>
      </c>
      <c r="C48" s="200"/>
      <c r="D48" s="204">
        <v>7.0000000000000001E-3</v>
      </c>
      <c r="E48" s="205"/>
      <c r="F48" s="204">
        <v>7.1999999999999998E-3</v>
      </c>
    </row>
    <row r="49" spans="1:6" x14ac:dyDescent="0.25">
      <c r="A49" s="199" t="s">
        <v>61</v>
      </c>
      <c r="B49" s="200" t="s">
        <v>59</v>
      </c>
      <c r="C49" s="200"/>
      <c r="D49" s="204">
        <v>5.1000000000000004E-3</v>
      </c>
      <c r="E49" s="206"/>
      <c r="F49" s="204">
        <v>5.1999999999999998E-3</v>
      </c>
    </row>
    <row r="50" spans="1:6" x14ac:dyDescent="0.25">
      <c r="A50" s="199" t="s">
        <v>62</v>
      </c>
      <c r="B50" s="200" t="s">
        <v>59</v>
      </c>
      <c r="C50" s="200"/>
      <c r="D50" s="203">
        <v>4.4000000000000003E-3</v>
      </c>
      <c r="E50" s="201"/>
      <c r="F50" s="203">
        <v>4.4000000000000003E-3</v>
      </c>
    </row>
    <row r="51" spans="1:6" x14ac:dyDescent="0.25">
      <c r="A51" s="199" t="s">
        <v>63</v>
      </c>
      <c r="B51" s="200" t="s">
        <v>59</v>
      </c>
      <c r="C51" s="200"/>
      <c r="D51" s="203">
        <v>1.2999999999999999E-3</v>
      </c>
      <c r="E51" s="203"/>
      <c r="F51" s="203">
        <v>1.2999999999999999E-3</v>
      </c>
    </row>
    <row r="52" spans="1:6" x14ac:dyDescent="0.25">
      <c r="A52" s="199" t="s">
        <v>64</v>
      </c>
      <c r="B52" s="200" t="s">
        <v>58</v>
      </c>
      <c r="C52" s="200"/>
      <c r="D52" s="201">
        <v>0.79</v>
      </c>
      <c r="E52" s="203"/>
      <c r="F52" s="201">
        <v>0.79</v>
      </c>
    </row>
    <row r="53" spans="1:6" x14ac:dyDescent="0.25">
      <c r="A53" s="196" t="s">
        <v>65</v>
      </c>
      <c r="B53" s="200" t="s">
        <v>58</v>
      </c>
      <c r="C53" s="200"/>
      <c r="D53" s="201">
        <v>0.25</v>
      </c>
      <c r="E53" s="201"/>
      <c r="F53" s="201">
        <v>0.25</v>
      </c>
    </row>
    <row r="54" spans="1:6" x14ac:dyDescent="0.25">
      <c r="B54" s="200"/>
      <c r="C54" s="200"/>
      <c r="D54" s="199"/>
      <c r="E54" s="199"/>
      <c r="F54" s="199"/>
    </row>
    <row r="55" spans="1:6" x14ac:dyDescent="0.25">
      <c r="A55" s="190" t="s">
        <v>71</v>
      </c>
      <c r="B55" s="200"/>
      <c r="C55" s="200"/>
      <c r="D55" s="200"/>
      <c r="E55" s="199"/>
      <c r="F55" s="200"/>
    </row>
    <row r="56" spans="1:6" x14ac:dyDescent="0.25">
      <c r="A56" s="199" t="s">
        <v>23</v>
      </c>
      <c r="B56" s="200" t="s">
        <v>58</v>
      </c>
      <c r="C56" s="200"/>
      <c r="D56" s="201">
        <v>0.98</v>
      </c>
      <c r="E56" s="202"/>
      <c r="F56" s="201">
        <v>0.98</v>
      </c>
    </row>
    <row r="57" spans="1:6" x14ac:dyDescent="0.25">
      <c r="A57" s="199" t="s">
        <v>25</v>
      </c>
      <c r="B57" s="200" t="s">
        <v>59</v>
      </c>
      <c r="C57" s="200"/>
      <c r="D57" s="203">
        <v>0.15790000000000001</v>
      </c>
      <c r="E57" s="202"/>
      <c r="F57" s="203">
        <v>0.18490000000000001</v>
      </c>
    </row>
    <row r="58" spans="1:6" x14ac:dyDescent="0.25">
      <c r="A58" s="199" t="s">
        <v>80</v>
      </c>
      <c r="B58" s="200" t="s">
        <v>59</v>
      </c>
      <c r="C58" s="200"/>
      <c r="D58" s="203">
        <v>5.0000000000000001E-4</v>
      </c>
      <c r="E58" s="202"/>
      <c r="F58" s="203">
        <v>0</v>
      </c>
    </row>
    <row r="59" spans="1:6" x14ac:dyDescent="0.25">
      <c r="A59" s="196" t="s">
        <v>84</v>
      </c>
      <c r="B59" s="200" t="s">
        <v>59</v>
      </c>
      <c r="C59" s="200"/>
      <c r="D59" s="203">
        <v>-5.0000000000000001E-4</v>
      </c>
      <c r="E59" s="202"/>
      <c r="F59" s="203">
        <v>0</v>
      </c>
    </row>
    <row r="60" spans="1:6" x14ac:dyDescent="0.25">
      <c r="A60" s="196" t="s">
        <v>100</v>
      </c>
      <c r="B60" s="200" t="s">
        <v>59</v>
      </c>
      <c r="C60" s="200"/>
      <c r="D60" s="203"/>
      <c r="E60" s="202"/>
      <c r="F60" s="209">
        <f>-0.0129/2</f>
        <v>-6.45E-3</v>
      </c>
    </row>
    <row r="61" spans="1:6" x14ac:dyDescent="0.25">
      <c r="A61" s="196" t="s">
        <v>103</v>
      </c>
      <c r="B61" s="200" t="s">
        <v>59</v>
      </c>
      <c r="C61" s="200"/>
      <c r="D61" s="203"/>
      <c r="E61" s="202"/>
      <c r="F61" s="209">
        <f>0.0201/2</f>
        <v>1.005E-2</v>
      </c>
    </row>
    <row r="62" spans="1:6" x14ac:dyDescent="0.25">
      <c r="A62" s="196" t="s">
        <v>104</v>
      </c>
      <c r="B62" s="200" t="s">
        <v>59</v>
      </c>
      <c r="C62" s="200"/>
      <c r="D62" s="203"/>
      <c r="E62" s="202"/>
      <c r="F62" s="203">
        <v>0</v>
      </c>
    </row>
    <row r="63" spans="1:6" x14ac:dyDescent="0.25">
      <c r="A63" s="196" t="s">
        <v>105</v>
      </c>
      <c r="B63" s="200" t="s">
        <v>59</v>
      </c>
      <c r="C63" s="200"/>
      <c r="D63" s="203"/>
      <c r="E63" s="202"/>
      <c r="F63" s="203">
        <v>-1.9E-3</v>
      </c>
    </row>
    <row r="64" spans="1:6" x14ac:dyDescent="0.25">
      <c r="A64" s="199" t="s">
        <v>60</v>
      </c>
      <c r="B64" s="200" t="s">
        <v>67</v>
      </c>
      <c r="C64" s="200"/>
      <c r="D64" s="204">
        <v>1.9502999999999999</v>
      </c>
      <c r="E64" s="205"/>
      <c r="F64" s="204">
        <v>2.0108999999999999</v>
      </c>
    </row>
    <row r="65" spans="1:6" x14ac:dyDescent="0.25">
      <c r="A65" s="199" t="s">
        <v>61</v>
      </c>
      <c r="B65" s="200" t="s">
        <v>67</v>
      </c>
      <c r="C65" s="200"/>
      <c r="D65" s="204">
        <v>1.3906000000000001</v>
      </c>
      <c r="E65" s="206"/>
      <c r="F65" s="204">
        <v>1.4094</v>
      </c>
    </row>
    <row r="66" spans="1:6" x14ac:dyDescent="0.25">
      <c r="A66" s="199" t="s">
        <v>62</v>
      </c>
      <c r="B66" s="200" t="s">
        <v>59</v>
      </c>
      <c r="C66" s="200"/>
      <c r="D66" s="203">
        <v>4.4000000000000003E-3</v>
      </c>
      <c r="E66" s="201"/>
      <c r="F66" s="203">
        <v>4.4000000000000003E-3</v>
      </c>
    </row>
    <row r="67" spans="1:6" x14ac:dyDescent="0.25">
      <c r="A67" s="199" t="s">
        <v>63</v>
      </c>
      <c r="B67" s="200" t="s">
        <v>59</v>
      </c>
      <c r="C67" s="200"/>
      <c r="D67" s="203">
        <v>1.2999999999999999E-3</v>
      </c>
      <c r="E67" s="203"/>
      <c r="F67" s="203">
        <v>1.2999999999999999E-3</v>
      </c>
    </row>
    <row r="68" spans="1:6" x14ac:dyDescent="0.25">
      <c r="A68" s="196" t="s">
        <v>65</v>
      </c>
      <c r="B68" s="200" t="s">
        <v>58</v>
      </c>
      <c r="C68" s="200"/>
      <c r="D68" s="201">
        <v>0.25</v>
      </c>
      <c r="E68" s="201"/>
      <c r="F68" s="201">
        <v>0.25</v>
      </c>
    </row>
    <row r="69" spans="1:6" x14ac:dyDescent="0.25">
      <c r="B69" s="200"/>
      <c r="C69" s="200"/>
      <c r="D69" s="199"/>
      <c r="E69" s="199"/>
      <c r="F69" s="199"/>
    </row>
    <row r="70" spans="1:6" x14ac:dyDescent="0.25">
      <c r="A70" s="190" t="s">
        <v>72</v>
      </c>
      <c r="B70" s="200"/>
      <c r="C70" s="200"/>
      <c r="D70" s="199"/>
      <c r="E70" s="199"/>
      <c r="F70" s="199"/>
    </row>
    <row r="71" spans="1:6" x14ac:dyDescent="0.25">
      <c r="A71" s="194" t="s">
        <v>73</v>
      </c>
      <c r="B71" s="200" t="s">
        <v>59</v>
      </c>
      <c r="C71" s="200"/>
      <c r="D71" s="203">
        <v>2E-3</v>
      </c>
      <c r="E71" s="199"/>
      <c r="F71" s="203">
        <v>2E-3</v>
      </c>
    </row>
    <row r="72" spans="1:6" x14ac:dyDescent="0.25">
      <c r="A72" s="194" t="s">
        <v>74</v>
      </c>
      <c r="B72" s="200" t="s">
        <v>59</v>
      </c>
      <c r="C72" s="200"/>
      <c r="D72" s="203">
        <v>8.3000000000000004E-2</v>
      </c>
      <c r="E72" s="199"/>
      <c r="F72" s="203">
        <v>8.3000000000000004E-2</v>
      </c>
    </row>
    <row r="73" spans="1:6" x14ac:dyDescent="0.25">
      <c r="A73" s="194" t="s">
        <v>75</v>
      </c>
      <c r="B73" s="200" t="s">
        <v>59</v>
      </c>
      <c r="C73" s="200"/>
      <c r="D73" s="203">
        <v>9.7000000000000003E-2</v>
      </c>
      <c r="E73" s="199"/>
      <c r="F73" s="203">
        <v>9.7000000000000003E-2</v>
      </c>
    </row>
    <row r="74" spans="1:6" x14ac:dyDescent="0.25">
      <c r="B74" s="200"/>
      <c r="C74" s="200"/>
      <c r="D74" s="199"/>
      <c r="E74" s="199"/>
      <c r="F74" s="199"/>
    </row>
    <row r="75" spans="1:6" x14ac:dyDescent="0.25">
      <c r="A75" s="190" t="s">
        <v>76</v>
      </c>
      <c r="B75" s="200"/>
      <c r="C75" s="200"/>
      <c r="D75" s="199"/>
      <c r="E75" s="201"/>
      <c r="F75" s="199"/>
    </row>
    <row r="76" spans="1:6" x14ac:dyDescent="0.25">
      <c r="A76" s="194" t="s">
        <v>77</v>
      </c>
      <c r="B76" s="200" t="s">
        <v>78</v>
      </c>
      <c r="C76" s="200"/>
      <c r="D76" s="203">
        <v>8.6400000000000005E-2</v>
      </c>
      <c r="E76" s="199"/>
      <c r="F76" s="203">
        <v>9.1700000000000004E-2</v>
      </c>
    </row>
    <row r="77" spans="1:6" x14ac:dyDescent="0.25">
      <c r="B77" s="200"/>
      <c r="C77" s="200"/>
      <c r="D77" s="199"/>
      <c r="E77" s="199"/>
      <c r="F77" s="199"/>
    </row>
    <row r="78" spans="1:6" x14ac:dyDescent="0.25">
      <c r="A78" s="190" t="s">
        <v>10</v>
      </c>
      <c r="B78" s="200"/>
      <c r="C78" s="200"/>
      <c r="D78" s="199"/>
      <c r="E78" s="199"/>
      <c r="F78" s="199"/>
    </row>
    <row r="79" spans="1:6" x14ac:dyDescent="0.25">
      <c r="A79" s="194" t="s">
        <v>40</v>
      </c>
      <c r="B79" s="200" t="s">
        <v>59</v>
      </c>
      <c r="C79" s="200"/>
      <c r="D79" s="199">
        <v>7.1999999999999995E-2</v>
      </c>
      <c r="E79" s="199"/>
      <c r="F79" s="199">
        <v>7.1999999999999995E-2</v>
      </c>
    </row>
    <row r="80" spans="1:6" x14ac:dyDescent="0.25">
      <c r="A80" s="194" t="s">
        <v>41</v>
      </c>
      <c r="B80" s="200" t="s">
        <v>59</v>
      </c>
      <c r="C80" s="200"/>
      <c r="D80" s="199">
        <v>0.109</v>
      </c>
      <c r="E80" s="199"/>
      <c r="F80" s="199">
        <v>0.109</v>
      </c>
    </row>
    <row r="81" spans="1:6" x14ac:dyDescent="0.25">
      <c r="A81" s="194" t="s">
        <v>42</v>
      </c>
      <c r="B81" s="200" t="s">
        <v>59</v>
      </c>
      <c r="C81" s="200"/>
      <c r="D81" s="199">
        <v>0.129</v>
      </c>
      <c r="E81" s="199"/>
      <c r="F81" s="199">
        <v>0.129</v>
      </c>
    </row>
    <row r="82" spans="1:6" x14ac:dyDescent="0.25">
      <c r="B82" s="200"/>
      <c r="C82" s="200"/>
      <c r="D82" s="199"/>
      <c r="E82" s="199"/>
      <c r="F82" s="199"/>
    </row>
    <row r="83" spans="1:6" x14ac:dyDescent="0.25">
      <c r="A83" s="194" t="s">
        <v>89</v>
      </c>
      <c r="B83" s="200" t="s">
        <v>59</v>
      </c>
      <c r="C83" s="200"/>
      <c r="D83" s="199">
        <v>8.949E-2</v>
      </c>
      <c r="E83" s="199"/>
      <c r="F83" s="199">
        <v>8.949E-2</v>
      </c>
    </row>
    <row r="84" spans="1:6" x14ac:dyDescent="0.25">
      <c r="A84" s="194" t="s">
        <v>90</v>
      </c>
      <c r="B84" s="200" t="s">
        <v>59</v>
      </c>
      <c r="C84" s="200"/>
      <c r="D84" s="199">
        <v>8.899E-2</v>
      </c>
      <c r="E84" s="199"/>
      <c r="F84" s="199">
        <v>8.899E-2</v>
      </c>
    </row>
    <row r="85" spans="1:6" x14ac:dyDescent="0.25">
      <c r="B85" s="200"/>
      <c r="C85" s="200"/>
      <c r="D85" s="199"/>
      <c r="E85" s="199"/>
      <c r="F85" s="199"/>
    </row>
    <row r="86" spans="1:6" x14ac:dyDescent="0.25">
      <c r="B86" s="207"/>
      <c r="C86" s="207"/>
      <c r="D86" s="198"/>
      <c r="E86" s="198"/>
      <c r="F86" s="198"/>
    </row>
    <row r="87" spans="1:6" x14ac:dyDescent="0.25">
      <c r="B87" s="207"/>
      <c r="C87" s="207"/>
      <c r="D87" s="198"/>
      <c r="E87" s="198"/>
      <c r="F87" s="198"/>
    </row>
    <row r="88" spans="1:6" x14ac:dyDescent="0.25">
      <c r="B88" s="207"/>
      <c r="C88" s="207"/>
      <c r="D88" s="198"/>
      <c r="E88" s="198"/>
      <c r="F88" s="198"/>
    </row>
  </sheetData>
  <pageMargins left="0.7" right="0.7" top="0.75" bottom="0.75" header="0.3" footer="0.3"/>
  <pageSetup scale="73" fitToHeight="0" orientation="portrait" r:id="rId1"/>
  <rowBreaks count="1" manualBreakCount="1">
    <brk id="5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T76"/>
  <sheetViews>
    <sheetView showGridLines="0" topLeftCell="A35" zoomScaleNormal="100" workbookViewId="0">
      <selection activeCell="L65" sqref="L65"/>
    </sheetView>
  </sheetViews>
  <sheetFormatPr defaultRowHeight="15" x14ac:dyDescent="0.25"/>
  <cols>
    <col min="1" max="1" width="2.140625" style="10" customWidth="1"/>
    <col min="2" max="2" width="37.5703125" style="10" customWidth="1"/>
    <col min="3" max="3" width="1.28515625" style="10" customWidth="1"/>
    <col min="4" max="4" width="11.28515625" style="10" customWidth="1"/>
    <col min="5" max="5" width="1.28515625" style="10" customWidth="1"/>
    <col min="6" max="6" width="12.28515625" style="10" customWidth="1"/>
    <col min="7" max="7" width="8.5703125" style="10" customWidth="1"/>
    <col min="8" max="8" width="10.28515625" style="10" bestFit="1" customWidth="1"/>
    <col min="9" max="9" width="2.85546875" style="10" customWidth="1"/>
    <col min="10" max="10" width="12.140625" style="10" customWidth="1"/>
    <col min="11" max="11" width="8.5703125" style="10" customWidth="1"/>
    <col min="12" max="12" width="10.28515625" style="10" bestFit="1" customWidth="1"/>
    <col min="13" max="13" width="2.85546875" style="10" customWidth="1"/>
    <col min="14" max="14" width="12.7109375" style="10" bestFit="1" customWidth="1"/>
    <col min="15" max="15" width="10.85546875" style="10" bestFit="1" customWidth="1"/>
    <col min="16" max="16" width="3.85546875" style="10" customWidth="1"/>
    <col min="17" max="19" width="9.140625" style="10"/>
    <col min="20" max="20" width="9.140625" style="10" customWidth="1"/>
    <col min="21" max="16384" width="9.140625" style="10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O1" s="4">
        <f>EBNUMBER</f>
        <v>0</v>
      </c>
      <c r="P1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 t="s">
        <v>1</v>
      </c>
      <c r="O2" s="6"/>
      <c r="P2"/>
    </row>
    <row r="3" spans="1:20" s="2" customFormat="1" ht="15" customHeight="1" x14ac:dyDescent="0.25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N3" s="3" t="s">
        <v>2</v>
      </c>
      <c r="O3" s="6"/>
      <c r="P3"/>
    </row>
    <row r="4" spans="1:20" s="2" customFormat="1" ht="15" customHeight="1" x14ac:dyDescent="0.25">
      <c r="A4" s="5"/>
      <c r="B4" s="5"/>
      <c r="C4" s="5"/>
      <c r="D4" s="5"/>
      <c r="E4" s="5"/>
      <c r="F4" s="5"/>
      <c r="G4" s="5"/>
      <c r="H4" s="5"/>
      <c r="I4" s="7"/>
      <c r="J4" s="7"/>
      <c r="K4" s="7"/>
      <c r="N4" s="3" t="s">
        <v>3</v>
      </c>
      <c r="O4" s="6"/>
      <c r="P4"/>
    </row>
    <row r="5" spans="1:20" s="2" customFormat="1" ht="15" customHeight="1" x14ac:dyDescent="0.25">
      <c r="C5" s="8"/>
      <c r="D5" s="8"/>
      <c r="E5" s="8"/>
      <c r="N5" s="3" t="s">
        <v>4</v>
      </c>
      <c r="O5" s="9"/>
      <c r="P5"/>
    </row>
    <row r="6" spans="1:20" s="2" customFormat="1" ht="9" customHeight="1" x14ac:dyDescent="0.25">
      <c r="N6" s="3"/>
      <c r="O6" s="4"/>
      <c r="P6"/>
    </row>
    <row r="7" spans="1:20" s="2" customFormat="1" x14ac:dyDescent="0.25">
      <c r="N7" s="3" t="s">
        <v>5</v>
      </c>
      <c r="O7" s="9"/>
      <c r="P7"/>
    </row>
    <row r="8" spans="1:20" s="2" customFormat="1" ht="15" customHeight="1" x14ac:dyDescent="0.25">
      <c r="N8" s="10"/>
      <c r="O8"/>
      <c r="P8"/>
    </row>
    <row r="9" spans="1:20" ht="7.5" customHeight="1" x14ac:dyDescent="0.25">
      <c r="L9"/>
      <c r="M9"/>
      <c r="N9"/>
      <c r="O9"/>
      <c r="P9"/>
    </row>
    <row r="10" spans="1:20" ht="18.75" customHeight="1" x14ac:dyDescent="0.25">
      <c r="B10" s="214" t="s">
        <v>6</v>
      </c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/>
    </row>
    <row r="11" spans="1:20" ht="18.75" customHeight="1" x14ac:dyDescent="0.25">
      <c r="B11" s="214" t="s">
        <v>7</v>
      </c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/>
    </row>
    <row r="12" spans="1:20" ht="7.5" customHeight="1" x14ac:dyDescent="0.25">
      <c r="L12"/>
      <c r="M12"/>
      <c r="N12"/>
      <c r="O12"/>
      <c r="P12"/>
    </row>
    <row r="13" spans="1:20" ht="7.5" customHeight="1" x14ac:dyDescent="0.25">
      <c r="L13"/>
      <c r="M13"/>
      <c r="N13"/>
      <c r="O13"/>
      <c r="P13"/>
    </row>
    <row r="14" spans="1:20" ht="15.75" x14ac:dyDescent="0.25">
      <c r="B14" s="11" t="s">
        <v>8</v>
      </c>
      <c r="D14" s="215" t="s">
        <v>107</v>
      </c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</row>
    <row r="15" spans="1:20" ht="7.5" customHeight="1" x14ac:dyDescent="0.25">
      <c r="B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20" ht="15.75" x14ac:dyDescent="0.25">
      <c r="B16" s="11" t="s">
        <v>9</v>
      </c>
      <c r="D16" s="14" t="s">
        <v>10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2:15" ht="15.75" x14ac:dyDescent="0.25">
      <c r="B17" s="12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2:15" x14ac:dyDescent="0.25">
      <c r="B18" s="15"/>
      <c r="D18" s="16" t="s">
        <v>11</v>
      </c>
      <c r="E18" s="16"/>
      <c r="F18" s="17">
        <v>15000</v>
      </c>
      <c r="G18" s="16" t="s">
        <v>12</v>
      </c>
    </row>
    <row r="19" spans="2:15" x14ac:dyDescent="0.25">
      <c r="B19" s="15"/>
    </row>
    <row r="20" spans="2:15" x14ac:dyDescent="0.25">
      <c r="B20" s="15"/>
      <c r="D20" s="18"/>
      <c r="E20" s="18"/>
      <c r="F20" s="216" t="s">
        <v>13</v>
      </c>
      <c r="G20" s="217"/>
      <c r="H20" s="218"/>
      <c r="J20" s="216" t="s">
        <v>14</v>
      </c>
      <c r="K20" s="217"/>
      <c r="L20" s="218"/>
      <c r="N20" s="216" t="s">
        <v>15</v>
      </c>
      <c r="O20" s="218"/>
    </row>
    <row r="21" spans="2:15" x14ac:dyDescent="0.25">
      <c r="B21" s="15"/>
      <c r="D21" s="220" t="s">
        <v>16</v>
      </c>
      <c r="E21" s="19"/>
      <c r="F21" s="20" t="s">
        <v>17</v>
      </c>
      <c r="G21" s="20" t="s">
        <v>18</v>
      </c>
      <c r="H21" s="21" t="s">
        <v>19</v>
      </c>
      <c r="J21" s="20" t="s">
        <v>17</v>
      </c>
      <c r="K21" s="22" t="s">
        <v>18</v>
      </c>
      <c r="L21" s="21" t="s">
        <v>19</v>
      </c>
      <c r="N21" s="222" t="s">
        <v>20</v>
      </c>
      <c r="O21" s="224" t="s">
        <v>21</v>
      </c>
    </row>
    <row r="22" spans="2:15" x14ac:dyDescent="0.25">
      <c r="B22" s="15"/>
      <c r="D22" s="221"/>
      <c r="E22" s="19"/>
      <c r="F22" s="23" t="s">
        <v>22</v>
      </c>
      <c r="G22" s="23"/>
      <c r="H22" s="24" t="s">
        <v>22</v>
      </c>
      <c r="J22" s="23" t="s">
        <v>22</v>
      </c>
      <c r="K22" s="24"/>
      <c r="L22" s="24" t="s">
        <v>22</v>
      </c>
      <c r="N22" s="223"/>
      <c r="O22" s="225"/>
    </row>
    <row r="23" spans="2:15" x14ac:dyDescent="0.25">
      <c r="B23" s="25" t="s">
        <v>23</v>
      </c>
      <c r="C23" s="25"/>
      <c r="D23" s="26" t="s">
        <v>79</v>
      </c>
      <c r="E23" s="27"/>
      <c r="F23" s="28">
        <f>Rates!D3</f>
        <v>23.16</v>
      </c>
      <c r="G23" s="29">
        <v>1</v>
      </c>
      <c r="H23" s="30">
        <f>G23*F23</f>
        <v>23.16</v>
      </c>
      <c r="I23" s="31"/>
      <c r="J23" s="32">
        <f>Rates!F3</f>
        <v>24.03</v>
      </c>
      <c r="K23" s="33">
        <v>1</v>
      </c>
      <c r="L23" s="30">
        <f>K23*J23</f>
        <v>24.03</v>
      </c>
      <c r="M23" s="31"/>
      <c r="N23" s="34">
        <f>L23-H23</f>
        <v>0.87000000000000099</v>
      </c>
      <c r="O23" s="35">
        <f>IF((H23)=0,"",(N23/H23))</f>
        <v>3.7564766839378282E-2</v>
      </c>
    </row>
    <row r="24" spans="2:15" x14ac:dyDescent="0.25">
      <c r="B24" s="25" t="s">
        <v>24</v>
      </c>
      <c r="C24" s="25"/>
      <c r="D24" s="26"/>
      <c r="E24" s="27"/>
      <c r="F24" s="28"/>
      <c r="G24" s="29">
        <v>1</v>
      </c>
      <c r="H24" s="30">
        <f t="shared" ref="H24:H38" si="0">G24*F24</f>
        <v>0</v>
      </c>
      <c r="I24" s="31"/>
      <c r="J24" s="32"/>
      <c r="K24" s="33">
        <v>1</v>
      </c>
      <c r="L24" s="30">
        <f>K24*J24</f>
        <v>0</v>
      </c>
      <c r="M24" s="31"/>
      <c r="N24" s="34">
        <f>L24-H24</f>
        <v>0</v>
      </c>
      <c r="O24" s="35" t="str">
        <f>IF((H24)=0,"",(N24/H24))</f>
        <v/>
      </c>
    </row>
    <row r="25" spans="2:15" x14ac:dyDescent="0.25">
      <c r="B25" s="36"/>
      <c r="C25" s="25"/>
      <c r="D25" s="26"/>
      <c r="E25" s="27"/>
      <c r="F25" s="28"/>
      <c r="G25" s="29">
        <v>1</v>
      </c>
      <c r="H25" s="30">
        <f t="shared" si="0"/>
        <v>0</v>
      </c>
      <c r="I25" s="31"/>
      <c r="J25" s="32"/>
      <c r="K25" s="33">
        <v>1</v>
      </c>
      <c r="L25" s="30">
        <f t="shared" ref="L25:L38" si="1">K25*J25</f>
        <v>0</v>
      </c>
      <c r="M25" s="31"/>
      <c r="N25" s="34">
        <f t="shared" ref="N25:N39" si="2">L25-H25</f>
        <v>0</v>
      </c>
      <c r="O25" s="35" t="str">
        <f t="shared" ref="O25:O39" si="3">IF((H25)=0,"",(N25/H25))</f>
        <v/>
      </c>
    </row>
    <row r="26" spans="2:15" x14ac:dyDescent="0.25">
      <c r="B26" s="36"/>
      <c r="C26" s="25"/>
      <c r="D26" s="26"/>
      <c r="E26" s="27"/>
      <c r="F26" s="28"/>
      <c r="G26" s="29">
        <v>1</v>
      </c>
      <c r="H26" s="30">
        <f t="shared" si="0"/>
        <v>0</v>
      </c>
      <c r="I26" s="31"/>
      <c r="J26" s="32"/>
      <c r="K26" s="33">
        <v>1</v>
      </c>
      <c r="L26" s="30">
        <f t="shared" si="1"/>
        <v>0</v>
      </c>
      <c r="M26" s="31"/>
      <c r="N26" s="34">
        <f t="shared" si="2"/>
        <v>0</v>
      </c>
      <c r="O26" s="35" t="str">
        <f t="shared" si="3"/>
        <v/>
      </c>
    </row>
    <row r="27" spans="2:15" x14ac:dyDescent="0.25">
      <c r="B27" s="36"/>
      <c r="C27" s="25"/>
      <c r="D27" s="26"/>
      <c r="E27" s="27"/>
      <c r="F27" s="28"/>
      <c r="G27" s="29">
        <v>1</v>
      </c>
      <c r="H27" s="30">
        <f t="shared" si="0"/>
        <v>0</v>
      </c>
      <c r="I27" s="31"/>
      <c r="J27" s="32"/>
      <c r="K27" s="33">
        <v>1</v>
      </c>
      <c r="L27" s="30">
        <f t="shared" si="1"/>
        <v>0</v>
      </c>
      <c r="M27" s="31"/>
      <c r="N27" s="34">
        <f t="shared" si="2"/>
        <v>0</v>
      </c>
      <c r="O27" s="35" t="str">
        <f t="shared" si="3"/>
        <v/>
      </c>
    </row>
    <row r="28" spans="2:15" x14ac:dyDescent="0.25">
      <c r="B28" s="36"/>
      <c r="C28" s="25"/>
      <c r="D28" s="26"/>
      <c r="E28" s="27"/>
      <c r="F28" s="28"/>
      <c r="G28" s="29">
        <v>1</v>
      </c>
      <c r="H28" s="30">
        <f t="shared" si="0"/>
        <v>0</v>
      </c>
      <c r="I28" s="31"/>
      <c r="J28" s="32"/>
      <c r="K28" s="33">
        <v>1</v>
      </c>
      <c r="L28" s="30">
        <f t="shared" si="1"/>
        <v>0</v>
      </c>
      <c r="M28" s="31"/>
      <c r="N28" s="34">
        <f t="shared" si="2"/>
        <v>0</v>
      </c>
      <c r="O28" s="35" t="str">
        <f t="shared" si="3"/>
        <v/>
      </c>
    </row>
    <row r="29" spans="2:15" x14ac:dyDescent="0.25">
      <c r="B29" s="25" t="s">
        <v>25</v>
      </c>
      <c r="C29" s="25"/>
      <c r="D29" s="26" t="s">
        <v>81</v>
      </c>
      <c r="E29" s="27"/>
      <c r="F29" s="28">
        <f>Rates!D4</f>
        <v>3.2500000000000001E-2</v>
      </c>
      <c r="G29" s="29">
        <f>$F$18</f>
        <v>15000</v>
      </c>
      <c r="H29" s="30">
        <f t="shared" si="0"/>
        <v>487.5</v>
      </c>
      <c r="I29" s="31"/>
      <c r="J29" s="32">
        <f>Rates!F4</f>
        <v>3.3700000000000001E-2</v>
      </c>
      <c r="K29" s="29">
        <f>$F$18</f>
        <v>15000</v>
      </c>
      <c r="L29" s="30">
        <f t="shared" si="1"/>
        <v>505.5</v>
      </c>
      <c r="M29" s="31"/>
      <c r="N29" s="34">
        <f t="shared" si="2"/>
        <v>18</v>
      </c>
      <c r="O29" s="35">
        <f t="shared" si="3"/>
        <v>3.6923076923076927E-2</v>
      </c>
    </row>
    <row r="30" spans="2:15" x14ac:dyDescent="0.25">
      <c r="B30" s="25" t="s">
        <v>26</v>
      </c>
      <c r="C30" s="25"/>
      <c r="D30" s="26"/>
      <c r="E30" s="27"/>
      <c r="F30" s="28"/>
      <c r="G30" s="29">
        <f t="shared" ref="G30" si="4">$F$18</f>
        <v>15000</v>
      </c>
      <c r="H30" s="30">
        <f t="shared" si="0"/>
        <v>0</v>
      </c>
      <c r="I30" s="31"/>
      <c r="J30" s="32"/>
      <c r="K30" s="29">
        <f t="shared" ref="K30:K38" si="5">$F$18</f>
        <v>15000</v>
      </c>
      <c r="L30" s="30">
        <f t="shared" si="1"/>
        <v>0</v>
      </c>
      <c r="M30" s="31"/>
      <c r="N30" s="34">
        <f t="shared" si="2"/>
        <v>0</v>
      </c>
      <c r="O30" s="35" t="str">
        <f t="shared" si="3"/>
        <v/>
      </c>
    </row>
    <row r="31" spans="2:15" ht="45" x14ac:dyDescent="0.25">
      <c r="B31" s="72" t="str">
        <f>Rates!A9</f>
        <v>Rate Rider for the Recovery of Lost Revenue Adjustment (LRAM) - effective until December 31, 2015</v>
      </c>
      <c r="C31" s="25"/>
      <c r="D31" s="63" t="s">
        <v>81</v>
      </c>
      <c r="E31" s="27"/>
      <c r="F31" s="32">
        <f>Rates!D9</f>
        <v>0</v>
      </c>
      <c r="G31" s="29">
        <f>$F$18</f>
        <v>15000</v>
      </c>
      <c r="H31" s="30">
        <f t="shared" si="0"/>
        <v>0</v>
      </c>
      <c r="I31" s="31"/>
      <c r="J31" s="32">
        <f>Rates!F9</f>
        <v>2.0000000000000001E-4</v>
      </c>
      <c r="K31" s="29">
        <f t="shared" si="5"/>
        <v>15000</v>
      </c>
      <c r="L31" s="30">
        <f t="shared" si="1"/>
        <v>3</v>
      </c>
      <c r="M31" s="31"/>
      <c r="N31" s="34">
        <f t="shared" si="2"/>
        <v>3</v>
      </c>
      <c r="O31" s="35" t="str">
        <f t="shared" si="3"/>
        <v/>
      </c>
    </row>
    <row r="32" spans="2:15" ht="30" x14ac:dyDescent="0.25">
      <c r="B32" s="183" t="str">
        <f>Rates!A5</f>
        <v>Foregone Revenue Recovery - effective until December 31, 2014 (2014)</v>
      </c>
      <c r="C32" s="25"/>
      <c r="D32" s="63" t="s">
        <v>81</v>
      </c>
      <c r="E32" s="27"/>
      <c r="F32" s="32">
        <f>Rates!D5</f>
        <v>4.0000000000000002E-4</v>
      </c>
      <c r="G32" s="29">
        <f t="shared" ref="G32:G38" si="6">$F$18</f>
        <v>15000</v>
      </c>
      <c r="H32" s="30">
        <f t="shared" si="0"/>
        <v>6</v>
      </c>
      <c r="I32" s="31"/>
      <c r="J32" s="32">
        <f>Rates!F5</f>
        <v>0</v>
      </c>
      <c r="K32" s="29">
        <f t="shared" si="5"/>
        <v>15000</v>
      </c>
      <c r="L32" s="30">
        <f t="shared" si="1"/>
        <v>0</v>
      </c>
      <c r="M32" s="31"/>
      <c r="N32" s="34">
        <f t="shared" si="2"/>
        <v>-6</v>
      </c>
      <c r="O32" s="35">
        <f t="shared" si="3"/>
        <v>-1</v>
      </c>
    </row>
    <row r="33" spans="2:15" ht="30" x14ac:dyDescent="0.25">
      <c r="B33" s="183" t="str">
        <f>Rates!A6</f>
        <v>Tax Changes - effective until December 31, 2014</v>
      </c>
      <c r="C33" s="25"/>
      <c r="D33" s="63" t="s">
        <v>81</v>
      </c>
      <c r="E33" s="27"/>
      <c r="F33" s="32">
        <f>Rates!D6</f>
        <v>-1E-4</v>
      </c>
      <c r="G33" s="29">
        <f t="shared" si="6"/>
        <v>15000</v>
      </c>
      <c r="H33" s="30">
        <f t="shared" si="0"/>
        <v>-1.5</v>
      </c>
      <c r="I33" s="31"/>
      <c r="J33" s="32">
        <f>Rates!F6</f>
        <v>0</v>
      </c>
      <c r="K33" s="29">
        <f t="shared" si="5"/>
        <v>15000</v>
      </c>
      <c r="L33" s="30">
        <f t="shared" si="1"/>
        <v>0</v>
      </c>
      <c r="M33" s="31"/>
      <c r="N33" s="34">
        <f t="shared" si="2"/>
        <v>1.5</v>
      </c>
      <c r="O33" s="35">
        <f t="shared" si="3"/>
        <v>-1</v>
      </c>
    </row>
    <row r="34" spans="2:15" ht="45" x14ac:dyDescent="0.25">
      <c r="B34" s="183" t="str">
        <f>Rates!A10</f>
        <v>Rate Rider for the Disposition of Account 1575 &amp; 1576 - effective until December 31, 2019</v>
      </c>
      <c r="C34" s="25"/>
      <c r="D34" s="63" t="s">
        <v>81</v>
      </c>
      <c r="E34" s="27"/>
      <c r="F34" s="32">
        <f>Rates!D10</f>
        <v>0</v>
      </c>
      <c r="G34" s="29">
        <f t="shared" si="6"/>
        <v>15000</v>
      </c>
      <c r="H34" s="30">
        <f t="shared" si="0"/>
        <v>0</v>
      </c>
      <c r="I34" s="31"/>
      <c r="J34" s="32">
        <f>Rates!F10</f>
        <v>-1.9E-3</v>
      </c>
      <c r="K34" s="29">
        <f t="shared" si="5"/>
        <v>15000</v>
      </c>
      <c r="L34" s="30">
        <f t="shared" si="1"/>
        <v>-28.5</v>
      </c>
      <c r="M34" s="31"/>
      <c r="N34" s="34">
        <f t="shared" si="2"/>
        <v>-28.5</v>
      </c>
      <c r="O34" s="35" t="str">
        <f t="shared" si="3"/>
        <v/>
      </c>
    </row>
    <row r="35" spans="2:15" x14ac:dyDescent="0.25">
      <c r="B35" s="37"/>
      <c r="C35" s="25"/>
      <c r="D35" s="26"/>
      <c r="E35" s="27"/>
      <c r="F35" s="28"/>
      <c r="G35" s="29">
        <f t="shared" si="6"/>
        <v>15000</v>
      </c>
      <c r="H35" s="30">
        <f t="shared" si="0"/>
        <v>0</v>
      </c>
      <c r="I35" s="31"/>
      <c r="J35" s="32"/>
      <c r="K35" s="29">
        <f t="shared" si="5"/>
        <v>15000</v>
      </c>
      <c r="L35" s="30">
        <f t="shared" si="1"/>
        <v>0</v>
      </c>
      <c r="M35" s="31"/>
      <c r="N35" s="34">
        <f t="shared" si="2"/>
        <v>0</v>
      </c>
      <c r="O35" s="35" t="str">
        <f t="shared" si="3"/>
        <v/>
      </c>
    </row>
    <row r="36" spans="2:15" x14ac:dyDescent="0.25">
      <c r="B36" s="37"/>
      <c r="C36" s="25"/>
      <c r="D36" s="26"/>
      <c r="E36" s="27"/>
      <c r="F36" s="28"/>
      <c r="G36" s="29">
        <f t="shared" si="6"/>
        <v>15000</v>
      </c>
      <c r="H36" s="30">
        <f t="shared" si="0"/>
        <v>0</v>
      </c>
      <c r="I36" s="31"/>
      <c r="J36" s="32"/>
      <c r="K36" s="29">
        <f t="shared" si="5"/>
        <v>15000</v>
      </c>
      <c r="L36" s="30">
        <f t="shared" si="1"/>
        <v>0</v>
      </c>
      <c r="M36" s="31"/>
      <c r="N36" s="34">
        <f t="shared" si="2"/>
        <v>0</v>
      </c>
      <c r="O36" s="35" t="str">
        <f t="shared" si="3"/>
        <v/>
      </c>
    </row>
    <row r="37" spans="2:15" x14ac:dyDescent="0.25">
      <c r="B37" s="37"/>
      <c r="C37" s="25"/>
      <c r="D37" s="26"/>
      <c r="E37" s="27"/>
      <c r="F37" s="28"/>
      <c r="G37" s="29">
        <f t="shared" si="6"/>
        <v>15000</v>
      </c>
      <c r="H37" s="30">
        <f t="shared" si="0"/>
        <v>0</v>
      </c>
      <c r="I37" s="31"/>
      <c r="J37" s="32"/>
      <c r="K37" s="29">
        <f t="shared" si="5"/>
        <v>15000</v>
      </c>
      <c r="L37" s="30">
        <f t="shared" si="1"/>
        <v>0</v>
      </c>
      <c r="M37" s="31"/>
      <c r="N37" s="34">
        <f t="shared" si="2"/>
        <v>0</v>
      </c>
      <c r="O37" s="35" t="str">
        <f t="shared" si="3"/>
        <v/>
      </c>
    </row>
    <row r="38" spans="2:15" x14ac:dyDescent="0.25">
      <c r="B38" s="37"/>
      <c r="C38" s="25"/>
      <c r="D38" s="26"/>
      <c r="E38" s="27"/>
      <c r="F38" s="28"/>
      <c r="G38" s="29">
        <f t="shared" si="6"/>
        <v>15000</v>
      </c>
      <c r="H38" s="30">
        <f t="shared" si="0"/>
        <v>0</v>
      </c>
      <c r="I38" s="31"/>
      <c r="J38" s="32"/>
      <c r="K38" s="29">
        <f t="shared" si="5"/>
        <v>15000</v>
      </c>
      <c r="L38" s="30">
        <f t="shared" si="1"/>
        <v>0</v>
      </c>
      <c r="M38" s="31"/>
      <c r="N38" s="34">
        <f t="shared" si="2"/>
        <v>0</v>
      </c>
      <c r="O38" s="35" t="str">
        <f t="shared" si="3"/>
        <v/>
      </c>
    </row>
    <row r="39" spans="2:15" s="49" customFormat="1" x14ac:dyDescent="0.25">
      <c r="B39" s="38" t="s">
        <v>28</v>
      </c>
      <c r="C39" s="39"/>
      <c r="D39" s="40"/>
      <c r="E39" s="39"/>
      <c r="F39" s="41"/>
      <c r="G39" s="42"/>
      <c r="H39" s="43">
        <f>SUM(H23:H38)</f>
        <v>515.16000000000008</v>
      </c>
      <c r="I39" s="44"/>
      <c r="J39" s="45"/>
      <c r="K39" s="46"/>
      <c r="L39" s="43">
        <f>SUM(L23:L38)</f>
        <v>504.03</v>
      </c>
      <c r="M39" s="44"/>
      <c r="N39" s="47">
        <f t="shared" si="2"/>
        <v>-11.130000000000109</v>
      </c>
      <c r="O39" s="48">
        <f t="shared" si="3"/>
        <v>-2.1604938271605145E-2</v>
      </c>
    </row>
    <row r="40" spans="2:15" ht="38.25" x14ac:dyDescent="0.25">
      <c r="B40" s="50" t="str">
        <f>Rates!A7</f>
        <v>Rate Rider for the Disposition of Deferral/Variance Accounts (2014) - effective until December 31, 2015</v>
      </c>
      <c r="C40" s="25"/>
      <c r="D40" s="63" t="s">
        <v>81</v>
      </c>
      <c r="E40" s="27"/>
      <c r="F40" s="32">
        <f>Rates!D7</f>
        <v>0</v>
      </c>
      <c r="G40" s="29">
        <f>$F$18</f>
        <v>15000</v>
      </c>
      <c r="H40" s="30">
        <f>G40*F40</f>
        <v>0</v>
      </c>
      <c r="I40" s="31"/>
      <c r="J40" s="32">
        <f>Rates!F7</f>
        <v>-6.45E-3</v>
      </c>
      <c r="K40" s="29">
        <f>$F$18</f>
        <v>15000</v>
      </c>
      <c r="L40" s="30">
        <f>K40*J40</f>
        <v>-96.75</v>
      </c>
      <c r="M40" s="31"/>
      <c r="N40" s="34">
        <f>L40-H40</f>
        <v>-96.75</v>
      </c>
      <c r="O40" s="35" t="str">
        <f>IF((H40)=0,"",(N40/H40))</f>
        <v/>
      </c>
    </row>
    <row r="41" spans="2:15" ht="38.25" x14ac:dyDescent="0.25">
      <c r="B41" s="50" t="str">
        <f>Rates!A8</f>
        <v>Rate Rider for the Disposition of Global Adjustment Sub-Account (2014) - effective until December 31, 2015</v>
      </c>
      <c r="C41" s="25"/>
      <c r="D41" s="63" t="s">
        <v>81</v>
      </c>
      <c r="E41" s="27"/>
      <c r="F41" s="32">
        <f>Rates!D8</f>
        <v>0</v>
      </c>
      <c r="G41" s="29">
        <f t="shared" ref="G41:G44" si="7">$F$18</f>
        <v>15000</v>
      </c>
      <c r="H41" s="30">
        <f t="shared" ref="H41:H45" si="8">G41*F41</f>
        <v>0</v>
      </c>
      <c r="I41" s="51"/>
      <c r="J41" s="32">
        <v>0</v>
      </c>
      <c r="K41" s="29">
        <f t="shared" ref="K41:K44" si="9">$F$18</f>
        <v>15000</v>
      </c>
      <c r="L41" s="30">
        <f t="shared" ref="L41:L45" si="10">K41*J41</f>
        <v>0</v>
      </c>
      <c r="M41" s="52"/>
      <c r="N41" s="34">
        <f t="shared" ref="N41:N45" si="11">L41-H41</f>
        <v>0</v>
      </c>
      <c r="O41" s="35" t="str">
        <f t="shared" ref="O41:O45" si="12">IF((H41)=0,"",(N41/H41))</f>
        <v/>
      </c>
    </row>
    <row r="42" spans="2:15" x14ac:dyDescent="0.25">
      <c r="B42" s="50"/>
      <c r="C42" s="25"/>
      <c r="D42" s="26"/>
      <c r="E42" s="27"/>
      <c r="F42" s="28"/>
      <c r="G42" s="29">
        <f t="shared" si="7"/>
        <v>15000</v>
      </c>
      <c r="H42" s="30">
        <f t="shared" si="8"/>
        <v>0</v>
      </c>
      <c r="I42" s="51"/>
      <c r="J42" s="32"/>
      <c r="K42" s="29">
        <f t="shared" si="9"/>
        <v>15000</v>
      </c>
      <c r="L42" s="30">
        <f t="shared" si="10"/>
        <v>0</v>
      </c>
      <c r="M42" s="52"/>
      <c r="N42" s="34">
        <f t="shared" si="11"/>
        <v>0</v>
      </c>
      <c r="O42" s="35" t="str">
        <f t="shared" si="12"/>
        <v/>
      </c>
    </row>
    <row r="43" spans="2:15" x14ac:dyDescent="0.25">
      <c r="B43" s="50"/>
      <c r="C43" s="25"/>
      <c r="D43" s="26"/>
      <c r="E43" s="27"/>
      <c r="F43" s="28"/>
      <c r="G43" s="29">
        <f t="shared" si="7"/>
        <v>15000</v>
      </c>
      <c r="H43" s="30">
        <f t="shared" si="8"/>
        <v>0</v>
      </c>
      <c r="I43" s="51"/>
      <c r="J43" s="32"/>
      <c r="K43" s="29">
        <f t="shared" si="9"/>
        <v>15000</v>
      </c>
      <c r="L43" s="30">
        <f t="shared" si="10"/>
        <v>0</v>
      </c>
      <c r="M43" s="52"/>
      <c r="N43" s="34">
        <f t="shared" si="11"/>
        <v>0</v>
      </c>
      <c r="O43" s="35" t="str">
        <f t="shared" si="12"/>
        <v/>
      </c>
    </row>
    <row r="44" spans="2:15" x14ac:dyDescent="0.25">
      <c r="B44" s="53" t="s">
        <v>29</v>
      </c>
      <c r="C44" s="25"/>
      <c r="D44" s="26"/>
      <c r="E44" s="27"/>
      <c r="F44" s="28"/>
      <c r="G44" s="29">
        <f t="shared" si="7"/>
        <v>15000</v>
      </c>
      <c r="H44" s="30">
        <f>G44*F44</f>
        <v>0</v>
      </c>
      <c r="I44" s="31"/>
      <c r="J44" s="32"/>
      <c r="K44" s="29">
        <f t="shared" si="9"/>
        <v>15000</v>
      </c>
      <c r="L44" s="30">
        <f>K44*J44</f>
        <v>0</v>
      </c>
      <c r="M44" s="31"/>
      <c r="N44" s="34">
        <f>L44-H44</f>
        <v>0</v>
      </c>
      <c r="O44" s="35" t="str">
        <f>IF((H44)=0,"",(N44/H44))</f>
        <v/>
      </c>
    </row>
    <row r="45" spans="2:15" x14ac:dyDescent="0.25">
      <c r="B45" s="53" t="s">
        <v>30</v>
      </c>
      <c r="C45" s="25"/>
      <c r="D45" s="26" t="s">
        <v>81</v>
      </c>
      <c r="E45" s="27"/>
      <c r="F45" s="54">
        <f>IF(ISBLANK(D16)=TRUE, 0, IF(D16="TOU", 0.64*$F$55+0.18*$F$56+0.18*$F$57, IF(AND(D16="non-TOU", G59&gt;0), F59,F58)))</f>
        <v>8.8919999999999999E-2</v>
      </c>
      <c r="G45" s="55">
        <f>$F$18*(1+$F$74)-$F$18</f>
        <v>1296</v>
      </c>
      <c r="H45" s="30">
        <f t="shared" si="8"/>
        <v>115.24032</v>
      </c>
      <c r="I45" s="31"/>
      <c r="J45" s="56">
        <f>0.64*$F$55+0.18*$F$56+0.18*$F$57</f>
        <v>8.8919999999999999E-2</v>
      </c>
      <c r="K45" s="55">
        <f>$F$18*(1+$J$74)-$F$18</f>
        <v>1375.4999999999982</v>
      </c>
      <c r="L45" s="30">
        <f t="shared" si="10"/>
        <v>122.30945999999983</v>
      </c>
      <c r="M45" s="31"/>
      <c r="N45" s="34">
        <f t="shared" si="11"/>
        <v>7.0691399999998339</v>
      </c>
      <c r="O45" s="35">
        <f t="shared" si="12"/>
        <v>6.1342592592591151E-2</v>
      </c>
    </row>
    <row r="46" spans="2:15" x14ac:dyDescent="0.25">
      <c r="B46" s="53" t="s">
        <v>31</v>
      </c>
      <c r="C46" s="25"/>
      <c r="D46" s="26" t="s">
        <v>79</v>
      </c>
      <c r="E46" s="27"/>
      <c r="F46" s="54">
        <f>Rates!D15</f>
        <v>0.79</v>
      </c>
      <c r="G46" s="29">
        <v>1</v>
      </c>
      <c r="H46" s="30">
        <f>G46*F46</f>
        <v>0.79</v>
      </c>
      <c r="I46" s="31"/>
      <c r="J46" s="54">
        <f>Rates!F15</f>
        <v>0.79</v>
      </c>
      <c r="K46" s="29">
        <v>1</v>
      </c>
      <c r="L46" s="30">
        <f>K46*J46</f>
        <v>0.79</v>
      </c>
      <c r="M46" s="31"/>
      <c r="N46" s="34">
        <f>L46-H46</f>
        <v>0</v>
      </c>
      <c r="O46" s="35"/>
    </row>
    <row r="47" spans="2:15" ht="25.5" x14ac:dyDescent="0.25">
      <c r="B47" s="57" t="s">
        <v>32</v>
      </c>
      <c r="C47" s="58"/>
      <c r="D47" s="58"/>
      <c r="E47" s="58"/>
      <c r="F47" s="59"/>
      <c r="G47" s="60"/>
      <c r="H47" s="61">
        <f>SUM(H40:H46)+H39</f>
        <v>631.19032000000004</v>
      </c>
      <c r="I47" s="44"/>
      <c r="J47" s="60"/>
      <c r="K47" s="62"/>
      <c r="L47" s="61">
        <f>SUM(L40:L46)+L39</f>
        <v>530.37945999999977</v>
      </c>
      <c r="M47" s="44"/>
      <c r="N47" s="47">
        <f t="shared" ref="N47:N65" si="13">L47-H47</f>
        <v>-100.81086000000028</v>
      </c>
      <c r="O47" s="48">
        <f t="shared" ref="O47:O65" si="14">IF((H47)=0,"",(N47/H47))</f>
        <v>-0.15971547218911764</v>
      </c>
    </row>
    <row r="48" spans="2:15" x14ac:dyDescent="0.25">
      <c r="B48" s="31" t="s">
        <v>33</v>
      </c>
      <c r="C48" s="31"/>
      <c r="D48" s="63" t="s">
        <v>81</v>
      </c>
      <c r="E48" s="64"/>
      <c r="F48" s="32">
        <f>Rates!D11</f>
        <v>7.0000000000000001E-3</v>
      </c>
      <c r="G48" s="65">
        <f>F18*(1+F74)</f>
        <v>16296</v>
      </c>
      <c r="H48" s="30">
        <f>G48*F48</f>
        <v>114.072</v>
      </c>
      <c r="I48" s="31"/>
      <c r="J48" s="32">
        <f>Rates!F11</f>
        <v>7.1999999999999998E-3</v>
      </c>
      <c r="K48" s="66">
        <f>F18*(1+J74)</f>
        <v>16375.499999999998</v>
      </c>
      <c r="L48" s="30">
        <f>K48*J48</f>
        <v>117.90359999999998</v>
      </c>
      <c r="M48" s="31"/>
      <c r="N48" s="34">
        <f t="shared" si="13"/>
        <v>3.8315999999999804</v>
      </c>
      <c r="O48" s="35">
        <f t="shared" si="14"/>
        <v>3.358931201346501E-2</v>
      </c>
    </row>
    <row r="49" spans="2:19" ht="30" x14ac:dyDescent="0.25">
      <c r="B49" s="67" t="s">
        <v>34</v>
      </c>
      <c r="C49" s="31"/>
      <c r="D49" s="63" t="s">
        <v>81</v>
      </c>
      <c r="E49" s="64"/>
      <c r="F49" s="32">
        <f>Rates!D12</f>
        <v>5.1000000000000004E-3</v>
      </c>
      <c r="G49" s="65">
        <f>G48</f>
        <v>16296</v>
      </c>
      <c r="H49" s="30">
        <f>G49*F49</f>
        <v>83.1096</v>
      </c>
      <c r="I49" s="31"/>
      <c r="J49" s="32">
        <f>Rates!F12</f>
        <v>5.1999999999999998E-3</v>
      </c>
      <c r="K49" s="66">
        <f>K48</f>
        <v>16375.499999999998</v>
      </c>
      <c r="L49" s="30">
        <f>K49*J49</f>
        <v>85.152599999999993</v>
      </c>
      <c r="M49" s="31"/>
      <c r="N49" s="34">
        <f t="shared" si="13"/>
        <v>2.0429999999999922</v>
      </c>
      <c r="O49" s="35">
        <f t="shared" si="14"/>
        <v>2.4581997747552535E-2</v>
      </c>
    </row>
    <row r="50" spans="2:19" ht="25.5" x14ac:dyDescent="0.25">
      <c r="B50" s="57" t="s">
        <v>35</v>
      </c>
      <c r="C50" s="39"/>
      <c r="D50" s="39"/>
      <c r="E50" s="39"/>
      <c r="F50" s="68"/>
      <c r="G50" s="60"/>
      <c r="H50" s="61">
        <f>SUM(H47:H49)</f>
        <v>828.37192000000005</v>
      </c>
      <c r="I50" s="69"/>
      <c r="J50" s="70"/>
      <c r="K50" s="71"/>
      <c r="L50" s="61">
        <f>SUM(L47:L49)</f>
        <v>733.43565999999976</v>
      </c>
      <c r="M50" s="69"/>
      <c r="N50" s="47">
        <f t="shared" si="13"/>
        <v>-94.936260000000289</v>
      </c>
      <c r="O50" s="48">
        <f t="shared" si="14"/>
        <v>-0.11460584033316856</v>
      </c>
    </row>
    <row r="51" spans="2:19" ht="30" x14ac:dyDescent="0.25">
      <c r="B51" s="72" t="s">
        <v>36</v>
      </c>
      <c r="C51" s="25"/>
      <c r="D51" s="63" t="s">
        <v>81</v>
      </c>
      <c r="E51" s="27"/>
      <c r="F51" s="75">
        <f>Rates!D13</f>
        <v>4.4000000000000003E-3</v>
      </c>
      <c r="G51" s="65">
        <f>G49</f>
        <v>16296</v>
      </c>
      <c r="H51" s="74">
        <f t="shared" ref="H51:H57" si="15">G51*F51</f>
        <v>71.702399999999997</v>
      </c>
      <c r="I51" s="31"/>
      <c r="J51" s="75">
        <f>Rates!F13</f>
        <v>4.4000000000000003E-3</v>
      </c>
      <c r="K51" s="66">
        <f>K49</f>
        <v>16375.499999999998</v>
      </c>
      <c r="L51" s="74">
        <f t="shared" ref="L51:L57" si="16">K51*J51</f>
        <v>72.052199999999999</v>
      </c>
      <c r="M51" s="31"/>
      <c r="N51" s="34">
        <f t="shared" si="13"/>
        <v>0.34980000000000189</v>
      </c>
      <c r="O51" s="76">
        <f t="shared" si="14"/>
        <v>4.8784977908689518E-3</v>
      </c>
    </row>
    <row r="52" spans="2:19" ht="30" x14ac:dyDescent="0.25">
      <c r="B52" s="72" t="s">
        <v>37</v>
      </c>
      <c r="C52" s="25"/>
      <c r="D52" s="63" t="s">
        <v>81</v>
      </c>
      <c r="E52" s="27"/>
      <c r="F52" s="75">
        <f>Rates!D14</f>
        <v>1.2999999999999999E-3</v>
      </c>
      <c r="G52" s="65">
        <f>G49</f>
        <v>16296</v>
      </c>
      <c r="H52" s="74">
        <f t="shared" si="15"/>
        <v>21.184799999999999</v>
      </c>
      <c r="I52" s="31"/>
      <c r="J52" s="75">
        <f>Rates!F14</f>
        <v>1.2999999999999999E-3</v>
      </c>
      <c r="K52" s="66">
        <f>K49</f>
        <v>16375.499999999998</v>
      </c>
      <c r="L52" s="74">
        <f t="shared" si="16"/>
        <v>21.288149999999998</v>
      </c>
      <c r="M52" s="31"/>
      <c r="N52" s="34">
        <f t="shared" si="13"/>
        <v>0.10334999999999894</v>
      </c>
      <c r="O52" s="76">
        <f t="shared" si="14"/>
        <v>4.8784977908688755E-3</v>
      </c>
    </row>
    <row r="53" spans="2:19" x14ac:dyDescent="0.25">
      <c r="B53" s="25" t="s">
        <v>38</v>
      </c>
      <c r="C53" s="25"/>
      <c r="D53" s="26" t="s">
        <v>79</v>
      </c>
      <c r="E53" s="27"/>
      <c r="F53" s="73">
        <f>Rates!D16</f>
        <v>0.25</v>
      </c>
      <c r="G53" s="29">
        <v>1</v>
      </c>
      <c r="H53" s="74">
        <f t="shared" si="15"/>
        <v>0.25</v>
      </c>
      <c r="I53" s="31"/>
      <c r="J53" s="75">
        <f>Rates!F16</f>
        <v>0.25</v>
      </c>
      <c r="K53" s="33">
        <v>1</v>
      </c>
      <c r="L53" s="74">
        <f t="shared" si="16"/>
        <v>0.25</v>
      </c>
      <c r="M53" s="31"/>
      <c r="N53" s="34">
        <f t="shared" si="13"/>
        <v>0</v>
      </c>
      <c r="O53" s="76">
        <f t="shared" si="14"/>
        <v>0</v>
      </c>
    </row>
    <row r="54" spans="2:19" x14ac:dyDescent="0.25">
      <c r="B54" s="25" t="s">
        <v>39</v>
      </c>
      <c r="C54" s="25"/>
      <c r="D54" s="26" t="s">
        <v>81</v>
      </c>
      <c r="E54" s="27"/>
      <c r="F54" s="73">
        <f>Rates!D71</f>
        <v>2E-3</v>
      </c>
      <c r="G54" s="77">
        <f>F18</f>
        <v>15000</v>
      </c>
      <c r="H54" s="74">
        <f t="shared" si="15"/>
        <v>30</v>
      </c>
      <c r="I54" s="31"/>
      <c r="J54" s="75">
        <f>Rates!F71</f>
        <v>2E-3</v>
      </c>
      <c r="K54" s="78">
        <f>F18</f>
        <v>15000</v>
      </c>
      <c r="L54" s="74">
        <f t="shared" si="16"/>
        <v>30</v>
      </c>
      <c r="M54" s="31"/>
      <c r="N54" s="34">
        <f t="shared" si="13"/>
        <v>0</v>
      </c>
      <c r="O54" s="76">
        <f t="shared" si="14"/>
        <v>0</v>
      </c>
    </row>
    <row r="55" spans="2:19" x14ac:dyDescent="0.25">
      <c r="B55" s="53" t="s">
        <v>40</v>
      </c>
      <c r="C55" s="25"/>
      <c r="D55" s="26" t="s">
        <v>81</v>
      </c>
      <c r="E55" s="27"/>
      <c r="F55" s="79">
        <f>Rates!D79</f>
        <v>7.1999999999999995E-2</v>
      </c>
      <c r="G55" s="80">
        <f>0.64*$F$18</f>
        <v>9600</v>
      </c>
      <c r="H55" s="74">
        <f t="shared" si="15"/>
        <v>691.19999999999993</v>
      </c>
      <c r="I55" s="31"/>
      <c r="J55" s="73">
        <f>Rates!F79</f>
        <v>7.1999999999999995E-2</v>
      </c>
      <c r="K55" s="80">
        <f>G55</f>
        <v>9600</v>
      </c>
      <c r="L55" s="74">
        <f t="shared" si="16"/>
        <v>691.19999999999993</v>
      </c>
      <c r="M55" s="31"/>
      <c r="N55" s="34">
        <f t="shared" si="13"/>
        <v>0</v>
      </c>
      <c r="O55" s="76">
        <f t="shared" si="14"/>
        <v>0</v>
      </c>
      <c r="S55" s="81"/>
    </row>
    <row r="56" spans="2:19" x14ac:dyDescent="0.25">
      <c r="B56" s="53" t="s">
        <v>41</v>
      </c>
      <c r="C56" s="25"/>
      <c r="D56" s="26" t="s">
        <v>81</v>
      </c>
      <c r="E56" s="27"/>
      <c r="F56" s="79">
        <f>Rates!D80</f>
        <v>0.109</v>
      </c>
      <c r="G56" s="80">
        <f>0.18*$F$18</f>
        <v>2700</v>
      </c>
      <c r="H56" s="74">
        <f t="shared" si="15"/>
        <v>294.3</v>
      </c>
      <c r="I56" s="31"/>
      <c r="J56" s="73">
        <f>Rates!F80</f>
        <v>0.109</v>
      </c>
      <c r="K56" s="80">
        <f>G56</f>
        <v>2700</v>
      </c>
      <c r="L56" s="74">
        <f t="shared" si="16"/>
        <v>294.3</v>
      </c>
      <c r="M56" s="31"/>
      <c r="N56" s="34">
        <f t="shared" si="13"/>
        <v>0</v>
      </c>
      <c r="O56" s="76">
        <f t="shared" si="14"/>
        <v>0</v>
      </c>
      <c r="S56" s="81"/>
    </row>
    <row r="57" spans="2:19" x14ac:dyDescent="0.25">
      <c r="B57" s="15" t="s">
        <v>42</v>
      </c>
      <c r="C57" s="25"/>
      <c r="D57" s="26" t="s">
        <v>81</v>
      </c>
      <c r="E57" s="27"/>
      <c r="F57" s="79">
        <f>Rates!D81</f>
        <v>0.129</v>
      </c>
      <c r="G57" s="80">
        <f>0.18*$F$18</f>
        <v>2700</v>
      </c>
      <c r="H57" s="74">
        <f t="shared" si="15"/>
        <v>348.3</v>
      </c>
      <c r="I57" s="31"/>
      <c r="J57" s="73">
        <f>Rates!F81</f>
        <v>0.129</v>
      </c>
      <c r="K57" s="80">
        <f>G57</f>
        <v>2700</v>
      </c>
      <c r="L57" s="74">
        <f t="shared" si="16"/>
        <v>348.3</v>
      </c>
      <c r="M57" s="31"/>
      <c r="N57" s="34">
        <f t="shared" si="13"/>
        <v>0</v>
      </c>
      <c r="O57" s="76">
        <f t="shared" si="14"/>
        <v>0</v>
      </c>
      <c r="S57" s="81"/>
    </row>
    <row r="58" spans="2:19" s="89" customFormat="1" x14ac:dyDescent="0.2">
      <c r="B58" s="82" t="s">
        <v>43</v>
      </c>
      <c r="C58" s="83"/>
      <c r="D58" s="84" t="s">
        <v>81</v>
      </c>
      <c r="E58" s="85"/>
      <c r="F58" s="79">
        <f>Rates!D72</f>
        <v>8.3000000000000004E-2</v>
      </c>
      <c r="G58" s="86">
        <f>IF(AND($T$1=1, F18&gt;=600), 600, IF(AND($T$1=1, AND(F18&lt;600, F18&gt;=0)), F18, IF(AND($T$1=2, F18&gt;=1000), 1000, IF(AND($T$1=2, AND(F18&lt;1000, F18&gt;=0)), F18))))</f>
        <v>600</v>
      </c>
      <c r="H58" s="74">
        <f>G58*F58</f>
        <v>49.800000000000004</v>
      </c>
      <c r="I58" s="87"/>
      <c r="J58" s="73">
        <f>Rates!F72</f>
        <v>8.3000000000000004E-2</v>
      </c>
      <c r="K58" s="86">
        <f>G58</f>
        <v>600</v>
      </c>
      <c r="L58" s="74">
        <f>K58*J58</f>
        <v>49.800000000000004</v>
      </c>
      <c r="M58" s="87"/>
      <c r="N58" s="88">
        <f t="shared" si="13"/>
        <v>0</v>
      </c>
      <c r="O58" s="76">
        <f t="shared" si="14"/>
        <v>0</v>
      </c>
    </row>
    <row r="59" spans="2:19" s="89" customFormat="1" ht="15.75" thickBot="1" x14ac:dyDescent="0.25">
      <c r="B59" s="82" t="s">
        <v>44</v>
      </c>
      <c r="C59" s="83"/>
      <c r="D59" s="84" t="s">
        <v>81</v>
      </c>
      <c r="E59" s="85"/>
      <c r="F59" s="79">
        <f>Rates!D73</f>
        <v>9.7000000000000003E-2</v>
      </c>
      <c r="G59" s="86">
        <f>IF(AND($T$1=1, F18&gt;=600), F18-600, IF(AND($T$1=1, AND(F18&lt;600, F18&gt;=0)), 0, IF(AND($T$1=2, F18&gt;=1000), F18-1000, IF(AND($T$1=2, AND(F18&lt;1000, F18&gt;=0)), 0))))</f>
        <v>14400</v>
      </c>
      <c r="H59" s="74">
        <f>G59*F59</f>
        <v>1396.8</v>
      </c>
      <c r="I59" s="87"/>
      <c r="J59" s="73">
        <f>Rates!F73</f>
        <v>9.7000000000000003E-2</v>
      </c>
      <c r="K59" s="86">
        <f>G59</f>
        <v>14400</v>
      </c>
      <c r="L59" s="74">
        <f>K59*J59</f>
        <v>1396.8</v>
      </c>
      <c r="M59" s="87"/>
      <c r="N59" s="88">
        <f t="shared" si="13"/>
        <v>0</v>
      </c>
      <c r="O59" s="76">
        <f t="shared" si="14"/>
        <v>0</v>
      </c>
    </row>
    <row r="60" spans="2:19" ht="15.75" thickBot="1" x14ac:dyDescent="0.3">
      <c r="B60" s="90"/>
      <c r="C60" s="91"/>
      <c r="D60" s="92"/>
      <c r="E60" s="91"/>
      <c r="F60" s="93"/>
      <c r="G60" s="94"/>
      <c r="H60" s="95"/>
      <c r="I60" s="96"/>
      <c r="J60" s="93"/>
      <c r="K60" s="97"/>
      <c r="L60" s="95"/>
      <c r="M60" s="96"/>
      <c r="N60" s="98"/>
      <c r="O60" s="99"/>
    </row>
    <row r="61" spans="2:19" x14ac:dyDescent="0.25">
      <c r="B61" s="100" t="s">
        <v>45</v>
      </c>
      <c r="C61" s="25"/>
      <c r="D61" s="25"/>
      <c r="E61" s="25"/>
      <c r="F61" s="101"/>
      <c r="G61" s="102"/>
      <c r="H61" s="103">
        <f>SUM(H51:H57,H50)</f>
        <v>2285.3091199999999</v>
      </c>
      <c r="I61" s="104"/>
      <c r="J61" s="105"/>
      <c r="K61" s="105"/>
      <c r="L61" s="181">
        <f>SUM(L51:L57,L50)</f>
        <v>2190.8260099999998</v>
      </c>
      <c r="M61" s="106"/>
      <c r="N61" s="107">
        <f t="shared" ref="N61" si="17">L61-H61</f>
        <v>-94.483110000000124</v>
      </c>
      <c r="O61" s="108">
        <f t="shared" ref="O61" si="18">IF((H61)=0,"",(N61/H61))</f>
        <v>-4.1343689207348953E-2</v>
      </c>
      <c r="S61" s="81"/>
    </row>
    <row r="62" spans="2:19" x14ac:dyDescent="0.25">
      <c r="B62" s="109" t="s">
        <v>46</v>
      </c>
      <c r="C62" s="25"/>
      <c r="D62" s="25"/>
      <c r="E62" s="25"/>
      <c r="F62" s="110">
        <v>0.13</v>
      </c>
      <c r="G62" s="111"/>
      <c r="H62" s="112">
        <f>H61*F62</f>
        <v>297.09018559999998</v>
      </c>
      <c r="I62" s="113"/>
      <c r="J62" s="114">
        <v>0.13</v>
      </c>
      <c r="K62" s="113"/>
      <c r="L62" s="115">
        <f>L61*J62</f>
        <v>284.80738129999997</v>
      </c>
      <c r="M62" s="116"/>
      <c r="N62" s="117">
        <f t="shared" si="13"/>
        <v>-12.282804300000009</v>
      </c>
      <c r="O62" s="118">
        <f t="shared" si="14"/>
        <v>-4.1343689207348926E-2</v>
      </c>
      <c r="S62" s="81"/>
    </row>
    <row r="63" spans="2:19" x14ac:dyDescent="0.25">
      <c r="B63" s="119" t="s">
        <v>52</v>
      </c>
      <c r="C63" s="25"/>
      <c r="D63" s="25"/>
      <c r="E63" s="25"/>
      <c r="F63" s="120"/>
      <c r="G63" s="111"/>
      <c r="H63" s="112">
        <f>H61+H62</f>
        <v>2582.3993055999999</v>
      </c>
      <c r="I63" s="113"/>
      <c r="J63" s="113"/>
      <c r="K63" s="113"/>
      <c r="L63" s="115">
        <f>L61+L62</f>
        <v>2475.6333912999999</v>
      </c>
      <c r="M63" s="116"/>
      <c r="N63" s="117">
        <f t="shared" si="13"/>
        <v>-106.76591430000008</v>
      </c>
      <c r="O63" s="118">
        <f t="shared" si="14"/>
        <v>-4.1343689207348926E-2</v>
      </c>
      <c r="S63" s="81"/>
    </row>
    <row r="64" spans="2:19" x14ac:dyDescent="0.25">
      <c r="B64" s="226" t="s">
        <v>53</v>
      </c>
      <c r="C64" s="226"/>
      <c r="D64" s="226"/>
      <c r="E64" s="25"/>
      <c r="F64" s="120"/>
      <c r="G64" s="111"/>
      <c r="H64" s="121">
        <f>ROUND(-H63*10%,2)</f>
        <v>-258.24</v>
      </c>
      <c r="I64" s="113"/>
      <c r="J64" s="113"/>
      <c r="K64" s="113"/>
      <c r="L64" s="122">
        <f>ROUND(-L63*10%,2)</f>
        <v>-247.56</v>
      </c>
      <c r="M64" s="116"/>
      <c r="N64" s="123">
        <f t="shared" si="13"/>
        <v>10.680000000000007</v>
      </c>
      <c r="O64" s="124">
        <f t="shared" si="14"/>
        <v>-4.1356877323420096E-2</v>
      </c>
    </row>
    <row r="65" spans="1:15" ht="15.75" thickBot="1" x14ac:dyDescent="0.3">
      <c r="B65" s="227" t="s">
        <v>47</v>
      </c>
      <c r="C65" s="227"/>
      <c r="D65" s="227"/>
      <c r="E65" s="125"/>
      <c r="F65" s="126"/>
      <c r="G65" s="127"/>
      <c r="H65" s="128">
        <f>H63+H64</f>
        <v>2324.1593056000002</v>
      </c>
      <c r="I65" s="129"/>
      <c r="J65" s="129"/>
      <c r="K65" s="129"/>
      <c r="L65" s="130">
        <f>L63+L64</f>
        <v>2228.0733912999999</v>
      </c>
      <c r="M65" s="131"/>
      <c r="N65" s="132">
        <f t="shared" si="13"/>
        <v>-96.08591430000024</v>
      </c>
      <c r="O65" s="133">
        <f t="shared" si="14"/>
        <v>-4.1342223860681059E-2</v>
      </c>
    </row>
    <row r="66" spans="1:15" s="89" customFormat="1" ht="15.75" thickBot="1" x14ac:dyDescent="0.25">
      <c r="B66" s="134"/>
      <c r="C66" s="135"/>
      <c r="D66" s="136"/>
      <c r="E66" s="135"/>
      <c r="F66" s="93"/>
      <c r="G66" s="137"/>
      <c r="H66" s="95"/>
      <c r="I66" s="138"/>
      <c r="J66" s="93"/>
      <c r="K66" s="139"/>
      <c r="L66" s="95"/>
      <c r="M66" s="138"/>
      <c r="N66" s="140"/>
      <c r="O66" s="99"/>
    </row>
    <row r="67" spans="1:15" s="89" customFormat="1" ht="12.75" x14ac:dyDescent="0.2">
      <c r="B67" s="141" t="s">
        <v>48</v>
      </c>
      <c r="C67" s="83"/>
      <c r="D67" s="83"/>
      <c r="E67" s="83"/>
      <c r="F67" s="142"/>
      <c r="G67" s="143"/>
      <c r="H67" s="144">
        <f>SUM(H58:H59,H50,H51:H54)</f>
        <v>2398.1091200000001</v>
      </c>
      <c r="I67" s="145"/>
      <c r="J67" s="146"/>
      <c r="K67" s="146"/>
      <c r="L67" s="182">
        <f>SUM(L58:L59,L50,L51:L54)</f>
        <v>2303.6260099999995</v>
      </c>
      <c r="M67" s="147"/>
      <c r="N67" s="148">
        <f t="shared" ref="N67:N71" si="19">L67-H67</f>
        <v>-94.483110000000579</v>
      </c>
      <c r="O67" s="108">
        <f t="shared" ref="O67:O71" si="20">IF((H67)=0,"",(N67/H67))</f>
        <v>-3.939900366168516E-2</v>
      </c>
    </row>
    <row r="68" spans="1:15" s="89" customFormat="1" ht="12.75" x14ac:dyDescent="0.2">
      <c r="B68" s="149" t="s">
        <v>46</v>
      </c>
      <c r="C68" s="83"/>
      <c r="D68" s="83"/>
      <c r="E68" s="83"/>
      <c r="F68" s="150">
        <v>0.13</v>
      </c>
      <c r="G68" s="143"/>
      <c r="H68" s="151">
        <f>H67*F68</f>
        <v>311.75418560000003</v>
      </c>
      <c r="I68" s="152"/>
      <c r="J68" s="153">
        <v>0.13</v>
      </c>
      <c r="K68" s="154"/>
      <c r="L68" s="155">
        <f>L67*J68</f>
        <v>299.47138129999996</v>
      </c>
      <c r="M68" s="156"/>
      <c r="N68" s="157">
        <f t="shared" si="19"/>
        <v>-12.282804300000066</v>
      </c>
      <c r="O68" s="118">
        <f t="shared" si="20"/>
        <v>-3.9399003661685125E-2</v>
      </c>
    </row>
    <row r="69" spans="1:15" s="89" customFormat="1" ht="12.75" x14ac:dyDescent="0.2">
      <c r="B69" s="158" t="s">
        <v>52</v>
      </c>
      <c r="C69" s="83"/>
      <c r="D69" s="83"/>
      <c r="E69" s="83"/>
      <c r="F69" s="159"/>
      <c r="G69" s="160"/>
      <c r="H69" s="151">
        <f>H67+H68</f>
        <v>2709.8633055999999</v>
      </c>
      <c r="I69" s="152"/>
      <c r="J69" s="152"/>
      <c r="K69" s="152"/>
      <c r="L69" s="155">
        <f>L67+L68</f>
        <v>2603.0973912999993</v>
      </c>
      <c r="M69" s="156"/>
      <c r="N69" s="157">
        <f t="shared" si="19"/>
        <v>-106.76591430000053</v>
      </c>
      <c r="O69" s="118">
        <f t="shared" si="20"/>
        <v>-3.9399003661685118E-2</v>
      </c>
    </row>
    <row r="70" spans="1:15" s="89" customFormat="1" ht="12.75" x14ac:dyDescent="0.2">
      <c r="B70" s="228" t="s">
        <v>53</v>
      </c>
      <c r="C70" s="228"/>
      <c r="D70" s="228"/>
      <c r="E70" s="83"/>
      <c r="F70" s="159"/>
      <c r="G70" s="160"/>
      <c r="H70" s="161">
        <f>ROUND(-H69*10%,2)</f>
        <v>-270.99</v>
      </c>
      <c r="I70" s="152"/>
      <c r="J70" s="152"/>
      <c r="K70" s="152"/>
      <c r="L70" s="162">
        <f>ROUND(-L69*10%,2)</f>
        <v>-260.31</v>
      </c>
      <c r="M70" s="156"/>
      <c r="N70" s="163">
        <f t="shared" si="19"/>
        <v>10.680000000000007</v>
      </c>
      <c r="O70" s="124">
        <f t="shared" si="20"/>
        <v>-3.9411048378168959E-2</v>
      </c>
    </row>
    <row r="71" spans="1:15" s="89" customFormat="1" ht="13.5" thickBot="1" x14ac:dyDescent="0.25">
      <c r="B71" s="219" t="s">
        <v>49</v>
      </c>
      <c r="C71" s="219"/>
      <c r="D71" s="219"/>
      <c r="E71" s="164"/>
      <c r="F71" s="165"/>
      <c r="G71" s="166"/>
      <c r="H71" s="167">
        <f>SUM(H69:H70)</f>
        <v>2438.8733056000001</v>
      </c>
      <c r="I71" s="168"/>
      <c r="J71" s="168"/>
      <c r="K71" s="168"/>
      <c r="L71" s="169">
        <f>SUM(L69:L70)</f>
        <v>2342.7873912999994</v>
      </c>
      <c r="M71" s="170"/>
      <c r="N71" s="171">
        <f t="shared" si="19"/>
        <v>-96.085914300000695</v>
      </c>
      <c r="O71" s="172">
        <f t="shared" si="20"/>
        <v>-3.9397665339718044E-2</v>
      </c>
    </row>
    <row r="72" spans="1:15" s="89" customFormat="1" ht="15.75" thickBot="1" x14ac:dyDescent="0.25">
      <c r="B72" s="134"/>
      <c r="C72" s="135"/>
      <c r="D72" s="136"/>
      <c r="E72" s="135"/>
      <c r="F72" s="173"/>
      <c r="G72" s="174"/>
      <c r="H72" s="175"/>
      <c r="I72" s="176"/>
      <c r="J72" s="173"/>
      <c r="K72" s="137"/>
      <c r="L72" s="177"/>
      <c r="M72" s="138"/>
      <c r="N72" s="178"/>
      <c r="O72" s="99"/>
    </row>
    <row r="73" spans="1:15" x14ac:dyDescent="0.25">
      <c r="L73" s="81"/>
    </row>
    <row r="74" spans="1:15" x14ac:dyDescent="0.25">
      <c r="B74" s="16" t="s">
        <v>50</v>
      </c>
      <c r="F74" s="179">
        <f>Rates!D76</f>
        <v>8.6400000000000005E-2</v>
      </c>
      <c r="J74" s="179">
        <f>Rates!F76</f>
        <v>9.1700000000000004E-2</v>
      </c>
    </row>
    <row r="76" spans="1:15" x14ac:dyDescent="0.25">
      <c r="A76" s="180"/>
      <c r="B76" s="10" t="s">
        <v>51</v>
      </c>
    </row>
  </sheetData>
  <mergeCells count="14">
    <mergeCell ref="B71:D71"/>
    <mergeCell ref="D21:D22"/>
    <mergeCell ref="N21:N22"/>
    <mergeCell ref="O21:O22"/>
    <mergeCell ref="B64:D64"/>
    <mergeCell ref="B65:D65"/>
    <mergeCell ref="B70:D70"/>
    <mergeCell ref="A3:K3"/>
    <mergeCell ref="B10:O10"/>
    <mergeCell ref="B11:O11"/>
    <mergeCell ref="D14:O14"/>
    <mergeCell ref="F20:H20"/>
    <mergeCell ref="J20:L20"/>
    <mergeCell ref="N20:O20"/>
  </mergeCells>
  <dataValidations count="3">
    <dataValidation type="list" allowBlank="1" showInputMessage="1" showErrorMessage="1" sqref="D16">
      <formula1>"TOU, non-TOU"</formula1>
    </dataValidation>
    <dataValidation type="list" allowBlank="1" showInputMessage="1" showErrorMessage="1" sqref="E72 E66 E48:E49 E40:E46 E23:E38 E51:E60">
      <formula1>#REF!</formula1>
    </dataValidation>
    <dataValidation type="list" allowBlank="1" showInputMessage="1" showErrorMessage="1" prompt="Select Charge Unit - monthly, per kWh, per kW" sqref="D48:D49 D40:D46 D66 D23:D38 D72 D51:D60">
      <formula1>"Monthly, per kWh, per kW"</formula1>
    </dataValidation>
  </dataValidations>
  <pageMargins left="0.7" right="0.7" top="0.75" bottom="0.75" header="0.3" footer="0.3"/>
  <pageSetup scale="55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T65"/>
  <sheetViews>
    <sheetView showGridLines="0" topLeftCell="A40" zoomScaleNormal="100" workbookViewId="0">
      <selection activeCell="B58" sqref="B58"/>
    </sheetView>
  </sheetViews>
  <sheetFormatPr defaultRowHeight="15" x14ac:dyDescent="0.25"/>
  <cols>
    <col min="1" max="1" width="2.140625" style="10" customWidth="1"/>
    <col min="2" max="2" width="37.5703125" style="10" customWidth="1"/>
    <col min="3" max="3" width="1.28515625" style="10" customWidth="1"/>
    <col min="4" max="4" width="11.28515625" style="10" customWidth="1"/>
    <col min="5" max="5" width="1.28515625" style="10" customWidth="1"/>
    <col min="6" max="6" width="12.28515625" style="10" customWidth="1"/>
    <col min="7" max="7" width="8.5703125" style="10" customWidth="1"/>
    <col min="8" max="8" width="9.7109375" style="10" customWidth="1"/>
    <col min="9" max="9" width="2.85546875" style="10" customWidth="1"/>
    <col min="10" max="10" width="12.140625" style="10" customWidth="1"/>
    <col min="11" max="11" width="8.5703125" style="10" customWidth="1"/>
    <col min="12" max="12" width="9.85546875" style="10" customWidth="1"/>
    <col min="13" max="13" width="2.85546875" style="10" customWidth="1"/>
    <col min="14" max="14" width="12.7109375" style="10" bestFit="1" customWidth="1"/>
    <col min="15" max="15" width="10.85546875" style="10" bestFit="1" customWidth="1"/>
    <col min="16" max="16" width="3.85546875" style="10" customWidth="1"/>
    <col min="17" max="19" width="9.140625" style="10"/>
    <col min="20" max="20" width="9.140625" style="10" customWidth="1"/>
    <col min="21" max="16384" width="9.140625" style="10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O1" s="4">
        <f>EBNUMBER</f>
        <v>0</v>
      </c>
      <c r="P1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 t="s">
        <v>1</v>
      </c>
      <c r="O2" s="6"/>
      <c r="P2"/>
    </row>
    <row r="3" spans="1:20" s="2" customFormat="1" ht="15" customHeight="1" x14ac:dyDescent="0.25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N3" s="3" t="s">
        <v>2</v>
      </c>
      <c r="O3" s="6"/>
      <c r="P3"/>
    </row>
    <row r="4" spans="1:20" s="2" customFormat="1" ht="15" customHeight="1" x14ac:dyDescent="0.25">
      <c r="A4" s="5"/>
      <c r="B4" s="5"/>
      <c r="C4" s="5"/>
      <c r="D4" s="5"/>
      <c r="E4" s="5"/>
      <c r="F4" s="5"/>
      <c r="G4" s="5"/>
      <c r="H4" s="5"/>
      <c r="I4" s="7"/>
      <c r="J4" s="7"/>
      <c r="K4" s="7"/>
      <c r="N4" s="3" t="s">
        <v>3</v>
      </c>
      <c r="O4" s="6"/>
      <c r="P4"/>
    </row>
    <row r="5" spans="1:20" s="2" customFormat="1" ht="15" customHeight="1" x14ac:dyDescent="0.25">
      <c r="C5" s="8"/>
      <c r="D5" s="8"/>
      <c r="E5" s="8"/>
      <c r="N5" s="3" t="s">
        <v>4</v>
      </c>
      <c r="O5" s="9"/>
      <c r="P5"/>
    </row>
    <row r="6" spans="1:20" s="2" customFormat="1" ht="9" customHeight="1" x14ac:dyDescent="0.25">
      <c r="N6" s="3"/>
      <c r="O6" s="4"/>
      <c r="P6"/>
    </row>
    <row r="7" spans="1:20" s="2" customFormat="1" x14ac:dyDescent="0.25">
      <c r="N7" s="3" t="s">
        <v>5</v>
      </c>
      <c r="O7" s="9"/>
      <c r="P7"/>
    </row>
    <row r="8" spans="1:20" s="2" customFormat="1" ht="15" customHeight="1" x14ac:dyDescent="0.25">
      <c r="N8" s="10"/>
      <c r="O8"/>
      <c r="P8"/>
    </row>
    <row r="9" spans="1:20" ht="7.5" customHeight="1" x14ac:dyDescent="0.25">
      <c r="L9"/>
      <c r="M9"/>
      <c r="N9"/>
      <c r="O9"/>
      <c r="P9"/>
    </row>
    <row r="10" spans="1:20" ht="18.75" customHeight="1" x14ac:dyDescent="0.25">
      <c r="B10" s="214" t="s">
        <v>6</v>
      </c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/>
    </row>
    <row r="11" spans="1:20" ht="18.75" customHeight="1" x14ac:dyDescent="0.25">
      <c r="B11" s="214" t="s">
        <v>7</v>
      </c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/>
    </row>
    <row r="12" spans="1:20" ht="7.5" customHeight="1" x14ac:dyDescent="0.25">
      <c r="L12"/>
      <c r="M12"/>
      <c r="N12"/>
      <c r="O12"/>
      <c r="P12"/>
    </row>
    <row r="13" spans="1:20" ht="7.5" customHeight="1" x14ac:dyDescent="0.25">
      <c r="L13"/>
      <c r="M13"/>
      <c r="N13"/>
      <c r="O13"/>
      <c r="P13"/>
    </row>
    <row r="14" spans="1:20" ht="15.75" x14ac:dyDescent="0.25">
      <c r="B14" s="11" t="s">
        <v>8</v>
      </c>
      <c r="D14" s="215" t="s">
        <v>108</v>
      </c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</row>
    <row r="15" spans="1:20" ht="7.5" customHeight="1" x14ac:dyDescent="0.25">
      <c r="B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20" ht="15.75" x14ac:dyDescent="0.25">
      <c r="B16" s="11" t="s">
        <v>9</v>
      </c>
      <c r="D16" s="14" t="s">
        <v>10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2:15" ht="15.75" x14ac:dyDescent="0.25">
      <c r="B17" s="12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2:15" x14ac:dyDescent="0.25">
      <c r="B18" s="15"/>
      <c r="D18" s="16" t="s">
        <v>11</v>
      </c>
      <c r="E18" s="16"/>
      <c r="F18" s="17">
        <v>800</v>
      </c>
      <c r="G18" s="16" t="s">
        <v>12</v>
      </c>
    </row>
    <row r="19" spans="2:15" x14ac:dyDescent="0.25">
      <c r="B19" s="15"/>
    </row>
    <row r="20" spans="2:15" x14ac:dyDescent="0.25">
      <c r="B20" s="15"/>
      <c r="D20" s="18"/>
      <c r="E20" s="18"/>
      <c r="F20" s="216" t="s">
        <v>13</v>
      </c>
      <c r="G20" s="217"/>
      <c r="H20" s="218"/>
      <c r="J20" s="216" t="s">
        <v>14</v>
      </c>
      <c r="K20" s="217"/>
      <c r="L20" s="218"/>
      <c r="N20" s="216" t="s">
        <v>15</v>
      </c>
      <c r="O20" s="218"/>
    </row>
    <row r="21" spans="2:15" x14ac:dyDescent="0.25">
      <c r="B21" s="15"/>
      <c r="D21" s="220" t="s">
        <v>16</v>
      </c>
      <c r="E21" s="19"/>
      <c r="F21" s="20" t="s">
        <v>17</v>
      </c>
      <c r="G21" s="20" t="s">
        <v>18</v>
      </c>
      <c r="H21" s="21" t="s">
        <v>19</v>
      </c>
      <c r="J21" s="20" t="s">
        <v>17</v>
      </c>
      <c r="K21" s="22" t="s">
        <v>18</v>
      </c>
      <c r="L21" s="21" t="s">
        <v>19</v>
      </c>
      <c r="N21" s="222" t="s">
        <v>20</v>
      </c>
      <c r="O21" s="224" t="s">
        <v>21</v>
      </c>
    </row>
    <row r="22" spans="2:15" x14ac:dyDescent="0.25">
      <c r="B22" s="15"/>
      <c r="D22" s="221"/>
      <c r="E22" s="19"/>
      <c r="F22" s="23" t="s">
        <v>22</v>
      </c>
      <c r="G22" s="23"/>
      <c r="H22" s="24" t="s">
        <v>22</v>
      </c>
      <c r="J22" s="23" t="s">
        <v>22</v>
      </c>
      <c r="K22" s="24"/>
      <c r="L22" s="24" t="s">
        <v>22</v>
      </c>
      <c r="N22" s="223"/>
      <c r="O22" s="225"/>
    </row>
    <row r="23" spans="2:15" x14ac:dyDescent="0.25">
      <c r="B23" s="25" t="s">
        <v>23</v>
      </c>
      <c r="C23" s="25"/>
      <c r="D23" s="26" t="s">
        <v>79</v>
      </c>
      <c r="E23" s="27"/>
      <c r="F23" s="28">
        <f>Rates!D3</f>
        <v>23.16</v>
      </c>
      <c r="G23" s="29">
        <v>1</v>
      </c>
      <c r="H23" s="30">
        <f>G23*F23</f>
        <v>23.16</v>
      </c>
      <c r="I23" s="31"/>
      <c r="J23" s="32">
        <f>Rates!F3</f>
        <v>24.03</v>
      </c>
      <c r="K23" s="33">
        <v>1</v>
      </c>
      <c r="L23" s="30">
        <f>K23*J23</f>
        <v>24.03</v>
      </c>
      <c r="M23" s="31"/>
      <c r="N23" s="34">
        <f>L23-H23</f>
        <v>0.87000000000000099</v>
      </c>
      <c r="O23" s="35">
        <f>IF((H23)=0,"",(N23/H23))</f>
        <v>3.7564766839378282E-2</v>
      </c>
    </row>
    <row r="24" spans="2:15" x14ac:dyDescent="0.25">
      <c r="B24" s="25" t="s">
        <v>24</v>
      </c>
      <c r="C24" s="25"/>
      <c r="D24" s="26"/>
      <c r="E24" s="27"/>
      <c r="F24" s="28"/>
      <c r="G24" s="29">
        <v>1</v>
      </c>
      <c r="H24" s="30">
        <f t="shared" ref="H24:H38" si="0">G24*F24</f>
        <v>0</v>
      </c>
      <c r="I24" s="31"/>
      <c r="J24" s="32"/>
      <c r="K24" s="33">
        <v>1</v>
      </c>
      <c r="L24" s="30">
        <f>K24*J24</f>
        <v>0</v>
      </c>
      <c r="M24" s="31"/>
      <c r="N24" s="34">
        <f>L24-H24</f>
        <v>0</v>
      </c>
      <c r="O24" s="35" t="str">
        <f>IF((H24)=0,"",(N24/H24))</f>
        <v/>
      </c>
    </row>
    <row r="25" spans="2:15" x14ac:dyDescent="0.25">
      <c r="B25" s="36"/>
      <c r="C25" s="25"/>
      <c r="D25" s="26"/>
      <c r="E25" s="27"/>
      <c r="F25" s="28"/>
      <c r="G25" s="29">
        <v>1</v>
      </c>
      <c r="H25" s="30">
        <f t="shared" si="0"/>
        <v>0</v>
      </c>
      <c r="I25" s="31"/>
      <c r="J25" s="32"/>
      <c r="K25" s="33">
        <v>1</v>
      </c>
      <c r="L25" s="30">
        <f t="shared" ref="L25:L38" si="1">K25*J25</f>
        <v>0</v>
      </c>
      <c r="M25" s="31"/>
      <c r="N25" s="34">
        <f t="shared" ref="N25:N39" si="2">L25-H25</f>
        <v>0</v>
      </c>
      <c r="O25" s="35" t="str">
        <f t="shared" ref="O25:O39" si="3">IF((H25)=0,"",(N25/H25))</f>
        <v/>
      </c>
    </row>
    <row r="26" spans="2:15" x14ac:dyDescent="0.25">
      <c r="B26" s="36"/>
      <c r="C26" s="25"/>
      <c r="D26" s="26"/>
      <c r="E26" s="27"/>
      <c r="F26" s="28"/>
      <c r="G26" s="29">
        <v>1</v>
      </c>
      <c r="H26" s="30">
        <f t="shared" si="0"/>
        <v>0</v>
      </c>
      <c r="I26" s="31"/>
      <c r="J26" s="32"/>
      <c r="K26" s="33">
        <v>1</v>
      </c>
      <c r="L26" s="30">
        <f t="shared" si="1"/>
        <v>0</v>
      </c>
      <c r="M26" s="31"/>
      <c r="N26" s="34">
        <f t="shared" si="2"/>
        <v>0</v>
      </c>
      <c r="O26" s="35" t="str">
        <f t="shared" si="3"/>
        <v/>
      </c>
    </row>
    <row r="27" spans="2:15" x14ac:dyDescent="0.25">
      <c r="B27" s="36"/>
      <c r="C27" s="25"/>
      <c r="D27" s="26"/>
      <c r="E27" s="27"/>
      <c r="F27" s="28"/>
      <c r="G27" s="29">
        <v>1</v>
      </c>
      <c r="H27" s="30">
        <f t="shared" si="0"/>
        <v>0</v>
      </c>
      <c r="I27" s="31"/>
      <c r="J27" s="32"/>
      <c r="K27" s="33">
        <v>1</v>
      </c>
      <c r="L27" s="30">
        <f t="shared" si="1"/>
        <v>0</v>
      </c>
      <c r="M27" s="31"/>
      <c r="N27" s="34">
        <f t="shared" si="2"/>
        <v>0</v>
      </c>
      <c r="O27" s="35" t="str">
        <f t="shared" si="3"/>
        <v/>
      </c>
    </row>
    <row r="28" spans="2:15" x14ac:dyDescent="0.25">
      <c r="B28" s="36"/>
      <c r="C28" s="25"/>
      <c r="D28" s="26"/>
      <c r="E28" s="27"/>
      <c r="F28" s="28"/>
      <c r="G28" s="29">
        <v>1</v>
      </c>
      <c r="H28" s="30">
        <f t="shared" si="0"/>
        <v>0</v>
      </c>
      <c r="I28" s="31"/>
      <c r="J28" s="32"/>
      <c r="K28" s="33">
        <v>1</v>
      </c>
      <c r="L28" s="30">
        <f t="shared" si="1"/>
        <v>0</v>
      </c>
      <c r="M28" s="31"/>
      <c r="N28" s="34">
        <f t="shared" si="2"/>
        <v>0</v>
      </c>
      <c r="O28" s="35" t="str">
        <f t="shared" si="3"/>
        <v/>
      </c>
    </row>
    <row r="29" spans="2:15" x14ac:dyDescent="0.25">
      <c r="B29" s="25" t="s">
        <v>25</v>
      </c>
      <c r="C29" s="25"/>
      <c r="D29" s="26" t="s">
        <v>81</v>
      </c>
      <c r="E29" s="27"/>
      <c r="F29" s="28">
        <f>Rates!D4</f>
        <v>3.2500000000000001E-2</v>
      </c>
      <c r="G29" s="29">
        <f>$F$18</f>
        <v>800</v>
      </c>
      <c r="H29" s="30">
        <f t="shared" si="0"/>
        <v>26</v>
      </c>
      <c r="I29" s="31"/>
      <c r="J29" s="32">
        <f>Rates!F4</f>
        <v>3.3700000000000001E-2</v>
      </c>
      <c r="K29" s="29">
        <f>$F$18</f>
        <v>800</v>
      </c>
      <c r="L29" s="30">
        <f t="shared" si="1"/>
        <v>26.96</v>
      </c>
      <c r="M29" s="31"/>
      <c r="N29" s="34">
        <f t="shared" si="2"/>
        <v>0.96000000000000085</v>
      </c>
      <c r="O29" s="35">
        <f t="shared" si="3"/>
        <v>3.6923076923076954E-2</v>
      </c>
    </row>
    <row r="30" spans="2:15" x14ac:dyDescent="0.25">
      <c r="B30" s="25" t="s">
        <v>26</v>
      </c>
      <c r="C30" s="25"/>
      <c r="D30" s="26"/>
      <c r="E30" s="27"/>
      <c r="F30" s="28"/>
      <c r="G30" s="29">
        <f t="shared" ref="G30" si="4">$F$18</f>
        <v>800</v>
      </c>
      <c r="H30" s="30">
        <f t="shared" si="0"/>
        <v>0</v>
      </c>
      <c r="I30" s="31"/>
      <c r="J30" s="32"/>
      <c r="K30" s="29">
        <f t="shared" ref="K30:K38" si="5">$F$18</f>
        <v>800</v>
      </c>
      <c r="L30" s="30">
        <f t="shared" si="1"/>
        <v>0</v>
      </c>
      <c r="M30" s="31"/>
      <c r="N30" s="34">
        <f t="shared" si="2"/>
        <v>0</v>
      </c>
      <c r="O30" s="35" t="str">
        <f t="shared" si="3"/>
        <v/>
      </c>
    </row>
    <row r="31" spans="2:15" ht="45" x14ac:dyDescent="0.25">
      <c r="B31" s="72" t="str">
        <f>Rates!A9</f>
        <v>Rate Rider for the Recovery of Lost Revenue Adjustment (LRAM) - effective until December 31, 2015</v>
      </c>
      <c r="C31" s="25"/>
      <c r="D31" s="63" t="s">
        <v>81</v>
      </c>
      <c r="E31" s="27"/>
      <c r="F31" s="32">
        <f>Rates!D9</f>
        <v>0</v>
      </c>
      <c r="G31" s="29">
        <f>$F$18</f>
        <v>800</v>
      </c>
      <c r="H31" s="30">
        <f t="shared" si="0"/>
        <v>0</v>
      </c>
      <c r="I31" s="31"/>
      <c r="J31" s="32">
        <f>Rates!F9</f>
        <v>2.0000000000000001E-4</v>
      </c>
      <c r="K31" s="29">
        <f t="shared" si="5"/>
        <v>800</v>
      </c>
      <c r="L31" s="30">
        <f t="shared" si="1"/>
        <v>0.16</v>
      </c>
      <c r="M31" s="31"/>
      <c r="N31" s="34">
        <f t="shared" si="2"/>
        <v>0.16</v>
      </c>
      <c r="O31" s="35" t="str">
        <f t="shared" si="3"/>
        <v/>
      </c>
    </row>
    <row r="32" spans="2:15" ht="30" x14ac:dyDescent="0.25">
      <c r="B32" s="183" t="str">
        <f>Rates!A5</f>
        <v>Foregone Revenue Recovery - effective until December 31, 2014 (2014)</v>
      </c>
      <c r="C32" s="25"/>
      <c r="D32" s="63" t="s">
        <v>81</v>
      </c>
      <c r="E32" s="27"/>
      <c r="F32" s="32">
        <f>Rates!D5</f>
        <v>4.0000000000000002E-4</v>
      </c>
      <c r="G32" s="29">
        <f t="shared" ref="G32:G38" si="6">$F$18</f>
        <v>800</v>
      </c>
      <c r="H32" s="30">
        <f t="shared" si="0"/>
        <v>0.32</v>
      </c>
      <c r="I32" s="31"/>
      <c r="J32" s="32">
        <f>Rates!F5</f>
        <v>0</v>
      </c>
      <c r="K32" s="29">
        <f t="shared" si="5"/>
        <v>800</v>
      </c>
      <c r="L32" s="30">
        <f t="shared" si="1"/>
        <v>0</v>
      </c>
      <c r="M32" s="31"/>
      <c r="N32" s="34">
        <f t="shared" si="2"/>
        <v>-0.32</v>
      </c>
      <c r="O32" s="35">
        <f t="shared" si="3"/>
        <v>-1</v>
      </c>
    </row>
    <row r="33" spans="2:15" ht="30" x14ac:dyDescent="0.25">
      <c r="B33" s="183" t="str">
        <f>Rates!A6</f>
        <v>Tax Changes - effective until December 31, 2014</v>
      </c>
      <c r="C33" s="25"/>
      <c r="D33" s="63" t="s">
        <v>81</v>
      </c>
      <c r="E33" s="27"/>
      <c r="F33" s="32">
        <f>Rates!D6</f>
        <v>-1E-4</v>
      </c>
      <c r="G33" s="29">
        <f t="shared" si="6"/>
        <v>800</v>
      </c>
      <c r="H33" s="30">
        <f t="shared" si="0"/>
        <v>-0.08</v>
      </c>
      <c r="I33" s="31"/>
      <c r="J33" s="32">
        <f>Rates!F6</f>
        <v>0</v>
      </c>
      <c r="K33" s="29">
        <f t="shared" si="5"/>
        <v>800</v>
      </c>
      <c r="L33" s="30">
        <f t="shared" si="1"/>
        <v>0</v>
      </c>
      <c r="M33" s="31"/>
      <c r="N33" s="34">
        <f t="shared" si="2"/>
        <v>0.08</v>
      </c>
      <c r="O33" s="35">
        <f t="shared" si="3"/>
        <v>-1</v>
      </c>
    </row>
    <row r="34" spans="2:15" ht="45" x14ac:dyDescent="0.25">
      <c r="B34" s="183" t="str">
        <f>Rates!A10</f>
        <v>Rate Rider for the Disposition of Account 1575 &amp; 1576 - effective until December 31, 2019</v>
      </c>
      <c r="C34" s="25"/>
      <c r="D34" s="63" t="s">
        <v>81</v>
      </c>
      <c r="E34" s="27"/>
      <c r="F34" s="32">
        <f>Rates!D10</f>
        <v>0</v>
      </c>
      <c r="G34" s="29">
        <f t="shared" si="6"/>
        <v>800</v>
      </c>
      <c r="H34" s="30">
        <f t="shared" si="0"/>
        <v>0</v>
      </c>
      <c r="I34" s="31"/>
      <c r="J34" s="32">
        <f>Rates!F10</f>
        <v>-1.9E-3</v>
      </c>
      <c r="K34" s="29">
        <f t="shared" si="5"/>
        <v>800</v>
      </c>
      <c r="L34" s="30">
        <f t="shared" si="1"/>
        <v>-1.52</v>
      </c>
      <c r="M34" s="31"/>
      <c r="N34" s="34">
        <f t="shared" si="2"/>
        <v>-1.52</v>
      </c>
      <c r="O34" s="35" t="str">
        <f t="shared" si="3"/>
        <v/>
      </c>
    </row>
    <row r="35" spans="2:15" x14ac:dyDescent="0.25">
      <c r="B35" s="37"/>
      <c r="C35" s="25"/>
      <c r="D35" s="26"/>
      <c r="E35" s="27"/>
      <c r="F35" s="28"/>
      <c r="G35" s="29">
        <f t="shared" si="6"/>
        <v>800</v>
      </c>
      <c r="H35" s="30">
        <f t="shared" si="0"/>
        <v>0</v>
      </c>
      <c r="I35" s="31"/>
      <c r="J35" s="32"/>
      <c r="K35" s="29">
        <f t="shared" si="5"/>
        <v>800</v>
      </c>
      <c r="L35" s="30">
        <f t="shared" si="1"/>
        <v>0</v>
      </c>
      <c r="M35" s="31"/>
      <c r="N35" s="34">
        <f t="shared" si="2"/>
        <v>0</v>
      </c>
      <c r="O35" s="35" t="str">
        <f t="shared" si="3"/>
        <v/>
      </c>
    </row>
    <row r="36" spans="2:15" x14ac:dyDescent="0.25">
      <c r="B36" s="37"/>
      <c r="C36" s="25"/>
      <c r="D36" s="26"/>
      <c r="E36" s="27"/>
      <c r="F36" s="28"/>
      <c r="G36" s="29">
        <f t="shared" si="6"/>
        <v>800</v>
      </c>
      <c r="H36" s="30">
        <f t="shared" si="0"/>
        <v>0</v>
      </c>
      <c r="I36" s="31"/>
      <c r="J36" s="32"/>
      <c r="K36" s="29">
        <f t="shared" si="5"/>
        <v>800</v>
      </c>
      <c r="L36" s="30">
        <f t="shared" si="1"/>
        <v>0</v>
      </c>
      <c r="M36" s="31"/>
      <c r="N36" s="34">
        <f t="shared" si="2"/>
        <v>0</v>
      </c>
      <c r="O36" s="35" t="str">
        <f t="shared" si="3"/>
        <v/>
      </c>
    </row>
    <row r="37" spans="2:15" x14ac:dyDescent="0.25">
      <c r="B37" s="37"/>
      <c r="C37" s="25"/>
      <c r="D37" s="26"/>
      <c r="E37" s="27"/>
      <c r="F37" s="28"/>
      <c r="G37" s="29">
        <f t="shared" si="6"/>
        <v>800</v>
      </c>
      <c r="H37" s="30">
        <f t="shared" si="0"/>
        <v>0</v>
      </c>
      <c r="I37" s="31"/>
      <c r="J37" s="32"/>
      <c r="K37" s="29">
        <f t="shared" si="5"/>
        <v>800</v>
      </c>
      <c r="L37" s="30">
        <f t="shared" si="1"/>
        <v>0</v>
      </c>
      <c r="M37" s="31"/>
      <c r="N37" s="34">
        <f t="shared" si="2"/>
        <v>0</v>
      </c>
      <c r="O37" s="35" t="str">
        <f t="shared" si="3"/>
        <v/>
      </c>
    </row>
    <row r="38" spans="2:15" x14ac:dyDescent="0.25">
      <c r="B38" s="37"/>
      <c r="C38" s="25"/>
      <c r="D38" s="26"/>
      <c r="E38" s="27"/>
      <c r="F38" s="28"/>
      <c r="G38" s="29">
        <f t="shared" si="6"/>
        <v>800</v>
      </c>
      <c r="H38" s="30">
        <f t="shared" si="0"/>
        <v>0</v>
      </c>
      <c r="I38" s="31"/>
      <c r="J38" s="32"/>
      <c r="K38" s="29">
        <f t="shared" si="5"/>
        <v>800</v>
      </c>
      <c r="L38" s="30">
        <f t="shared" si="1"/>
        <v>0</v>
      </c>
      <c r="M38" s="31"/>
      <c r="N38" s="34">
        <f t="shared" si="2"/>
        <v>0</v>
      </c>
      <c r="O38" s="35" t="str">
        <f t="shared" si="3"/>
        <v/>
      </c>
    </row>
    <row r="39" spans="2:15" s="49" customFormat="1" x14ac:dyDescent="0.25">
      <c r="B39" s="38" t="s">
        <v>28</v>
      </c>
      <c r="C39" s="39"/>
      <c r="D39" s="40"/>
      <c r="E39" s="39"/>
      <c r="F39" s="41"/>
      <c r="G39" s="42"/>
      <c r="H39" s="43">
        <f>SUM(H23:H38)</f>
        <v>49.4</v>
      </c>
      <c r="I39" s="44"/>
      <c r="J39" s="45"/>
      <c r="K39" s="46"/>
      <c r="L39" s="43">
        <f>SUM(L23:L38)</f>
        <v>49.629999999999995</v>
      </c>
      <c r="M39" s="44"/>
      <c r="N39" s="47">
        <f t="shared" si="2"/>
        <v>0.22999999999999687</v>
      </c>
      <c r="O39" s="48">
        <f t="shared" si="3"/>
        <v>4.6558704453440666E-3</v>
      </c>
    </row>
    <row r="40" spans="2:15" ht="38.25" x14ac:dyDescent="0.25">
      <c r="B40" s="50" t="str">
        <f>Rates!A7</f>
        <v>Rate Rider for the Disposition of Deferral/Variance Accounts (2014) - effective until December 31, 2015</v>
      </c>
      <c r="C40" s="25"/>
      <c r="D40" s="63" t="s">
        <v>81</v>
      </c>
      <c r="E40" s="27"/>
      <c r="F40" s="32">
        <f>Rates!D7</f>
        <v>0</v>
      </c>
      <c r="G40" s="29">
        <f>$F$18</f>
        <v>800</v>
      </c>
      <c r="H40" s="30">
        <f>G40*F40</f>
        <v>0</v>
      </c>
      <c r="I40" s="31"/>
      <c r="J40" s="32">
        <f>Rates!F7</f>
        <v>-6.45E-3</v>
      </c>
      <c r="K40" s="29">
        <f>$F$18</f>
        <v>800</v>
      </c>
      <c r="L40" s="30">
        <f>K40*J40</f>
        <v>-5.16</v>
      </c>
      <c r="M40" s="31"/>
      <c r="N40" s="34">
        <f>L40-H40</f>
        <v>-5.16</v>
      </c>
      <c r="O40" s="35" t="str">
        <f>IF((H40)=0,"",(N40/H40))</f>
        <v/>
      </c>
    </row>
    <row r="41" spans="2:15" ht="38.25" x14ac:dyDescent="0.25">
      <c r="B41" s="50" t="str">
        <f>Rates!A8</f>
        <v>Rate Rider for the Disposition of Global Adjustment Sub-Account (2014) - effective until December 31, 2015</v>
      </c>
      <c r="C41" s="25"/>
      <c r="D41" s="63" t="s">
        <v>81</v>
      </c>
      <c r="E41" s="27"/>
      <c r="F41" s="32">
        <f>Rates!D8</f>
        <v>0</v>
      </c>
      <c r="G41" s="29">
        <f t="shared" ref="G41:G44" si="7">$F$18</f>
        <v>800</v>
      </c>
      <c r="H41" s="30">
        <f t="shared" ref="H41:H45" si="8">G41*F41</f>
        <v>0</v>
      </c>
      <c r="I41" s="51"/>
      <c r="J41" s="32">
        <f>Rates!F8</f>
        <v>1.005E-2</v>
      </c>
      <c r="K41" s="29">
        <f t="shared" ref="K41:K44" si="9">$F$18</f>
        <v>800</v>
      </c>
      <c r="L41" s="30">
        <f t="shared" ref="L41:L45" si="10">K41*J41</f>
        <v>8.0399999999999991</v>
      </c>
      <c r="M41" s="52"/>
      <c r="N41" s="34">
        <f t="shared" ref="N41:N45" si="11">L41-H41</f>
        <v>8.0399999999999991</v>
      </c>
      <c r="O41" s="35" t="str">
        <f t="shared" ref="O41:O45" si="12">IF((H41)=0,"",(N41/H41))</f>
        <v/>
      </c>
    </row>
    <row r="42" spans="2:15" x14ac:dyDescent="0.25">
      <c r="B42" s="50"/>
      <c r="C42" s="25"/>
      <c r="D42" s="26"/>
      <c r="E42" s="27"/>
      <c r="F42" s="28"/>
      <c r="G42" s="29">
        <f t="shared" si="7"/>
        <v>800</v>
      </c>
      <c r="H42" s="30">
        <f t="shared" si="8"/>
        <v>0</v>
      </c>
      <c r="I42" s="51"/>
      <c r="J42" s="32"/>
      <c r="K42" s="29">
        <f t="shared" si="9"/>
        <v>800</v>
      </c>
      <c r="L42" s="30">
        <f t="shared" si="10"/>
        <v>0</v>
      </c>
      <c r="M42" s="52"/>
      <c r="N42" s="34">
        <f t="shared" si="11"/>
        <v>0</v>
      </c>
      <c r="O42" s="35" t="str">
        <f t="shared" si="12"/>
        <v/>
      </c>
    </row>
    <row r="43" spans="2:15" x14ac:dyDescent="0.25">
      <c r="B43" s="50"/>
      <c r="C43" s="25"/>
      <c r="D43" s="26"/>
      <c r="E43" s="27"/>
      <c r="F43" s="28"/>
      <c r="G43" s="29">
        <f t="shared" si="7"/>
        <v>800</v>
      </c>
      <c r="H43" s="30">
        <f t="shared" si="8"/>
        <v>0</v>
      </c>
      <c r="I43" s="51"/>
      <c r="J43" s="32"/>
      <c r="K43" s="29">
        <f t="shared" si="9"/>
        <v>800</v>
      </c>
      <c r="L43" s="30">
        <f t="shared" si="10"/>
        <v>0</v>
      </c>
      <c r="M43" s="52"/>
      <c r="N43" s="34">
        <f t="shared" si="11"/>
        <v>0</v>
      </c>
      <c r="O43" s="35" t="str">
        <f t="shared" si="12"/>
        <v/>
      </c>
    </row>
    <row r="44" spans="2:15" x14ac:dyDescent="0.25">
      <c r="B44" s="53" t="s">
        <v>29</v>
      </c>
      <c r="C44" s="25"/>
      <c r="D44" s="26"/>
      <c r="E44" s="27"/>
      <c r="F44" s="28"/>
      <c r="G44" s="29">
        <f t="shared" si="7"/>
        <v>800</v>
      </c>
      <c r="H44" s="30">
        <f>G44*F44</f>
        <v>0</v>
      </c>
      <c r="I44" s="31"/>
      <c r="J44" s="32"/>
      <c r="K44" s="29">
        <f t="shared" si="9"/>
        <v>800</v>
      </c>
      <c r="L44" s="30">
        <f>K44*J44</f>
        <v>0</v>
      </c>
      <c r="M44" s="31"/>
      <c r="N44" s="34">
        <f>L44-H44</f>
        <v>0</v>
      </c>
      <c r="O44" s="35" t="str">
        <f>IF((H44)=0,"",(N44/H44))</f>
        <v/>
      </c>
    </row>
    <row r="45" spans="2:15" x14ac:dyDescent="0.25">
      <c r="B45" s="53" t="s">
        <v>30</v>
      </c>
      <c r="C45" s="25"/>
      <c r="D45" s="26" t="s">
        <v>81</v>
      </c>
      <c r="E45" s="27"/>
      <c r="F45" s="54">
        <f>Rates!D84</f>
        <v>8.899E-2</v>
      </c>
      <c r="G45" s="55">
        <f>$F$18*(1+$F$63)-$F$18</f>
        <v>69.12</v>
      </c>
      <c r="H45" s="30">
        <f t="shared" si="8"/>
        <v>6.1509888000000004</v>
      </c>
      <c r="I45" s="31"/>
      <c r="J45" s="56">
        <f>Rates!F84</f>
        <v>8.899E-2</v>
      </c>
      <c r="K45" s="55">
        <f>$F$18*(1+$J$63)-$F$18</f>
        <v>73.3599999999999</v>
      </c>
      <c r="L45" s="30">
        <f t="shared" si="10"/>
        <v>6.5283063999999911</v>
      </c>
      <c r="M45" s="31"/>
      <c r="N45" s="34">
        <f t="shared" si="11"/>
        <v>0.3773175999999907</v>
      </c>
      <c r="O45" s="35">
        <f t="shared" si="12"/>
        <v>6.1342592592591075E-2</v>
      </c>
    </row>
    <row r="46" spans="2:15" x14ac:dyDescent="0.25">
      <c r="B46" s="53" t="s">
        <v>31</v>
      </c>
      <c r="C46" s="25"/>
      <c r="D46" s="26" t="s">
        <v>79</v>
      </c>
      <c r="E46" s="27"/>
      <c r="F46" s="54">
        <f>Rates!D15</f>
        <v>0.79</v>
      </c>
      <c r="G46" s="29">
        <v>1</v>
      </c>
      <c r="H46" s="30">
        <f>G46*F46</f>
        <v>0.79</v>
      </c>
      <c r="I46" s="31"/>
      <c r="J46" s="54">
        <f>Rates!F15</f>
        <v>0.79</v>
      </c>
      <c r="K46" s="29">
        <v>1</v>
      </c>
      <c r="L46" s="30">
        <f>K46*J46</f>
        <v>0.79</v>
      </c>
      <c r="M46" s="31"/>
      <c r="N46" s="34">
        <f>L46-H46</f>
        <v>0</v>
      </c>
      <c r="O46" s="35"/>
    </row>
    <row r="47" spans="2:15" ht="25.5" x14ac:dyDescent="0.25">
      <c r="B47" s="57" t="s">
        <v>32</v>
      </c>
      <c r="C47" s="58"/>
      <c r="D47" s="58"/>
      <c r="E47" s="58"/>
      <c r="F47" s="59"/>
      <c r="G47" s="60"/>
      <c r="H47" s="61">
        <f>SUM(H40:H46)+H39</f>
        <v>56.340988799999998</v>
      </c>
      <c r="I47" s="44"/>
      <c r="J47" s="60"/>
      <c r="K47" s="62"/>
      <c r="L47" s="61">
        <f>SUM(L40:L46)+L39</f>
        <v>59.828306399999988</v>
      </c>
      <c r="M47" s="44"/>
      <c r="N47" s="47">
        <f t="shared" ref="N47:N61" si="13">L47-H47</f>
        <v>3.4873175999999901</v>
      </c>
      <c r="O47" s="48">
        <f t="shared" ref="O47:O61" si="14">IF((H47)=0,"",(N47/H47))</f>
        <v>6.1896634657572613E-2</v>
      </c>
    </row>
    <row r="48" spans="2:15" x14ac:dyDescent="0.25">
      <c r="B48" s="31" t="s">
        <v>33</v>
      </c>
      <c r="C48" s="31"/>
      <c r="D48" s="63" t="s">
        <v>81</v>
      </c>
      <c r="E48" s="64"/>
      <c r="F48" s="32">
        <f>Rates!D11</f>
        <v>7.0000000000000001E-3</v>
      </c>
      <c r="G48" s="65">
        <f>F18*(1+F63)</f>
        <v>869.12</v>
      </c>
      <c r="H48" s="30">
        <f>G48*F48</f>
        <v>6.0838400000000004</v>
      </c>
      <c r="I48" s="31"/>
      <c r="J48" s="32">
        <f>Rates!F11</f>
        <v>7.1999999999999998E-3</v>
      </c>
      <c r="K48" s="66">
        <f>F18*(1+J63)</f>
        <v>873.3599999999999</v>
      </c>
      <c r="L48" s="30">
        <f>K48*J48</f>
        <v>6.2881919999999987</v>
      </c>
      <c r="M48" s="31"/>
      <c r="N48" s="34">
        <f t="shared" si="13"/>
        <v>0.20435199999999831</v>
      </c>
      <c r="O48" s="35">
        <f t="shared" si="14"/>
        <v>3.3589312013464899E-2</v>
      </c>
    </row>
    <row r="49" spans="2:19" ht="30" x14ac:dyDescent="0.25">
      <c r="B49" s="67" t="s">
        <v>34</v>
      </c>
      <c r="C49" s="31"/>
      <c r="D49" s="63" t="s">
        <v>81</v>
      </c>
      <c r="E49" s="64"/>
      <c r="F49" s="32">
        <f>Rates!D12</f>
        <v>5.1000000000000004E-3</v>
      </c>
      <c r="G49" s="65">
        <f>G48</f>
        <v>869.12</v>
      </c>
      <c r="H49" s="30">
        <f>G49*F49</f>
        <v>4.432512</v>
      </c>
      <c r="I49" s="31"/>
      <c r="J49" s="32">
        <f>Rates!F12</f>
        <v>5.1999999999999998E-3</v>
      </c>
      <c r="K49" s="66">
        <f>K48</f>
        <v>873.3599999999999</v>
      </c>
      <c r="L49" s="30">
        <f>K49*J49</f>
        <v>4.5414719999999988</v>
      </c>
      <c r="M49" s="31"/>
      <c r="N49" s="34">
        <f t="shared" si="13"/>
        <v>0.10895999999999884</v>
      </c>
      <c r="O49" s="35">
        <f t="shared" si="14"/>
        <v>2.4581997747552365E-2</v>
      </c>
    </row>
    <row r="50" spans="2:19" ht="25.5" x14ac:dyDescent="0.25">
      <c r="B50" s="57" t="s">
        <v>35</v>
      </c>
      <c r="C50" s="39"/>
      <c r="D50" s="39"/>
      <c r="E50" s="39"/>
      <c r="F50" s="68"/>
      <c r="G50" s="60"/>
      <c r="H50" s="61">
        <f>SUM(H47:H49)</f>
        <v>66.857340800000003</v>
      </c>
      <c r="I50" s="69"/>
      <c r="J50" s="70"/>
      <c r="K50" s="71"/>
      <c r="L50" s="61">
        <f>SUM(L47:L49)</f>
        <v>70.657970399999982</v>
      </c>
      <c r="M50" s="69"/>
      <c r="N50" s="47">
        <f t="shared" si="13"/>
        <v>3.8006295999999793</v>
      </c>
      <c r="O50" s="48">
        <f t="shared" si="14"/>
        <v>5.6846855626061323E-2</v>
      </c>
    </row>
    <row r="51" spans="2:19" ht="30" x14ac:dyDescent="0.25">
      <c r="B51" s="72" t="s">
        <v>36</v>
      </c>
      <c r="C51" s="25"/>
      <c r="D51" s="63" t="s">
        <v>81</v>
      </c>
      <c r="E51" s="27"/>
      <c r="F51" s="75">
        <f>Rates!D13</f>
        <v>4.4000000000000003E-3</v>
      </c>
      <c r="G51" s="65">
        <f>G49</f>
        <v>869.12</v>
      </c>
      <c r="H51" s="74">
        <f t="shared" ref="H51:H55" si="15">G51*F51</f>
        <v>3.8241280000000004</v>
      </c>
      <c r="I51" s="31"/>
      <c r="J51" s="75">
        <f>Rates!F13</f>
        <v>4.4000000000000003E-3</v>
      </c>
      <c r="K51" s="66">
        <f>K49</f>
        <v>873.3599999999999</v>
      </c>
      <c r="L51" s="74">
        <f t="shared" ref="L51:L55" si="16">K51*J51</f>
        <v>3.842784</v>
      </c>
      <c r="M51" s="31"/>
      <c r="N51" s="34">
        <f t="shared" si="13"/>
        <v>1.8655999999999562E-2</v>
      </c>
      <c r="O51" s="76">
        <f t="shared" si="14"/>
        <v>4.8784977908688095E-3</v>
      </c>
    </row>
    <row r="52" spans="2:19" ht="30" x14ac:dyDescent="0.25">
      <c r="B52" s="72" t="s">
        <v>37</v>
      </c>
      <c r="C52" s="25"/>
      <c r="D52" s="63" t="s">
        <v>81</v>
      </c>
      <c r="E52" s="27"/>
      <c r="F52" s="75">
        <f>Rates!D14</f>
        <v>1.2999999999999999E-3</v>
      </c>
      <c r="G52" s="65">
        <f>G49</f>
        <v>869.12</v>
      </c>
      <c r="H52" s="74">
        <f t="shared" si="15"/>
        <v>1.129856</v>
      </c>
      <c r="I52" s="31"/>
      <c r="J52" s="75">
        <f>Rates!F14</f>
        <v>1.2999999999999999E-3</v>
      </c>
      <c r="K52" s="66">
        <f>K49</f>
        <v>873.3599999999999</v>
      </c>
      <c r="L52" s="74">
        <f t="shared" si="16"/>
        <v>1.1353679999999997</v>
      </c>
      <c r="M52" s="31"/>
      <c r="N52" s="34">
        <f t="shared" si="13"/>
        <v>5.5119999999997393E-3</v>
      </c>
      <c r="O52" s="76">
        <f t="shared" si="14"/>
        <v>4.8784977908686942E-3</v>
      </c>
    </row>
    <row r="53" spans="2:19" x14ac:dyDescent="0.25">
      <c r="B53" s="25" t="s">
        <v>38</v>
      </c>
      <c r="C53" s="25"/>
      <c r="D53" s="26" t="s">
        <v>79</v>
      </c>
      <c r="E53" s="27"/>
      <c r="F53" s="73">
        <f>Rates!D16</f>
        <v>0.25</v>
      </c>
      <c r="G53" s="29">
        <v>1</v>
      </c>
      <c r="H53" s="74">
        <f t="shared" si="15"/>
        <v>0.25</v>
      </c>
      <c r="I53" s="31"/>
      <c r="J53" s="75">
        <f>Rates!F16</f>
        <v>0.25</v>
      </c>
      <c r="K53" s="33">
        <v>1</v>
      </c>
      <c r="L53" s="74">
        <f t="shared" si="16"/>
        <v>0.25</v>
      </c>
      <c r="M53" s="31"/>
      <c r="N53" s="34">
        <f t="shared" si="13"/>
        <v>0</v>
      </c>
      <c r="O53" s="76">
        <f t="shared" si="14"/>
        <v>0</v>
      </c>
    </row>
    <row r="54" spans="2:19" x14ac:dyDescent="0.25">
      <c r="B54" s="25" t="s">
        <v>39</v>
      </c>
      <c r="C54" s="25"/>
      <c r="D54" s="26" t="s">
        <v>81</v>
      </c>
      <c r="E54" s="27"/>
      <c r="F54" s="73">
        <f>Rates!D71</f>
        <v>2E-3</v>
      </c>
      <c r="G54" s="77">
        <f>F18</f>
        <v>800</v>
      </c>
      <c r="H54" s="74">
        <f t="shared" si="15"/>
        <v>1.6</v>
      </c>
      <c r="I54" s="31"/>
      <c r="J54" s="75">
        <f>Rates!F71</f>
        <v>2E-3</v>
      </c>
      <c r="K54" s="78">
        <f>F18</f>
        <v>800</v>
      </c>
      <c r="L54" s="74">
        <f t="shared" si="16"/>
        <v>1.6</v>
      </c>
      <c r="M54" s="31"/>
      <c r="N54" s="34">
        <f t="shared" si="13"/>
        <v>0</v>
      </c>
      <c r="O54" s="76">
        <f t="shared" si="14"/>
        <v>0</v>
      </c>
    </row>
    <row r="55" spans="2:19" ht="15.75" thickBot="1" x14ac:dyDescent="0.3">
      <c r="B55" s="53" t="s">
        <v>109</v>
      </c>
      <c r="C55" s="25"/>
      <c r="D55" s="26" t="s">
        <v>81</v>
      </c>
      <c r="E55" s="27"/>
      <c r="F55" s="79">
        <f>Rates!D83</f>
        <v>8.949E-2</v>
      </c>
      <c r="G55" s="80">
        <f>F18</f>
        <v>800</v>
      </c>
      <c r="H55" s="74">
        <f t="shared" si="15"/>
        <v>71.591999999999999</v>
      </c>
      <c r="I55" s="31"/>
      <c r="J55" s="73">
        <f>Rates!F83</f>
        <v>8.949E-2</v>
      </c>
      <c r="K55" s="80">
        <f>G55</f>
        <v>800</v>
      </c>
      <c r="L55" s="74">
        <f t="shared" si="16"/>
        <v>71.591999999999999</v>
      </c>
      <c r="M55" s="31"/>
      <c r="N55" s="34">
        <f t="shared" si="13"/>
        <v>0</v>
      </c>
      <c r="O55" s="76">
        <f t="shared" si="14"/>
        <v>0</v>
      </c>
      <c r="S55" s="81"/>
    </row>
    <row r="56" spans="2:19" ht="15.75" thickBot="1" x14ac:dyDescent="0.3">
      <c r="B56" s="90"/>
      <c r="C56" s="91"/>
      <c r="D56" s="92"/>
      <c r="E56" s="91"/>
      <c r="F56" s="93"/>
      <c r="G56" s="94"/>
      <c r="H56" s="95"/>
      <c r="I56" s="96"/>
      <c r="J56" s="93"/>
      <c r="K56" s="97"/>
      <c r="L56" s="95"/>
      <c r="M56" s="96"/>
      <c r="N56" s="98"/>
      <c r="O56" s="99"/>
    </row>
    <row r="57" spans="2:19" x14ac:dyDescent="0.25">
      <c r="B57" s="100" t="s">
        <v>106</v>
      </c>
      <c r="C57" s="25"/>
      <c r="D57" s="25"/>
      <c r="E57" s="25"/>
      <c r="F57" s="101"/>
      <c r="G57" s="102"/>
      <c r="H57" s="103">
        <f>SUM(H51:H55,H50)</f>
        <v>145.2533248</v>
      </c>
      <c r="I57" s="104"/>
      <c r="J57" s="105"/>
      <c r="K57" s="105"/>
      <c r="L57" s="181">
        <f>SUM(L51:L55,L50)</f>
        <v>149.07812239999998</v>
      </c>
      <c r="M57" s="106"/>
      <c r="N57" s="107">
        <f t="shared" ref="N57" si="17">L57-H57</f>
        <v>3.8247975999999824</v>
      </c>
      <c r="O57" s="108">
        <f t="shared" ref="O57" si="18">IF((H57)=0,"",(N57/H57))</f>
        <v>2.6331910854821151E-2</v>
      </c>
      <c r="S57" s="81"/>
    </row>
    <row r="58" spans="2:19" x14ac:dyDescent="0.25">
      <c r="B58" s="109" t="s">
        <v>46</v>
      </c>
      <c r="C58" s="25"/>
      <c r="D58" s="25"/>
      <c r="E58" s="25"/>
      <c r="F58" s="110">
        <v>0.13</v>
      </c>
      <c r="G58" s="111"/>
      <c r="H58" s="112">
        <f>H57*F58</f>
        <v>18.882932224000001</v>
      </c>
      <c r="I58" s="113"/>
      <c r="J58" s="114">
        <v>0.13</v>
      </c>
      <c r="K58" s="113"/>
      <c r="L58" s="115">
        <f>L57*J58</f>
        <v>19.380155911999999</v>
      </c>
      <c r="M58" s="116"/>
      <c r="N58" s="117">
        <f t="shared" si="13"/>
        <v>0.49722368799999828</v>
      </c>
      <c r="O58" s="118">
        <f t="shared" si="14"/>
        <v>2.6331910854821179E-2</v>
      </c>
      <c r="S58" s="81"/>
    </row>
    <row r="59" spans="2:19" x14ac:dyDescent="0.25">
      <c r="B59" s="119" t="s">
        <v>52</v>
      </c>
      <c r="C59" s="25"/>
      <c r="D59" s="25"/>
      <c r="E59" s="25"/>
      <c r="F59" s="120"/>
      <c r="G59" s="111"/>
      <c r="H59" s="112">
        <f>H57+H58</f>
        <v>164.136257024</v>
      </c>
      <c r="I59" s="113"/>
      <c r="J59" s="113"/>
      <c r="K59" s="113"/>
      <c r="L59" s="115">
        <f>L57+L58</f>
        <v>168.45827831199998</v>
      </c>
      <c r="M59" s="116"/>
      <c r="N59" s="117">
        <f t="shared" si="13"/>
        <v>4.3220212879999735</v>
      </c>
      <c r="O59" s="118">
        <f t="shared" si="14"/>
        <v>2.633191085482111E-2</v>
      </c>
      <c r="S59" s="81"/>
    </row>
    <row r="60" spans="2:19" x14ac:dyDescent="0.25">
      <c r="B60" s="226" t="s">
        <v>53</v>
      </c>
      <c r="C60" s="226"/>
      <c r="D60" s="226"/>
      <c r="E60" s="25"/>
      <c r="F60" s="120"/>
      <c r="G60" s="111"/>
      <c r="H60" s="121">
        <f>ROUND(-H59*10%,2)</f>
        <v>-16.41</v>
      </c>
      <c r="I60" s="113"/>
      <c r="J60" s="113"/>
      <c r="K60" s="113"/>
      <c r="L60" s="122">
        <f>ROUND(-L59*10%,2)</f>
        <v>-16.850000000000001</v>
      </c>
      <c r="M60" s="116"/>
      <c r="N60" s="123">
        <f t="shared" si="13"/>
        <v>-0.44000000000000128</v>
      </c>
      <c r="O60" s="124">
        <f t="shared" si="14"/>
        <v>2.6812918951858701E-2</v>
      </c>
    </row>
    <row r="61" spans="2:19" x14ac:dyDescent="0.25">
      <c r="B61" s="227" t="s">
        <v>47</v>
      </c>
      <c r="C61" s="227"/>
      <c r="D61" s="227"/>
      <c r="E61" s="125"/>
      <c r="F61" s="126"/>
      <c r="G61" s="127"/>
      <c r="H61" s="128">
        <f>H59+H60</f>
        <v>147.72625702400001</v>
      </c>
      <c r="I61" s="129"/>
      <c r="J61" s="129"/>
      <c r="K61" s="129"/>
      <c r="L61" s="130">
        <f>L59+L60</f>
        <v>151.60827831199998</v>
      </c>
      <c r="M61" s="131"/>
      <c r="N61" s="132">
        <f t="shared" si="13"/>
        <v>3.8820212879999758</v>
      </c>
      <c r="O61" s="133">
        <f t="shared" si="14"/>
        <v>2.6278478628002415E-2</v>
      </c>
    </row>
    <row r="62" spans="2:19" x14ac:dyDescent="0.25">
      <c r="L62" s="81"/>
    </row>
    <row r="63" spans="2:19" x14ac:dyDescent="0.25">
      <c r="B63" s="16" t="s">
        <v>50</v>
      </c>
      <c r="F63" s="179">
        <f>Rates!D76</f>
        <v>8.6400000000000005E-2</v>
      </c>
      <c r="J63" s="179">
        <f>Rates!F76</f>
        <v>9.1700000000000004E-2</v>
      </c>
    </row>
    <row r="65" spans="1:2" x14ac:dyDescent="0.25">
      <c r="A65" s="180"/>
      <c r="B65" s="10" t="s">
        <v>51</v>
      </c>
    </row>
  </sheetData>
  <mergeCells count="12">
    <mergeCell ref="A3:K3"/>
    <mergeCell ref="B10:O10"/>
    <mergeCell ref="B11:O11"/>
    <mergeCell ref="D14:O14"/>
    <mergeCell ref="F20:H20"/>
    <mergeCell ref="J20:L20"/>
    <mergeCell ref="N20:O20"/>
    <mergeCell ref="D21:D22"/>
    <mergeCell ref="N21:N22"/>
    <mergeCell ref="O21:O22"/>
    <mergeCell ref="B60:D60"/>
    <mergeCell ref="B61:D61"/>
  </mergeCells>
  <dataValidations count="3">
    <dataValidation type="list" allowBlank="1" showInputMessage="1" showErrorMessage="1" prompt="Select Charge Unit - monthly, per kWh, per kW" sqref="D48:D49 D40:D46 D23:D38 D51:D56">
      <formula1>"Monthly, per kWh, per kW"</formula1>
    </dataValidation>
    <dataValidation type="list" allowBlank="1" showInputMessage="1" showErrorMessage="1" sqref="E48:E49 E40:E46 E23:E38 E51:E56">
      <formula1>#REF!</formula1>
    </dataValidation>
    <dataValidation type="list" allowBlank="1" showInputMessage="1" showErrorMessage="1" sqref="D16">
      <formula1>"TOU, non-TOU"</formula1>
    </dataValidation>
  </dataValidations>
  <pageMargins left="0.7" right="0.7" top="0.75" bottom="0.75" header="0.3" footer="0.3"/>
  <pageSetup scale="63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T63"/>
  <sheetViews>
    <sheetView showGridLines="0" topLeftCell="A34" zoomScaleNormal="100" workbookViewId="0">
      <selection activeCell="K18" sqref="K18"/>
    </sheetView>
  </sheetViews>
  <sheetFormatPr defaultRowHeight="15" x14ac:dyDescent="0.25"/>
  <cols>
    <col min="1" max="1" width="2.140625" style="10" customWidth="1"/>
    <col min="2" max="2" width="37.5703125" style="10" customWidth="1"/>
    <col min="3" max="3" width="1.28515625" style="10" customWidth="1"/>
    <col min="4" max="4" width="11.28515625" style="10" customWidth="1"/>
    <col min="5" max="5" width="1.28515625" style="10" customWidth="1"/>
    <col min="6" max="6" width="12.28515625" style="10" customWidth="1"/>
    <col min="7" max="7" width="8.5703125" style="10" customWidth="1"/>
    <col min="8" max="8" width="12.5703125" style="10" bestFit="1" customWidth="1"/>
    <col min="9" max="9" width="2.85546875" style="10" customWidth="1"/>
    <col min="10" max="10" width="12.140625" style="10" customWidth="1"/>
    <col min="11" max="11" width="8.5703125" style="10" customWidth="1"/>
    <col min="12" max="12" width="12.5703125" style="10" bestFit="1" customWidth="1"/>
    <col min="13" max="13" width="2.85546875" style="10" customWidth="1"/>
    <col min="14" max="14" width="12.7109375" style="10" bestFit="1" customWidth="1"/>
    <col min="15" max="15" width="10.85546875" style="10" bestFit="1" customWidth="1"/>
    <col min="16" max="16" width="3.85546875" style="10" customWidth="1"/>
    <col min="17" max="19" width="9.140625" style="10"/>
    <col min="20" max="20" width="9.140625" style="10" customWidth="1"/>
    <col min="21" max="16384" width="9.140625" style="10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O1" s="4">
        <f>EBNUMBER</f>
        <v>0</v>
      </c>
      <c r="P1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 t="s">
        <v>1</v>
      </c>
      <c r="O2" s="6"/>
      <c r="P2"/>
    </row>
    <row r="3" spans="1:20" s="2" customFormat="1" ht="15" customHeight="1" x14ac:dyDescent="0.25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N3" s="3" t="s">
        <v>2</v>
      </c>
      <c r="O3" s="6"/>
      <c r="P3"/>
    </row>
    <row r="4" spans="1:20" s="2" customFormat="1" ht="15" customHeight="1" x14ac:dyDescent="0.25">
      <c r="A4" s="5"/>
      <c r="B4" s="5"/>
      <c r="C4" s="5"/>
      <c r="D4" s="5"/>
      <c r="E4" s="5"/>
      <c r="F4" s="5"/>
      <c r="G4" s="5"/>
      <c r="H4" s="5"/>
      <c r="I4" s="7"/>
      <c r="J4" s="7"/>
      <c r="K4" s="7"/>
      <c r="N4" s="3" t="s">
        <v>3</v>
      </c>
      <c r="O4" s="6"/>
      <c r="P4"/>
    </row>
    <row r="5" spans="1:20" s="2" customFormat="1" ht="15" customHeight="1" x14ac:dyDescent="0.25">
      <c r="C5" s="8"/>
      <c r="D5" s="8"/>
      <c r="E5" s="8"/>
      <c r="N5" s="3" t="s">
        <v>4</v>
      </c>
      <c r="O5" s="9"/>
      <c r="P5"/>
    </row>
    <row r="6" spans="1:20" s="2" customFormat="1" ht="9" customHeight="1" x14ac:dyDescent="0.25">
      <c r="N6" s="3"/>
      <c r="O6" s="4"/>
      <c r="P6"/>
    </row>
    <row r="7" spans="1:20" s="2" customFormat="1" x14ac:dyDescent="0.25">
      <c r="N7" s="3" t="s">
        <v>5</v>
      </c>
      <c r="O7" s="9"/>
      <c r="P7"/>
    </row>
    <row r="8" spans="1:20" s="2" customFormat="1" ht="15" customHeight="1" x14ac:dyDescent="0.25">
      <c r="N8" s="10"/>
      <c r="O8"/>
      <c r="P8"/>
    </row>
    <row r="9" spans="1:20" ht="7.5" customHeight="1" x14ac:dyDescent="0.25">
      <c r="L9"/>
      <c r="M9"/>
      <c r="N9"/>
      <c r="O9"/>
      <c r="P9"/>
    </row>
    <row r="10" spans="1:20" ht="18.75" customHeight="1" x14ac:dyDescent="0.25">
      <c r="B10" s="214" t="s">
        <v>6</v>
      </c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/>
    </row>
    <row r="11" spans="1:20" ht="18.75" customHeight="1" x14ac:dyDescent="0.25">
      <c r="B11" s="214" t="s">
        <v>7</v>
      </c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/>
    </row>
    <row r="12" spans="1:20" ht="7.5" customHeight="1" x14ac:dyDescent="0.25">
      <c r="L12"/>
      <c r="M12"/>
      <c r="N12"/>
      <c r="O12"/>
      <c r="P12"/>
    </row>
    <row r="13" spans="1:20" ht="7.5" customHeight="1" x14ac:dyDescent="0.25">
      <c r="L13"/>
      <c r="M13"/>
      <c r="N13"/>
      <c r="O13"/>
      <c r="P13"/>
    </row>
    <row r="14" spans="1:20" ht="15.75" x14ac:dyDescent="0.25">
      <c r="B14" s="11" t="s">
        <v>8</v>
      </c>
      <c r="D14" s="215" t="s">
        <v>92</v>
      </c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</row>
    <row r="15" spans="1:20" ht="7.5" customHeight="1" x14ac:dyDescent="0.25">
      <c r="B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20" ht="15.75" x14ac:dyDescent="0.25">
      <c r="B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2:15" x14ac:dyDescent="0.25">
      <c r="B17" s="15"/>
      <c r="D17" s="16" t="s">
        <v>11</v>
      </c>
      <c r="E17" s="16"/>
      <c r="F17" s="17">
        <v>4100000</v>
      </c>
      <c r="G17" s="16" t="s">
        <v>12</v>
      </c>
      <c r="I17" s="229" t="s">
        <v>86</v>
      </c>
      <c r="J17" s="229"/>
      <c r="K17" s="17">
        <v>6000</v>
      </c>
      <c r="L17" s="184" t="s">
        <v>87</v>
      </c>
    </row>
    <row r="18" spans="2:15" x14ac:dyDescent="0.25">
      <c r="B18" s="15"/>
    </row>
    <row r="19" spans="2:15" x14ac:dyDescent="0.25">
      <c r="B19" s="15"/>
      <c r="D19" s="18"/>
      <c r="E19" s="18"/>
      <c r="F19" s="216" t="s">
        <v>13</v>
      </c>
      <c r="G19" s="217"/>
      <c r="H19" s="218"/>
      <c r="J19" s="216" t="s">
        <v>14</v>
      </c>
      <c r="K19" s="217"/>
      <c r="L19" s="218"/>
      <c r="N19" s="216" t="s">
        <v>15</v>
      </c>
      <c r="O19" s="218"/>
    </row>
    <row r="20" spans="2:15" x14ac:dyDescent="0.25">
      <c r="B20" s="15"/>
      <c r="D20" s="220" t="s">
        <v>16</v>
      </c>
      <c r="E20" s="19"/>
      <c r="F20" s="20" t="s">
        <v>17</v>
      </c>
      <c r="G20" s="20" t="s">
        <v>18</v>
      </c>
      <c r="H20" s="21" t="s">
        <v>19</v>
      </c>
      <c r="J20" s="20" t="s">
        <v>17</v>
      </c>
      <c r="K20" s="22" t="s">
        <v>18</v>
      </c>
      <c r="L20" s="21" t="s">
        <v>19</v>
      </c>
      <c r="N20" s="222" t="s">
        <v>20</v>
      </c>
      <c r="O20" s="224" t="s">
        <v>21</v>
      </c>
    </row>
    <row r="21" spans="2:15" x14ac:dyDescent="0.25">
      <c r="B21" s="15"/>
      <c r="D21" s="221"/>
      <c r="E21" s="19"/>
      <c r="F21" s="23" t="s">
        <v>22</v>
      </c>
      <c r="G21" s="23"/>
      <c r="H21" s="24" t="s">
        <v>22</v>
      </c>
      <c r="J21" s="23" t="s">
        <v>22</v>
      </c>
      <c r="K21" s="24"/>
      <c r="L21" s="24" t="s">
        <v>22</v>
      </c>
      <c r="N21" s="223"/>
      <c r="O21" s="225"/>
    </row>
    <row r="22" spans="2:15" x14ac:dyDescent="0.25">
      <c r="B22" s="25" t="s">
        <v>23</v>
      </c>
      <c r="C22" s="25"/>
      <c r="D22" s="26" t="s">
        <v>79</v>
      </c>
      <c r="E22" s="27"/>
      <c r="F22" s="28">
        <f>Rates!D19</f>
        <v>596.12</v>
      </c>
      <c r="G22" s="29">
        <v>1</v>
      </c>
      <c r="H22" s="30">
        <f>G22*F22</f>
        <v>596.12</v>
      </c>
      <c r="I22" s="31"/>
      <c r="J22" s="32">
        <f>Rates!F19</f>
        <v>596.12</v>
      </c>
      <c r="K22" s="33">
        <v>1</v>
      </c>
      <c r="L22" s="30">
        <f>K22*J22</f>
        <v>596.12</v>
      </c>
      <c r="M22" s="31"/>
      <c r="N22" s="34">
        <f>L22-H22</f>
        <v>0</v>
      </c>
      <c r="O22" s="35">
        <f>IF((H22)=0,"",(N22/H22))</f>
        <v>0</v>
      </c>
    </row>
    <row r="23" spans="2:15" x14ac:dyDescent="0.25">
      <c r="B23" s="25" t="s">
        <v>24</v>
      </c>
      <c r="C23" s="25"/>
      <c r="D23" s="26"/>
      <c r="E23" s="27"/>
      <c r="F23" s="28"/>
      <c r="G23" s="29">
        <v>1</v>
      </c>
      <c r="H23" s="30">
        <f t="shared" ref="H23:H37" si="0">G23*F23</f>
        <v>0</v>
      </c>
      <c r="I23" s="31"/>
      <c r="J23" s="32"/>
      <c r="K23" s="33">
        <v>1</v>
      </c>
      <c r="L23" s="30">
        <f>K23*J23</f>
        <v>0</v>
      </c>
      <c r="M23" s="31"/>
      <c r="N23" s="34">
        <f>L23-H23</f>
        <v>0</v>
      </c>
      <c r="O23" s="35" t="str">
        <f>IF((H23)=0,"",(N23/H23))</f>
        <v/>
      </c>
    </row>
    <row r="24" spans="2:15" x14ac:dyDescent="0.25">
      <c r="B24" s="36"/>
      <c r="C24" s="25"/>
      <c r="D24" s="26"/>
      <c r="E24" s="27"/>
      <c r="F24" s="28"/>
      <c r="G24" s="29">
        <v>1</v>
      </c>
      <c r="H24" s="30">
        <f t="shared" si="0"/>
        <v>0</v>
      </c>
      <c r="I24" s="31"/>
      <c r="J24" s="32"/>
      <c r="K24" s="33">
        <v>1</v>
      </c>
      <c r="L24" s="30">
        <f t="shared" ref="L24:L37" si="1">K24*J24</f>
        <v>0</v>
      </c>
      <c r="M24" s="31"/>
      <c r="N24" s="34">
        <f t="shared" ref="N24:N38" si="2">L24-H24</f>
        <v>0</v>
      </c>
      <c r="O24" s="35" t="str">
        <f t="shared" ref="O24:O38" si="3">IF((H24)=0,"",(N24/H24))</f>
        <v/>
      </c>
    </row>
    <row r="25" spans="2:15" x14ac:dyDescent="0.25">
      <c r="B25" s="36"/>
      <c r="C25" s="25"/>
      <c r="D25" s="26"/>
      <c r="E25" s="27"/>
      <c r="F25" s="28"/>
      <c r="G25" s="29">
        <v>1</v>
      </c>
      <c r="H25" s="30">
        <f t="shared" si="0"/>
        <v>0</v>
      </c>
      <c r="I25" s="31"/>
      <c r="J25" s="32"/>
      <c r="K25" s="33">
        <v>1</v>
      </c>
      <c r="L25" s="30">
        <f t="shared" si="1"/>
        <v>0</v>
      </c>
      <c r="M25" s="31"/>
      <c r="N25" s="34">
        <f t="shared" si="2"/>
        <v>0</v>
      </c>
      <c r="O25" s="35" t="str">
        <f t="shared" si="3"/>
        <v/>
      </c>
    </row>
    <row r="26" spans="2:15" x14ac:dyDescent="0.25">
      <c r="B26" s="36"/>
      <c r="C26" s="25"/>
      <c r="D26" s="26"/>
      <c r="E26" s="27"/>
      <c r="F26" s="28"/>
      <c r="G26" s="29">
        <v>1</v>
      </c>
      <c r="H26" s="30">
        <f t="shared" si="0"/>
        <v>0</v>
      </c>
      <c r="I26" s="31"/>
      <c r="J26" s="32"/>
      <c r="K26" s="33">
        <v>1</v>
      </c>
      <c r="L26" s="30">
        <f t="shared" si="1"/>
        <v>0</v>
      </c>
      <c r="M26" s="31"/>
      <c r="N26" s="34">
        <f t="shared" si="2"/>
        <v>0</v>
      </c>
      <c r="O26" s="35" t="str">
        <f t="shared" si="3"/>
        <v/>
      </c>
    </row>
    <row r="27" spans="2:15" x14ac:dyDescent="0.25">
      <c r="B27" s="36"/>
      <c r="C27" s="25"/>
      <c r="D27" s="26"/>
      <c r="E27" s="27"/>
      <c r="F27" s="28"/>
      <c r="G27" s="29">
        <v>1</v>
      </c>
      <c r="H27" s="30">
        <f t="shared" si="0"/>
        <v>0</v>
      </c>
      <c r="I27" s="31"/>
      <c r="J27" s="32"/>
      <c r="K27" s="33">
        <v>1</v>
      </c>
      <c r="L27" s="30">
        <f t="shared" si="1"/>
        <v>0</v>
      </c>
      <c r="M27" s="31"/>
      <c r="N27" s="34">
        <f t="shared" si="2"/>
        <v>0</v>
      </c>
      <c r="O27" s="35" t="str">
        <f t="shared" si="3"/>
        <v/>
      </c>
    </row>
    <row r="28" spans="2:15" x14ac:dyDescent="0.25">
      <c r="B28" s="25" t="s">
        <v>25</v>
      </c>
      <c r="C28" s="25"/>
      <c r="D28" s="26" t="s">
        <v>88</v>
      </c>
      <c r="E28" s="27"/>
      <c r="F28" s="28">
        <f>Rates!D20</f>
        <v>3.0886999999999998</v>
      </c>
      <c r="G28" s="185">
        <f>$K$17</f>
        <v>6000</v>
      </c>
      <c r="H28" s="30">
        <f t="shared" si="0"/>
        <v>18532.199999999997</v>
      </c>
      <c r="I28" s="31"/>
      <c r="J28" s="32">
        <f>Rates!F20</f>
        <v>3.2725</v>
      </c>
      <c r="K28" s="185">
        <f>$K$17</f>
        <v>6000</v>
      </c>
      <c r="L28" s="30">
        <f t="shared" si="1"/>
        <v>19635</v>
      </c>
      <c r="M28" s="31"/>
      <c r="N28" s="34">
        <f t="shared" si="2"/>
        <v>1102.8000000000029</v>
      </c>
      <c r="O28" s="35">
        <f t="shared" si="3"/>
        <v>5.9507236054003466E-2</v>
      </c>
    </row>
    <row r="29" spans="2:15" x14ac:dyDescent="0.25">
      <c r="B29" s="25" t="s">
        <v>26</v>
      </c>
      <c r="C29" s="25"/>
      <c r="D29" s="26"/>
      <c r="E29" s="27"/>
      <c r="F29" s="28"/>
      <c r="G29" s="29">
        <f t="shared" ref="G29:G43" si="4">$K$17</f>
        <v>6000</v>
      </c>
      <c r="H29" s="30">
        <f t="shared" si="0"/>
        <v>0</v>
      </c>
      <c r="I29" s="31"/>
      <c r="J29" s="32"/>
      <c r="K29" s="29">
        <f t="shared" ref="K29:K43" si="5">$K$17</f>
        <v>6000</v>
      </c>
      <c r="L29" s="30">
        <f t="shared" si="1"/>
        <v>0</v>
      </c>
      <c r="M29" s="31"/>
      <c r="N29" s="34">
        <f t="shared" si="2"/>
        <v>0</v>
      </c>
      <c r="O29" s="35" t="str">
        <f t="shared" si="3"/>
        <v/>
      </c>
    </row>
    <row r="30" spans="2:15" ht="45" x14ac:dyDescent="0.25">
      <c r="B30" s="72" t="str">
        <f>Rates!A25</f>
        <v>Rate Rider for the Recovery of Lost Revenue Adjustment (LRAM) - effective until December 31, 2015</v>
      </c>
      <c r="C30" s="25"/>
      <c r="D30" s="63" t="s">
        <v>88</v>
      </c>
      <c r="E30" s="27"/>
      <c r="F30" s="32">
        <f>Rates!D25</f>
        <v>0</v>
      </c>
      <c r="G30" s="29">
        <f t="shared" si="4"/>
        <v>6000</v>
      </c>
      <c r="H30" s="30">
        <f t="shared" si="0"/>
        <v>0</v>
      </c>
      <c r="I30" s="31"/>
      <c r="J30" s="32">
        <f>Rates!F25</f>
        <v>2.8999999999999998E-3</v>
      </c>
      <c r="K30" s="29">
        <f t="shared" si="5"/>
        <v>6000</v>
      </c>
      <c r="L30" s="30">
        <f t="shared" si="1"/>
        <v>17.399999999999999</v>
      </c>
      <c r="M30" s="31"/>
      <c r="N30" s="34">
        <f t="shared" si="2"/>
        <v>17.399999999999999</v>
      </c>
      <c r="O30" s="35" t="str">
        <f t="shared" si="3"/>
        <v/>
      </c>
    </row>
    <row r="31" spans="2:15" ht="30" x14ac:dyDescent="0.25">
      <c r="B31" s="183" t="str">
        <f>Rates!A5</f>
        <v>Foregone Revenue Recovery - effective until December 31, 2014 (2014)</v>
      </c>
      <c r="C31" s="25"/>
      <c r="D31" s="63" t="s">
        <v>88</v>
      </c>
      <c r="E31" s="27"/>
      <c r="F31" s="32">
        <f>Rates!D21</f>
        <v>3.8800000000000001E-2</v>
      </c>
      <c r="G31" s="29">
        <f t="shared" si="4"/>
        <v>6000</v>
      </c>
      <c r="H31" s="30">
        <f t="shared" si="0"/>
        <v>232.8</v>
      </c>
      <c r="I31" s="31"/>
      <c r="J31" s="32">
        <f>Rates!F21</f>
        <v>0</v>
      </c>
      <c r="K31" s="29">
        <f t="shared" si="5"/>
        <v>6000</v>
      </c>
      <c r="L31" s="30">
        <f t="shared" si="1"/>
        <v>0</v>
      </c>
      <c r="M31" s="31"/>
      <c r="N31" s="34">
        <f t="shared" si="2"/>
        <v>-232.8</v>
      </c>
      <c r="O31" s="35">
        <f t="shared" si="3"/>
        <v>-1</v>
      </c>
    </row>
    <row r="32" spans="2:15" ht="30" x14ac:dyDescent="0.25">
      <c r="B32" s="183" t="str">
        <f>Rates!A6</f>
        <v>Tax Changes - effective until December 31, 2014</v>
      </c>
      <c r="C32" s="25"/>
      <c r="D32" s="63" t="s">
        <v>88</v>
      </c>
      <c r="E32" s="27"/>
      <c r="F32" s="32">
        <f>Rates!D22</f>
        <v>-1.4800000000000001E-2</v>
      </c>
      <c r="G32" s="29">
        <f t="shared" si="4"/>
        <v>6000</v>
      </c>
      <c r="H32" s="30">
        <f t="shared" si="0"/>
        <v>-88.8</v>
      </c>
      <c r="I32" s="31"/>
      <c r="J32" s="32">
        <f>Rates!F22</f>
        <v>0</v>
      </c>
      <c r="K32" s="29">
        <f t="shared" si="5"/>
        <v>6000</v>
      </c>
      <c r="L32" s="30">
        <f t="shared" si="1"/>
        <v>0</v>
      </c>
      <c r="M32" s="31"/>
      <c r="N32" s="34">
        <f t="shared" si="2"/>
        <v>88.8</v>
      </c>
      <c r="O32" s="35">
        <f t="shared" si="3"/>
        <v>-1</v>
      </c>
    </row>
    <row r="33" spans="2:15" ht="45" x14ac:dyDescent="0.25">
      <c r="B33" s="183" t="str">
        <f>Rates!A26</f>
        <v>Rate Rider for the Disposition of Account 1575 &amp; 1576 - effective until December 31, 2019</v>
      </c>
      <c r="C33" s="25"/>
      <c r="D33" s="63" t="s">
        <v>88</v>
      </c>
      <c r="E33" s="27"/>
      <c r="F33" s="32">
        <f>Rates!D26</f>
        <v>0</v>
      </c>
      <c r="G33" s="29">
        <f t="shared" si="4"/>
        <v>6000</v>
      </c>
      <c r="H33" s="30">
        <f t="shared" si="0"/>
        <v>0</v>
      </c>
      <c r="I33" s="31"/>
      <c r="J33" s="32">
        <f>Rates!F26</f>
        <v>-0.78769999999999996</v>
      </c>
      <c r="K33" s="29">
        <f t="shared" si="5"/>
        <v>6000</v>
      </c>
      <c r="L33" s="30">
        <f t="shared" si="1"/>
        <v>-4726.2</v>
      </c>
      <c r="M33" s="31"/>
      <c r="N33" s="34">
        <f t="shared" si="2"/>
        <v>-4726.2</v>
      </c>
      <c r="O33" s="35" t="str">
        <f t="shared" si="3"/>
        <v/>
      </c>
    </row>
    <row r="34" spans="2:15" x14ac:dyDescent="0.25">
      <c r="B34" s="37"/>
      <c r="C34" s="25"/>
      <c r="D34" s="26"/>
      <c r="E34" s="27"/>
      <c r="F34" s="28"/>
      <c r="G34" s="29">
        <f t="shared" si="4"/>
        <v>6000</v>
      </c>
      <c r="H34" s="30">
        <f t="shared" si="0"/>
        <v>0</v>
      </c>
      <c r="I34" s="31"/>
      <c r="J34" s="32"/>
      <c r="K34" s="29">
        <f t="shared" si="5"/>
        <v>6000</v>
      </c>
      <c r="L34" s="30">
        <f t="shared" si="1"/>
        <v>0</v>
      </c>
      <c r="M34" s="31"/>
      <c r="N34" s="34">
        <f t="shared" si="2"/>
        <v>0</v>
      </c>
      <c r="O34" s="35" t="str">
        <f t="shared" si="3"/>
        <v/>
      </c>
    </row>
    <row r="35" spans="2:15" x14ac:dyDescent="0.25">
      <c r="B35" s="37"/>
      <c r="C35" s="25"/>
      <c r="D35" s="26"/>
      <c r="E35" s="27"/>
      <c r="F35" s="28"/>
      <c r="G35" s="29">
        <f t="shared" si="4"/>
        <v>6000</v>
      </c>
      <c r="H35" s="30">
        <f t="shared" si="0"/>
        <v>0</v>
      </c>
      <c r="I35" s="31"/>
      <c r="J35" s="32"/>
      <c r="K35" s="29">
        <f t="shared" si="5"/>
        <v>6000</v>
      </c>
      <c r="L35" s="30">
        <f t="shared" si="1"/>
        <v>0</v>
      </c>
      <c r="M35" s="31"/>
      <c r="N35" s="34">
        <f t="shared" si="2"/>
        <v>0</v>
      </c>
      <c r="O35" s="35" t="str">
        <f t="shared" si="3"/>
        <v/>
      </c>
    </row>
    <row r="36" spans="2:15" x14ac:dyDescent="0.25">
      <c r="B36" s="37"/>
      <c r="C36" s="25"/>
      <c r="D36" s="26"/>
      <c r="E36" s="27"/>
      <c r="F36" s="28"/>
      <c r="G36" s="29">
        <f t="shared" si="4"/>
        <v>6000</v>
      </c>
      <c r="H36" s="30">
        <f t="shared" si="0"/>
        <v>0</v>
      </c>
      <c r="I36" s="31"/>
      <c r="J36" s="32"/>
      <c r="K36" s="29">
        <f t="shared" si="5"/>
        <v>6000</v>
      </c>
      <c r="L36" s="30">
        <f t="shared" si="1"/>
        <v>0</v>
      </c>
      <c r="M36" s="31"/>
      <c r="N36" s="34">
        <f t="shared" si="2"/>
        <v>0</v>
      </c>
      <c r="O36" s="35" t="str">
        <f t="shared" si="3"/>
        <v/>
      </c>
    </row>
    <row r="37" spans="2:15" x14ac:dyDescent="0.25">
      <c r="B37" s="37"/>
      <c r="C37" s="25"/>
      <c r="D37" s="26"/>
      <c r="E37" s="27"/>
      <c r="F37" s="28"/>
      <c r="G37" s="29">
        <f t="shared" si="4"/>
        <v>6000</v>
      </c>
      <c r="H37" s="30">
        <f t="shared" si="0"/>
        <v>0</v>
      </c>
      <c r="I37" s="31"/>
      <c r="J37" s="32"/>
      <c r="K37" s="29">
        <f t="shared" si="5"/>
        <v>6000</v>
      </c>
      <c r="L37" s="30">
        <f t="shared" si="1"/>
        <v>0</v>
      </c>
      <c r="M37" s="31"/>
      <c r="N37" s="34">
        <f t="shared" si="2"/>
        <v>0</v>
      </c>
      <c r="O37" s="35" t="str">
        <f t="shared" si="3"/>
        <v/>
      </c>
    </row>
    <row r="38" spans="2:15" s="49" customFormat="1" x14ac:dyDescent="0.25">
      <c r="B38" s="38" t="s">
        <v>28</v>
      </c>
      <c r="C38" s="39"/>
      <c r="D38" s="40"/>
      <c r="E38" s="39"/>
      <c r="F38" s="41"/>
      <c r="G38" s="42"/>
      <c r="H38" s="43">
        <f>SUM(H22:H37)</f>
        <v>19272.319999999996</v>
      </c>
      <c r="I38" s="44"/>
      <c r="J38" s="45"/>
      <c r="K38" s="46"/>
      <c r="L38" s="43">
        <f>SUM(L22:L37)</f>
        <v>15522.32</v>
      </c>
      <c r="M38" s="44"/>
      <c r="N38" s="47">
        <f t="shared" si="2"/>
        <v>-3749.9999999999964</v>
      </c>
      <c r="O38" s="48">
        <f t="shared" si="3"/>
        <v>-0.19457958356855828</v>
      </c>
    </row>
    <row r="39" spans="2:15" ht="38.25" x14ac:dyDescent="0.25">
      <c r="B39" s="50" t="str">
        <f>Rates!A23</f>
        <v>Rate Rider for the Disposition of Deferral/Variance Accounts (2014) - effective until December 31, 2015</v>
      </c>
      <c r="C39" s="25"/>
      <c r="D39" s="63" t="s">
        <v>88</v>
      </c>
      <c r="E39" s="27"/>
      <c r="F39" s="32">
        <f>Rates!D23</f>
        <v>0</v>
      </c>
      <c r="G39" s="29">
        <f t="shared" si="4"/>
        <v>6000</v>
      </c>
      <c r="H39" s="30">
        <f>G39*F39</f>
        <v>0</v>
      </c>
      <c r="I39" s="31"/>
      <c r="J39" s="32">
        <f>Rates!F23</f>
        <v>-2.7012999999999998</v>
      </c>
      <c r="K39" s="29">
        <f t="shared" si="5"/>
        <v>6000</v>
      </c>
      <c r="L39" s="30">
        <f>K39*J39</f>
        <v>-16207.8</v>
      </c>
      <c r="M39" s="31"/>
      <c r="N39" s="34">
        <f>L39-H39</f>
        <v>-16207.8</v>
      </c>
      <c r="O39" s="35" t="str">
        <f>IF((H39)=0,"",(N39/H39))</f>
        <v/>
      </c>
    </row>
    <row r="40" spans="2:15" ht="38.25" x14ac:dyDescent="0.25">
      <c r="B40" s="50" t="str">
        <f>Rates!A24</f>
        <v>Rate Rider for the Disposition of Global Adjustment Sub-Account (2014) - effective until December 31, 2015</v>
      </c>
      <c r="C40" s="25"/>
      <c r="D40" s="63" t="s">
        <v>88</v>
      </c>
      <c r="E40" s="27"/>
      <c r="F40" s="32">
        <f>Rates!D24</f>
        <v>0</v>
      </c>
      <c r="G40" s="29">
        <f t="shared" si="4"/>
        <v>6000</v>
      </c>
      <c r="H40" s="30">
        <f t="shared" ref="H40:H44" si="6">G40*F40</f>
        <v>0</v>
      </c>
      <c r="I40" s="51"/>
      <c r="J40" s="32">
        <f>Rates!F24</f>
        <v>4.2051999999999996</v>
      </c>
      <c r="K40" s="29">
        <f t="shared" si="5"/>
        <v>6000</v>
      </c>
      <c r="L40" s="30">
        <f t="shared" ref="L40:L44" si="7">K40*J40</f>
        <v>25231.199999999997</v>
      </c>
      <c r="M40" s="52"/>
      <c r="N40" s="34">
        <f t="shared" ref="N40:N44" si="8">L40-H40</f>
        <v>25231.199999999997</v>
      </c>
      <c r="O40" s="35" t="str">
        <f t="shared" ref="O40:O44" si="9">IF((H40)=0,"",(N40/H40))</f>
        <v/>
      </c>
    </row>
    <row r="41" spans="2:15" x14ac:dyDescent="0.25">
      <c r="B41" s="50"/>
      <c r="C41" s="25"/>
      <c r="D41" s="26"/>
      <c r="E41" s="27"/>
      <c r="F41" s="28"/>
      <c r="G41" s="29">
        <f t="shared" si="4"/>
        <v>6000</v>
      </c>
      <c r="H41" s="30">
        <f t="shared" si="6"/>
        <v>0</v>
      </c>
      <c r="I41" s="51"/>
      <c r="J41" s="32"/>
      <c r="K41" s="29">
        <f t="shared" si="5"/>
        <v>6000</v>
      </c>
      <c r="L41" s="30">
        <f t="shared" si="7"/>
        <v>0</v>
      </c>
      <c r="M41" s="52"/>
      <c r="N41" s="34">
        <f t="shared" si="8"/>
        <v>0</v>
      </c>
      <c r="O41" s="35" t="str">
        <f t="shared" si="9"/>
        <v/>
      </c>
    </row>
    <row r="42" spans="2:15" x14ac:dyDescent="0.25">
      <c r="B42" s="50"/>
      <c r="C42" s="25"/>
      <c r="D42" s="26"/>
      <c r="E42" s="27"/>
      <c r="F42" s="28"/>
      <c r="G42" s="29">
        <f t="shared" si="4"/>
        <v>6000</v>
      </c>
      <c r="H42" s="30">
        <f t="shared" si="6"/>
        <v>0</v>
      </c>
      <c r="I42" s="51"/>
      <c r="J42" s="32"/>
      <c r="K42" s="29">
        <f t="shared" si="5"/>
        <v>6000</v>
      </c>
      <c r="L42" s="30">
        <f t="shared" si="7"/>
        <v>0</v>
      </c>
      <c r="M42" s="52"/>
      <c r="N42" s="34">
        <f t="shared" si="8"/>
        <v>0</v>
      </c>
      <c r="O42" s="35" t="str">
        <f t="shared" si="9"/>
        <v/>
      </c>
    </row>
    <row r="43" spans="2:15" x14ac:dyDescent="0.25">
      <c r="B43" s="53" t="s">
        <v>29</v>
      </c>
      <c r="C43" s="25"/>
      <c r="D43" s="26"/>
      <c r="E43" s="27"/>
      <c r="F43" s="28"/>
      <c r="G43" s="29">
        <f t="shared" si="4"/>
        <v>6000</v>
      </c>
      <c r="H43" s="30">
        <f>G43*F43</f>
        <v>0</v>
      </c>
      <c r="I43" s="31"/>
      <c r="J43" s="32"/>
      <c r="K43" s="29">
        <f t="shared" si="5"/>
        <v>6000</v>
      </c>
      <c r="L43" s="30">
        <f>K43*J43</f>
        <v>0</v>
      </c>
      <c r="M43" s="31"/>
      <c r="N43" s="34">
        <f>L43-H43</f>
        <v>0</v>
      </c>
      <c r="O43" s="35" t="str">
        <f>IF((H43)=0,"",(N43/H43))</f>
        <v/>
      </c>
    </row>
    <row r="44" spans="2:15" x14ac:dyDescent="0.25">
      <c r="B44" s="53" t="s">
        <v>30</v>
      </c>
      <c r="C44" s="25"/>
      <c r="D44" s="26" t="s">
        <v>81</v>
      </c>
      <c r="E44" s="27"/>
      <c r="F44" s="186">
        <f>Rates!D83</f>
        <v>8.949E-2</v>
      </c>
      <c r="G44" s="55">
        <f>$F$17*(1+$F$61)-$F$17</f>
        <v>354240</v>
      </c>
      <c r="H44" s="30">
        <f t="shared" si="6"/>
        <v>31700.937600000001</v>
      </c>
      <c r="I44" s="31"/>
      <c r="J44" s="188">
        <f>Rates!F83</f>
        <v>8.949E-2</v>
      </c>
      <c r="K44" s="55">
        <f>$F$17*(1+$J$61)-$F$17</f>
        <v>375970</v>
      </c>
      <c r="L44" s="30">
        <f t="shared" si="7"/>
        <v>33645.5553</v>
      </c>
      <c r="M44" s="31"/>
      <c r="N44" s="34">
        <f t="shared" si="8"/>
        <v>1944.6176999999989</v>
      </c>
      <c r="O44" s="35">
        <f t="shared" si="9"/>
        <v>6.1342592592592553E-2</v>
      </c>
    </row>
    <row r="45" spans="2:15" x14ac:dyDescent="0.25">
      <c r="B45" s="53" t="s">
        <v>31</v>
      </c>
      <c r="C45" s="25"/>
      <c r="D45" s="26" t="s">
        <v>79</v>
      </c>
      <c r="E45" s="27"/>
      <c r="F45" s="54"/>
      <c r="G45" s="29">
        <v>1</v>
      </c>
      <c r="H45" s="30">
        <f>G45*F45</f>
        <v>0</v>
      </c>
      <c r="I45" s="31"/>
      <c r="J45" s="54"/>
      <c r="K45" s="29">
        <v>1</v>
      </c>
      <c r="L45" s="30">
        <f>K45*J45</f>
        <v>0</v>
      </c>
      <c r="M45" s="31"/>
      <c r="N45" s="34">
        <f>L45-H45</f>
        <v>0</v>
      </c>
      <c r="O45" s="35"/>
    </row>
    <row r="46" spans="2:15" ht="25.5" x14ac:dyDescent="0.25">
      <c r="B46" s="57" t="s">
        <v>32</v>
      </c>
      <c r="C46" s="58"/>
      <c r="D46" s="58"/>
      <c r="E46" s="58"/>
      <c r="F46" s="59"/>
      <c r="G46" s="60"/>
      <c r="H46" s="61">
        <f>SUM(H39:H45)+H38</f>
        <v>50973.257599999997</v>
      </c>
      <c r="I46" s="44"/>
      <c r="J46" s="60"/>
      <c r="K46" s="62"/>
      <c r="L46" s="61">
        <f>SUM(L39:L45)+L38</f>
        <v>58191.275300000001</v>
      </c>
      <c r="M46" s="44"/>
      <c r="N46" s="47">
        <f t="shared" ref="N46:N58" si="10">L46-H46</f>
        <v>7218.017700000004</v>
      </c>
      <c r="O46" s="48">
        <f t="shared" ref="O46:O58" si="11">IF((H46)=0,"",(N46/H46))</f>
        <v>0.14160401041349188</v>
      </c>
    </row>
    <row r="47" spans="2:15" x14ac:dyDescent="0.25">
      <c r="B47" s="31" t="s">
        <v>33</v>
      </c>
      <c r="C47" s="31"/>
      <c r="D47" s="63" t="s">
        <v>88</v>
      </c>
      <c r="E47" s="64"/>
      <c r="F47" s="32">
        <f>Rates!D27</f>
        <v>2.5861000000000001</v>
      </c>
      <c r="G47" s="65">
        <f>K17*(1+F61)</f>
        <v>6518.4000000000005</v>
      </c>
      <c r="H47" s="30">
        <f>G47*F47</f>
        <v>16857.234240000002</v>
      </c>
      <c r="I47" s="31"/>
      <c r="J47" s="32">
        <f>Rates!F27</f>
        <v>2.7770000000000001</v>
      </c>
      <c r="K47" s="66">
        <f>K17*(1+J61)</f>
        <v>6550.1999999999989</v>
      </c>
      <c r="L47" s="30">
        <f>K47*J47</f>
        <v>18189.9054</v>
      </c>
      <c r="M47" s="31"/>
      <c r="N47" s="34">
        <f t="shared" si="10"/>
        <v>1332.6711599999981</v>
      </c>
      <c r="O47" s="35">
        <f t="shared" si="11"/>
        <v>7.9056335163080582E-2</v>
      </c>
    </row>
    <row r="48" spans="2:15" ht="30" x14ac:dyDescent="0.25">
      <c r="B48" s="67" t="s">
        <v>34</v>
      </c>
      <c r="C48" s="31"/>
      <c r="D48" s="63" t="s">
        <v>88</v>
      </c>
      <c r="E48" s="64"/>
      <c r="F48" s="32">
        <f>Rates!D28</f>
        <v>1.7988</v>
      </c>
      <c r="G48" s="65">
        <f>G47</f>
        <v>6518.4000000000005</v>
      </c>
      <c r="H48" s="30">
        <f>G48*F48</f>
        <v>11725.297920000001</v>
      </c>
      <c r="I48" s="31"/>
      <c r="J48" s="32">
        <f>Rates!F28</f>
        <v>1.9539</v>
      </c>
      <c r="K48" s="66">
        <f>K47</f>
        <v>6550.1999999999989</v>
      </c>
      <c r="L48" s="30">
        <f>K48*J48</f>
        <v>12798.435779999998</v>
      </c>
      <c r="M48" s="31"/>
      <c r="N48" s="34">
        <f t="shared" si="10"/>
        <v>1073.1378599999971</v>
      </c>
      <c r="O48" s="35">
        <f t="shared" si="11"/>
        <v>9.1523291546352192E-2</v>
      </c>
    </row>
    <row r="49" spans="1:19" ht="25.5" x14ac:dyDescent="0.25">
      <c r="B49" s="57" t="s">
        <v>35</v>
      </c>
      <c r="C49" s="39"/>
      <c r="D49" s="39"/>
      <c r="E49" s="39"/>
      <c r="F49" s="68"/>
      <c r="G49" s="60"/>
      <c r="H49" s="61">
        <f>SUM(H46:H48)</f>
        <v>79555.78976</v>
      </c>
      <c r="I49" s="69"/>
      <c r="J49" s="70"/>
      <c r="K49" s="71"/>
      <c r="L49" s="61">
        <f>SUM(L46:L48)</f>
        <v>89179.616479999997</v>
      </c>
      <c r="M49" s="69"/>
      <c r="N49" s="47">
        <f t="shared" si="10"/>
        <v>9623.8267199999973</v>
      </c>
      <c r="O49" s="48">
        <f t="shared" si="11"/>
        <v>0.12096953281505576</v>
      </c>
    </row>
    <row r="50" spans="1:19" ht="30" x14ac:dyDescent="0.25">
      <c r="B50" s="72" t="s">
        <v>36</v>
      </c>
      <c r="C50" s="25"/>
      <c r="D50" s="63" t="s">
        <v>81</v>
      </c>
      <c r="E50" s="27"/>
      <c r="F50" s="75">
        <f>Rates!D31</f>
        <v>4.4000000000000003E-3</v>
      </c>
      <c r="G50" s="65">
        <f>F17*(1+F61)</f>
        <v>4454240</v>
      </c>
      <c r="H50" s="74">
        <f t="shared" ref="H50:H54" si="12">G50*F50</f>
        <v>19598.656000000003</v>
      </c>
      <c r="I50" s="31"/>
      <c r="J50" s="75">
        <f>Rates!F31</f>
        <v>4.4000000000000003E-3</v>
      </c>
      <c r="K50" s="66">
        <f>F17*(1+J61)</f>
        <v>4475970</v>
      </c>
      <c r="L50" s="74">
        <f t="shared" ref="L50:L54" si="13">K50*J50</f>
        <v>19694.268</v>
      </c>
      <c r="M50" s="31"/>
      <c r="N50" s="34">
        <f t="shared" si="10"/>
        <v>95.611999999997352</v>
      </c>
      <c r="O50" s="76">
        <f t="shared" si="11"/>
        <v>4.8784977908687887E-3</v>
      </c>
    </row>
    <row r="51" spans="1:19" ht="30" x14ac:dyDescent="0.25">
      <c r="B51" s="72" t="s">
        <v>37</v>
      </c>
      <c r="C51" s="25"/>
      <c r="D51" s="63" t="s">
        <v>81</v>
      </c>
      <c r="E51" s="27"/>
      <c r="F51" s="75">
        <f>Rates!D32</f>
        <v>1.2999999999999999E-3</v>
      </c>
      <c r="G51" s="65">
        <f>G50</f>
        <v>4454240</v>
      </c>
      <c r="H51" s="74">
        <f t="shared" si="12"/>
        <v>5790.5119999999997</v>
      </c>
      <c r="I51" s="31"/>
      <c r="J51" s="75">
        <f>Rates!F32</f>
        <v>1.2999999999999999E-3</v>
      </c>
      <c r="K51" s="66">
        <f>K50</f>
        <v>4475970</v>
      </c>
      <c r="L51" s="74">
        <f t="shared" si="13"/>
        <v>5818.7609999999995</v>
      </c>
      <c r="M51" s="31"/>
      <c r="N51" s="34">
        <f t="shared" si="10"/>
        <v>28.248999999999796</v>
      </c>
      <c r="O51" s="76">
        <f t="shared" si="11"/>
        <v>4.8784977908688902E-3</v>
      </c>
    </row>
    <row r="52" spans="1:19" x14ac:dyDescent="0.25">
      <c r="B52" s="25" t="s">
        <v>38</v>
      </c>
      <c r="C52" s="25"/>
      <c r="D52" s="26" t="s">
        <v>79</v>
      </c>
      <c r="E52" s="27"/>
      <c r="F52" s="73">
        <f>Rates!D33</f>
        <v>0.25</v>
      </c>
      <c r="G52" s="29">
        <v>1</v>
      </c>
      <c r="H52" s="74">
        <f t="shared" si="12"/>
        <v>0.25</v>
      </c>
      <c r="I52" s="31"/>
      <c r="J52" s="75">
        <f>Rates!F33</f>
        <v>0.25</v>
      </c>
      <c r="K52" s="33">
        <v>1</v>
      </c>
      <c r="L52" s="74">
        <f t="shared" si="13"/>
        <v>0.25</v>
      </c>
      <c r="M52" s="31"/>
      <c r="N52" s="34">
        <f t="shared" si="10"/>
        <v>0</v>
      </c>
      <c r="O52" s="76">
        <f t="shared" si="11"/>
        <v>0</v>
      </c>
    </row>
    <row r="53" spans="1:19" x14ac:dyDescent="0.25">
      <c r="B53" s="25" t="s">
        <v>39</v>
      </c>
      <c r="C53" s="25"/>
      <c r="D53" s="26" t="s">
        <v>81</v>
      </c>
      <c r="E53" s="27"/>
      <c r="F53" s="73">
        <f>Rates!D71</f>
        <v>2E-3</v>
      </c>
      <c r="G53" s="77">
        <f>F17</f>
        <v>4100000</v>
      </c>
      <c r="H53" s="74">
        <f t="shared" si="12"/>
        <v>8200</v>
      </c>
      <c r="I53" s="31"/>
      <c r="J53" s="75">
        <f>Rates!F71</f>
        <v>2E-3</v>
      </c>
      <c r="K53" s="78">
        <f>F17</f>
        <v>4100000</v>
      </c>
      <c r="L53" s="74">
        <f t="shared" si="13"/>
        <v>8200</v>
      </c>
      <c r="M53" s="31"/>
      <c r="N53" s="34">
        <f t="shared" si="10"/>
        <v>0</v>
      </c>
      <c r="O53" s="76">
        <f t="shared" si="11"/>
        <v>0</v>
      </c>
    </row>
    <row r="54" spans="1:19" ht="15.75" thickBot="1" x14ac:dyDescent="0.3">
      <c r="B54" s="53" t="s">
        <v>91</v>
      </c>
      <c r="C54" s="25"/>
      <c r="D54" s="26" t="s">
        <v>81</v>
      </c>
      <c r="E54" s="27"/>
      <c r="F54" s="187">
        <f>Rates!D83</f>
        <v>8.949E-2</v>
      </c>
      <c r="G54" s="80">
        <f>$F$17</f>
        <v>4100000</v>
      </c>
      <c r="H54" s="74">
        <f t="shared" si="12"/>
        <v>366909</v>
      </c>
      <c r="I54" s="31"/>
      <c r="J54" s="189">
        <f>Rates!F83</f>
        <v>8.949E-2</v>
      </c>
      <c r="K54" s="80">
        <f>F17</f>
        <v>4100000</v>
      </c>
      <c r="L54" s="74">
        <f t="shared" si="13"/>
        <v>366909</v>
      </c>
      <c r="M54" s="31"/>
      <c r="N54" s="34">
        <f t="shared" si="10"/>
        <v>0</v>
      </c>
      <c r="O54" s="76">
        <f t="shared" si="11"/>
        <v>0</v>
      </c>
      <c r="S54" s="81"/>
    </row>
    <row r="55" spans="1:19" ht="15.75" thickBot="1" x14ac:dyDescent="0.3">
      <c r="B55" s="90"/>
      <c r="C55" s="91"/>
      <c r="D55" s="92"/>
      <c r="E55" s="91"/>
      <c r="F55" s="93"/>
      <c r="G55" s="94"/>
      <c r="H55" s="95"/>
      <c r="I55" s="96"/>
      <c r="J55" s="93"/>
      <c r="K55" s="97"/>
      <c r="L55" s="95"/>
      <c r="M55" s="96"/>
      <c r="N55" s="98"/>
      <c r="O55" s="99"/>
    </row>
    <row r="56" spans="1:19" x14ac:dyDescent="0.25">
      <c r="B56" s="100" t="s">
        <v>106</v>
      </c>
      <c r="C56" s="25"/>
      <c r="D56" s="25"/>
      <c r="E56" s="25"/>
      <c r="F56" s="101"/>
      <c r="G56" s="102"/>
      <c r="H56" s="103">
        <f>SUM(H50:H54,H49)</f>
        <v>480054.20776000002</v>
      </c>
      <c r="I56" s="104"/>
      <c r="J56" s="105"/>
      <c r="K56" s="105"/>
      <c r="L56" s="181">
        <f>SUM(L50:L54,L49)</f>
        <v>489801.89547999995</v>
      </c>
      <c r="M56" s="106"/>
      <c r="N56" s="107">
        <f t="shared" ref="N56" si="14">L56-H56</f>
        <v>9747.687719999929</v>
      </c>
      <c r="O56" s="108">
        <f t="shared" ref="O56" si="15">IF((H56)=0,"",(N56/H56))</f>
        <v>2.030538960481984E-2</v>
      </c>
      <c r="S56" s="81"/>
    </row>
    <row r="57" spans="1:19" x14ac:dyDescent="0.25">
      <c r="B57" s="109" t="s">
        <v>46</v>
      </c>
      <c r="C57" s="25"/>
      <c r="D57" s="25"/>
      <c r="E57" s="25"/>
      <c r="F57" s="110">
        <v>0.13</v>
      </c>
      <c r="G57" s="111"/>
      <c r="H57" s="112">
        <f>H56*F57</f>
        <v>62407.047008800007</v>
      </c>
      <c r="I57" s="113"/>
      <c r="J57" s="114">
        <v>0.13</v>
      </c>
      <c r="K57" s="113"/>
      <c r="L57" s="115">
        <f>L56*J57</f>
        <v>63674.246412399996</v>
      </c>
      <c r="M57" s="116"/>
      <c r="N57" s="117">
        <f t="shared" si="10"/>
        <v>1267.1994035999887</v>
      </c>
      <c r="O57" s="118">
        <f t="shared" si="11"/>
        <v>2.0305389604819809E-2</v>
      </c>
      <c r="S57" s="81"/>
    </row>
    <row r="58" spans="1:19" ht="15.75" thickBot="1" x14ac:dyDescent="0.3">
      <c r="B58" s="119" t="s">
        <v>52</v>
      </c>
      <c r="C58" s="25"/>
      <c r="D58" s="25"/>
      <c r="E58" s="25"/>
      <c r="F58" s="120"/>
      <c r="G58" s="111"/>
      <c r="H58" s="112">
        <f>H56+H57</f>
        <v>542461.25476879999</v>
      </c>
      <c r="I58" s="113"/>
      <c r="J58" s="113"/>
      <c r="K58" s="113"/>
      <c r="L58" s="115">
        <f>L56+L57</f>
        <v>553476.14189239999</v>
      </c>
      <c r="M58" s="116"/>
      <c r="N58" s="117">
        <f t="shared" si="10"/>
        <v>11014.887123599998</v>
      </c>
      <c r="O58" s="118">
        <f t="shared" si="11"/>
        <v>2.0305389604819986E-2</v>
      </c>
      <c r="S58" s="81"/>
    </row>
    <row r="59" spans="1:19" s="89" customFormat="1" ht="15.75" thickBot="1" x14ac:dyDescent="0.25">
      <c r="B59" s="134"/>
      <c r="C59" s="135"/>
      <c r="D59" s="136"/>
      <c r="E59" s="135"/>
      <c r="F59" s="93"/>
      <c r="G59" s="137"/>
      <c r="H59" s="95"/>
      <c r="I59" s="138"/>
      <c r="J59" s="93"/>
      <c r="K59" s="139"/>
      <c r="L59" s="95"/>
      <c r="M59" s="138"/>
      <c r="N59" s="140"/>
      <c r="O59" s="99"/>
    </row>
    <row r="60" spans="1:19" x14ac:dyDescent="0.25">
      <c r="L60" s="81"/>
    </row>
    <row r="61" spans="1:19" x14ac:dyDescent="0.25">
      <c r="B61" s="16" t="s">
        <v>50</v>
      </c>
      <c r="F61" s="179">
        <f>Rates!D76</f>
        <v>8.6400000000000005E-2</v>
      </c>
      <c r="J61" s="179">
        <f>Rates!F76</f>
        <v>9.1700000000000004E-2</v>
      </c>
    </row>
    <row r="63" spans="1:19" x14ac:dyDescent="0.25">
      <c r="A63" s="180"/>
      <c r="B63" s="10" t="s">
        <v>51</v>
      </c>
    </row>
  </sheetData>
  <mergeCells count="11">
    <mergeCell ref="D20:D21"/>
    <mergeCell ref="N20:N21"/>
    <mergeCell ref="O20:O21"/>
    <mergeCell ref="A3:K3"/>
    <mergeCell ref="B10:O10"/>
    <mergeCell ref="B11:O11"/>
    <mergeCell ref="D14:O14"/>
    <mergeCell ref="I17:J17"/>
    <mergeCell ref="F19:H19"/>
    <mergeCell ref="J19:L19"/>
    <mergeCell ref="N19:O19"/>
  </mergeCells>
  <dataValidations count="2">
    <dataValidation type="list" allowBlank="1" showInputMessage="1" showErrorMessage="1" prompt="Select Charge Unit - monthly, per kWh, per kW" sqref="D47:D48 D39:D45 D59 D22:D37 D50:D55">
      <formula1>"Monthly, per kWh, per kW"</formula1>
    </dataValidation>
    <dataValidation type="list" allowBlank="1" showInputMessage="1" showErrorMessage="1" sqref="E47:E48 E39:E45 E22:E37 E59 E50:E55">
      <formula1>#REF!</formula1>
    </dataValidation>
  </dataValidations>
  <pageMargins left="0.7" right="0.7" top="0.75" bottom="0.75" header="0.3" footer="0.3"/>
  <pageSetup scale="61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T63"/>
  <sheetViews>
    <sheetView showGridLines="0" topLeftCell="A37" zoomScaleNormal="100" workbookViewId="0">
      <selection activeCell="W32" sqref="W32"/>
    </sheetView>
  </sheetViews>
  <sheetFormatPr defaultRowHeight="15" x14ac:dyDescent="0.25"/>
  <cols>
    <col min="1" max="1" width="2.140625" style="10" customWidth="1"/>
    <col min="2" max="2" width="37.5703125" style="10" customWidth="1"/>
    <col min="3" max="3" width="1.28515625" style="10" customWidth="1"/>
    <col min="4" max="4" width="11.28515625" style="10" customWidth="1"/>
    <col min="5" max="5" width="1.28515625" style="10" customWidth="1"/>
    <col min="6" max="6" width="12.28515625" style="10" customWidth="1"/>
    <col min="7" max="7" width="8.5703125" style="10" customWidth="1"/>
    <col min="8" max="8" width="11.28515625" style="10" bestFit="1" customWidth="1"/>
    <col min="9" max="9" width="2.85546875" style="10" customWidth="1"/>
    <col min="10" max="10" width="12.140625" style="10" customWidth="1"/>
    <col min="11" max="11" width="8.5703125" style="10" customWidth="1"/>
    <col min="12" max="12" width="11.28515625" style="10" bestFit="1" customWidth="1"/>
    <col min="13" max="13" width="2.85546875" style="10" customWidth="1"/>
    <col min="14" max="14" width="12.7109375" style="10" bestFit="1" customWidth="1"/>
    <col min="15" max="15" width="10.85546875" style="10" bestFit="1" customWidth="1"/>
    <col min="16" max="16" width="3.85546875" style="10" customWidth="1"/>
    <col min="17" max="19" width="9.140625" style="10"/>
    <col min="20" max="20" width="9.140625" style="10" customWidth="1"/>
    <col min="21" max="16384" width="9.140625" style="10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O1" s="4">
        <f>EBNUMBER</f>
        <v>0</v>
      </c>
      <c r="P1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 t="s">
        <v>1</v>
      </c>
      <c r="O2" s="6"/>
      <c r="P2"/>
    </row>
    <row r="3" spans="1:20" s="2" customFormat="1" ht="15" customHeight="1" x14ac:dyDescent="0.25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N3" s="3" t="s">
        <v>2</v>
      </c>
      <c r="O3" s="6"/>
      <c r="P3"/>
    </row>
    <row r="4" spans="1:20" s="2" customFormat="1" ht="15" customHeight="1" x14ac:dyDescent="0.25">
      <c r="A4" s="5"/>
      <c r="B4" s="5"/>
      <c r="C4" s="5"/>
      <c r="D4" s="5"/>
      <c r="E4" s="5"/>
      <c r="F4" s="5"/>
      <c r="G4" s="5"/>
      <c r="H4" s="5"/>
      <c r="I4" s="7"/>
      <c r="J4" s="7"/>
      <c r="K4" s="7"/>
      <c r="N4" s="3" t="s">
        <v>3</v>
      </c>
      <c r="O4" s="6"/>
      <c r="P4"/>
    </row>
    <row r="5" spans="1:20" s="2" customFormat="1" ht="15" customHeight="1" x14ac:dyDescent="0.25">
      <c r="C5" s="8"/>
      <c r="D5" s="8"/>
      <c r="E5" s="8"/>
      <c r="N5" s="3" t="s">
        <v>4</v>
      </c>
      <c r="O5" s="9"/>
      <c r="P5"/>
    </row>
    <row r="6" spans="1:20" s="2" customFormat="1" ht="9" customHeight="1" x14ac:dyDescent="0.25">
      <c r="N6" s="3"/>
      <c r="O6" s="4"/>
      <c r="P6"/>
    </row>
    <row r="7" spans="1:20" s="2" customFormat="1" x14ac:dyDescent="0.25">
      <c r="N7" s="3" t="s">
        <v>5</v>
      </c>
      <c r="O7" s="9"/>
      <c r="P7"/>
    </row>
    <row r="8" spans="1:20" s="2" customFormat="1" ht="15" customHeight="1" x14ac:dyDescent="0.25">
      <c r="N8" s="10"/>
      <c r="O8"/>
      <c r="P8"/>
    </row>
    <row r="9" spans="1:20" ht="7.5" customHeight="1" x14ac:dyDescent="0.25">
      <c r="L9"/>
      <c r="M9"/>
      <c r="N9"/>
      <c r="O9"/>
      <c r="P9"/>
    </row>
    <row r="10" spans="1:20" ht="18.75" customHeight="1" x14ac:dyDescent="0.25">
      <c r="B10" s="214" t="s">
        <v>6</v>
      </c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/>
    </row>
    <row r="11" spans="1:20" ht="18.75" customHeight="1" x14ac:dyDescent="0.25">
      <c r="B11" s="214" t="s">
        <v>7</v>
      </c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/>
    </row>
    <row r="12" spans="1:20" ht="7.5" customHeight="1" x14ac:dyDescent="0.25">
      <c r="L12"/>
      <c r="M12"/>
      <c r="N12"/>
      <c r="O12"/>
      <c r="P12"/>
    </row>
    <row r="13" spans="1:20" ht="7.5" customHeight="1" x14ac:dyDescent="0.25">
      <c r="L13"/>
      <c r="M13"/>
      <c r="N13"/>
      <c r="O13"/>
      <c r="P13"/>
    </row>
    <row r="14" spans="1:20" ht="15.75" x14ac:dyDescent="0.25">
      <c r="B14" s="11" t="s">
        <v>8</v>
      </c>
      <c r="D14" s="215" t="s">
        <v>112</v>
      </c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</row>
    <row r="15" spans="1:20" ht="7.5" customHeight="1" x14ac:dyDescent="0.25">
      <c r="B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20" ht="15.75" x14ac:dyDescent="0.25">
      <c r="B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2:15" x14ac:dyDescent="0.25">
      <c r="B17" s="15"/>
      <c r="D17" s="16" t="s">
        <v>11</v>
      </c>
      <c r="E17" s="16"/>
      <c r="F17" s="17">
        <v>90000</v>
      </c>
      <c r="G17" s="16" t="s">
        <v>12</v>
      </c>
      <c r="I17" s="229" t="s">
        <v>86</v>
      </c>
      <c r="J17" s="229"/>
      <c r="K17" s="17">
        <v>225</v>
      </c>
      <c r="L17" s="184" t="s">
        <v>87</v>
      </c>
    </row>
    <row r="18" spans="2:15" x14ac:dyDescent="0.25">
      <c r="B18" s="15"/>
    </row>
    <row r="19" spans="2:15" x14ac:dyDescent="0.25">
      <c r="B19" s="15"/>
      <c r="D19" s="18"/>
      <c r="E19" s="18"/>
      <c r="F19" s="216" t="s">
        <v>13</v>
      </c>
      <c r="G19" s="217"/>
      <c r="H19" s="218"/>
      <c r="J19" s="216" t="s">
        <v>14</v>
      </c>
      <c r="K19" s="217"/>
      <c r="L19" s="218"/>
      <c r="N19" s="216" t="s">
        <v>15</v>
      </c>
      <c r="O19" s="218"/>
    </row>
    <row r="20" spans="2:15" x14ac:dyDescent="0.25">
      <c r="B20" s="15"/>
      <c r="D20" s="220" t="s">
        <v>16</v>
      </c>
      <c r="E20" s="19"/>
      <c r="F20" s="20" t="s">
        <v>17</v>
      </c>
      <c r="G20" s="20" t="s">
        <v>18</v>
      </c>
      <c r="H20" s="21" t="s">
        <v>19</v>
      </c>
      <c r="J20" s="20" t="s">
        <v>17</v>
      </c>
      <c r="K20" s="22" t="s">
        <v>18</v>
      </c>
      <c r="L20" s="21" t="s">
        <v>19</v>
      </c>
      <c r="N20" s="222" t="s">
        <v>20</v>
      </c>
      <c r="O20" s="224" t="s">
        <v>21</v>
      </c>
    </row>
    <row r="21" spans="2:15" x14ac:dyDescent="0.25">
      <c r="B21" s="15"/>
      <c r="D21" s="221"/>
      <c r="E21" s="19"/>
      <c r="F21" s="23" t="s">
        <v>22</v>
      </c>
      <c r="G21" s="23"/>
      <c r="H21" s="24" t="s">
        <v>22</v>
      </c>
      <c r="J21" s="23" t="s">
        <v>22</v>
      </c>
      <c r="K21" s="24"/>
      <c r="L21" s="24" t="s">
        <v>22</v>
      </c>
      <c r="N21" s="223"/>
      <c r="O21" s="225"/>
    </row>
    <row r="22" spans="2:15" x14ac:dyDescent="0.25">
      <c r="B22" s="25" t="s">
        <v>23</v>
      </c>
      <c r="C22" s="25"/>
      <c r="D22" s="26" t="s">
        <v>79</v>
      </c>
      <c r="E22" s="27"/>
      <c r="F22" s="28">
        <f>Rates!D19</f>
        <v>596.12</v>
      </c>
      <c r="G22" s="29">
        <v>1</v>
      </c>
      <c r="H22" s="30">
        <f>G22*F22</f>
        <v>596.12</v>
      </c>
      <c r="I22" s="31"/>
      <c r="J22" s="32">
        <f>Rates!F19</f>
        <v>596.12</v>
      </c>
      <c r="K22" s="33">
        <v>1</v>
      </c>
      <c r="L22" s="30">
        <f>K22*J22</f>
        <v>596.12</v>
      </c>
      <c r="M22" s="31"/>
      <c r="N22" s="34">
        <f>L22-H22</f>
        <v>0</v>
      </c>
      <c r="O22" s="35">
        <f>IF((H22)=0,"",(N22/H22))</f>
        <v>0</v>
      </c>
    </row>
    <row r="23" spans="2:15" x14ac:dyDescent="0.25">
      <c r="B23" s="25" t="s">
        <v>24</v>
      </c>
      <c r="C23" s="25"/>
      <c r="D23" s="26"/>
      <c r="E23" s="27"/>
      <c r="F23" s="28"/>
      <c r="G23" s="29">
        <v>1</v>
      </c>
      <c r="H23" s="30">
        <f t="shared" ref="H23:H37" si="0">G23*F23</f>
        <v>0</v>
      </c>
      <c r="I23" s="31"/>
      <c r="J23" s="32"/>
      <c r="K23" s="33">
        <v>1</v>
      </c>
      <c r="L23" s="30">
        <f>K23*J23</f>
        <v>0</v>
      </c>
      <c r="M23" s="31"/>
      <c r="N23" s="34">
        <f>L23-H23</f>
        <v>0</v>
      </c>
      <c r="O23" s="35" t="str">
        <f>IF((H23)=0,"",(N23/H23))</f>
        <v/>
      </c>
    </row>
    <row r="24" spans="2:15" x14ac:dyDescent="0.25">
      <c r="B24" s="36"/>
      <c r="C24" s="25"/>
      <c r="D24" s="26"/>
      <c r="E24" s="27"/>
      <c r="F24" s="28"/>
      <c r="G24" s="29">
        <v>1</v>
      </c>
      <c r="H24" s="30">
        <f t="shared" si="0"/>
        <v>0</v>
      </c>
      <c r="I24" s="31"/>
      <c r="J24" s="32"/>
      <c r="K24" s="33">
        <v>1</v>
      </c>
      <c r="L24" s="30">
        <f t="shared" ref="L24:L37" si="1">K24*J24</f>
        <v>0</v>
      </c>
      <c r="M24" s="31"/>
      <c r="N24" s="34">
        <f t="shared" ref="N24:N38" si="2">L24-H24</f>
        <v>0</v>
      </c>
      <c r="O24" s="35" t="str">
        <f t="shared" ref="O24:O38" si="3">IF((H24)=0,"",(N24/H24))</f>
        <v/>
      </c>
    </row>
    <row r="25" spans="2:15" x14ac:dyDescent="0.25">
      <c r="B25" s="36"/>
      <c r="C25" s="25"/>
      <c r="D25" s="26"/>
      <c r="E25" s="27"/>
      <c r="F25" s="28"/>
      <c r="G25" s="29">
        <v>1</v>
      </c>
      <c r="H25" s="30">
        <f t="shared" si="0"/>
        <v>0</v>
      </c>
      <c r="I25" s="31"/>
      <c r="J25" s="32"/>
      <c r="K25" s="33">
        <v>1</v>
      </c>
      <c r="L25" s="30">
        <f t="shared" si="1"/>
        <v>0</v>
      </c>
      <c r="M25" s="31"/>
      <c r="N25" s="34">
        <f t="shared" si="2"/>
        <v>0</v>
      </c>
      <c r="O25" s="35" t="str">
        <f t="shared" si="3"/>
        <v/>
      </c>
    </row>
    <row r="26" spans="2:15" x14ac:dyDescent="0.25">
      <c r="B26" s="36"/>
      <c r="C26" s="25"/>
      <c r="D26" s="26"/>
      <c r="E26" s="27"/>
      <c r="F26" s="28"/>
      <c r="G26" s="29">
        <v>1</v>
      </c>
      <c r="H26" s="30">
        <f t="shared" si="0"/>
        <v>0</v>
      </c>
      <c r="I26" s="31"/>
      <c r="J26" s="32"/>
      <c r="K26" s="33">
        <v>1</v>
      </c>
      <c r="L26" s="30">
        <f t="shared" si="1"/>
        <v>0</v>
      </c>
      <c r="M26" s="31"/>
      <c r="N26" s="34">
        <f t="shared" si="2"/>
        <v>0</v>
      </c>
      <c r="O26" s="35" t="str">
        <f t="shared" si="3"/>
        <v/>
      </c>
    </row>
    <row r="27" spans="2:15" x14ac:dyDescent="0.25">
      <c r="B27" s="36"/>
      <c r="C27" s="25"/>
      <c r="D27" s="26"/>
      <c r="E27" s="27"/>
      <c r="F27" s="28"/>
      <c r="G27" s="29">
        <v>1</v>
      </c>
      <c r="H27" s="30">
        <f t="shared" si="0"/>
        <v>0</v>
      </c>
      <c r="I27" s="31"/>
      <c r="J27" s="32"/>
      <c r="K27" s="33">
        <v>1</v>
      </c>
      <c r="L27" s="30">
        <f t="shared" si="1"/>
        <v>0</v>
      </c>
      <c r="M27" s="31"/>
      <c r="N27" s="34">
        <f t="shared" si="2"/>
        <v>0</v>
      </c>
      <c r="O27" s="35" t="str">
        <f t="shared" si="3"/>
        <v/>
      </c>
    </row>
    <row r="28" spans="2:15" x14ac:dyDescent="0.25">
      <c r="B28" s="25" t="s">
        <v>25</v>
      </c>
      <c r="C28" s="25"/>
      <c r="D28" s="26" t="s">
        <v>88</v>
      </c>
      <c r="E28" s="27"/>
      <c r="F28" s="28">
        <f>Rates!D20</f>
        <v>3.0886999999999998</v>
      </c>
      <c r="G28" s="185">
        <f>$K$17</f>
        <v>225</v>
      </c>
      <c r="H28" s="30">
        <f t="shared" si="0"/>
        <v>694.95749999999998</v>
      </c>
      <c r="I28" s="31"/>
      <c r="J28" s="32">
        <f>Rates!F20</f>
        <v>3.2725</v>
      </c>
      <c r="K28" s="185">
        <f>$K$17</f>
        <v>225</v>
      </c>
      <c r="L28" s="30">
        <f t="shared" si="1"/>
        <v>736.3125</v>
      </c>
      <c r="M28" s="31"/>
      <c r="N28" s="34">
        <f t="shared" si="2"/>
        <v>41.355000000000018</v>
      </c>
      <c r="O28" s="35">
        <f t="shared" si="3"/>
        <v>5.9507236054003328E-2</v>
      </c>
    </row>
    <row r="29" spans="2:15" x14ac:dyDescent="0.25">
      <c r="B29" s="25" t="s">
        <v>26</v>
      </c>
      <c r="C29" s="25"/>
      <c r="D29" s="26"/>
      <c r="E29" s="27"/>
      <c r="F29" s="28"/>
      <c r="G29" s="29">
        <f t="shared" ref="G29:G43" si="4">$K$17</f>
        <v>225</v>
      </c>
      <c r="H29" s="30">
        <f t="shared" si="0"/>
        <v>0</v>
      </c>
      <c r="I29" s="31"/>
      <c r="J29" s="32"/>
      <c r="K29" s="29">
        <f t="shared" ref="K29:K43" si="5">$K$17</f>
        <v>225</v>
      </c>
      <c r="L29" s="30">
        <f t="shared" si="1"/>
        <v>0</v>
      </c>
      <c r="M29" s="31"/>
      <c r="N29" s="34">
        <f t="shared" si="2"/>
        <v>0</v>
      </c>
      <c r="O29" s="35" t="str">
        <f t="shared" si="3"/>
        <v/>
      </c>
    </row>
    <row r="30" spans="2:15" ht="45" x14ac:dyDescent="0.25">
      <c r="B30" s="72" t="str">
        <f>Rates!A25</f>
        <v>Rate Rider for the Recovery of Lost Revenue Adjustment (LRAM) - effective until December 31, 2015</v>
      </c>
      <c r="C30" s="25"/>
      <c r="D30" s="63" t="s">
        <v>88</v>
      </c>
      <c r="E30" s="27"/>
      <c r="F30" s="32">
        <f>Rates!D25</f>
        <v>0</v>
      </c>
      <c r="G30" s="29">
        <f t="shared" si="4"/>
        <v>225</v>
      </c>
      <c r="H30" s="30">
        <f t="shared" si="0"/>
        <v>0</v>
      </c>
      <c r="I30" s="31"/>
      <c r="J30" s="32">
        <f>Rates!F25</f>
        <v>2.8999999999999998E-3</v>
      </c>
      <c r="K30" s="29">
        <f t="shared" si="5"/>
        <v>225</v>
      </c>
      <c r="L30" s="30">
        <f t="shared" si="1"/>
        <v>0.65249999999999997</v>
      </c>
      <c r="M30" s="31"/>
      <c r="N30" s="34">
        <f t="shared" si="2"/>
        <v>0.65249999999999997</v>
      </c>
      <c r="O30" s="35" t="str">
        <f t="shared" si="3"/>
        <v/>
      </c>
    </row>
    <row r="31" spans="2:15" ht="30" x14ac:dyDescent="0.25">
      <c r="B31" s="183" t="str">
        <f>Rates!A5</f>
        <v>Foregone Revenue Recovery - effective until December 31, 2014 (2014)</v>
      </c>
      <c r="C31" s="25"/>
      <c r="D31" s="63" t="s">
        <v>88</v>
      </c>
      <c r="E31" s="27"/>
      <c r="F31" s="32">
        <f>Rates!D21</f>
        <v>3.8800000000000001E-2</v>
      </c>
      <c r="G31" s="29">
        <f t="shared" si="4"/>
        <v>225</v>
      </c>
      <c r="H31" s="30">
        <f t="shared" si="0"/>
        <v>8.73</v>
      </c>
      <c r="I31" s="31"/>
      <c r="J31" s="32">
        <f>Rates!F21</f>
        <v>0</v>
      </c>
      <c r="K31" s="29">
        <f t="shared" si="5"/>
        <v>225</v>
      </c>
      <c r="L31" s="30">
        <f t="shared" si="1"/>
        <v>0</v>
      </c>
      <c r="M31" s="31"/>
      <c r="N31" s="34">
        <f t="shared" si="2"/>
        <v>-8.73</v>
      </c>
      <c r="O31" s="35">
        <f t="shared" si="3"/>
        <v>-1</v>
      </c>
    </row>
    <row r="32" spans="2:15" ht="30" x14ac:dyDescent="0.25">
      <c r="B32" s="183" t="str">
        <f>Rates!A6</f>
        <v>Tax Changes - effective until December 31, 2014</v>
      </c>
      <c r="C32" s="25"/>
      <c r="D32" s="63" t="s">
        <v>88</v>
      </c>
      <c r="E32" s="27"/>
      <c r="F32" s="32">
        <f>Rates!D22</f>
        <v>-1.4800000000000001E-2</v>
      </c>
      <c r="G32" s="29">
        <f t="shared" si="4"/>
        <v>225</v>
      </c>
      <c r="H32" s="30">
        <f t="shared" si="0"/>
        <v>-3.33</v>
      </c>
      <c r="I32" s="31"/>
      <c r="J32" s="32">
        <f>Rates!F22</f>
        <v>0</v>
      </c>
      <c r="K32" s="29">
        <f t="shared" si="5"/>
        <v>225</v>
      </c>
      <c r="L32" s="30">
        <f t="shared" si="1"/>
        <v>0</v>
      </c>
      <c r="M32" s="31"/>
      <c r="N32" s="34">
        <f t="shared" si="2"/>
        <v>3.33</v>
      </c>
      <c r="O32" s="35">
        <f t="shared" si="3"/>
        <v>-1</v>
      </c>
    </row>
    <row r="33" spans="2:15" ht="45" x14ac:dyDescent="0.25">
      <c r="B33" s="183" t="str">
        <f>Rates!A26</f>
        <v>Rate Rider for the Disposition of Account 1575 &amp; 1576 - effective until December 31, 2019</v>
      </c>
      <c r="C33" s="25"/>
      <c r="D33" s="63" t="s">
        <v>88</v>
      </c>
      <c r="E33" s="27"/>
      <c r="F33" s="32">
        <f>Rates!D26</f>
        <v>0</v>
      </c>
      <c r="G33" s="29">
        <f t="shared" si="4"/>
        <v>225</v>
      </c>
      <c r="H33" s="30">
        <f t="shared" si="0"/>
        <v>0</v>
      </c>
      <c r="I33" s="31"/>
      <c r="J33" s="32">
        <f>Rates!F26</f>
        <v>-0.78769999999999996</v>
      </c>
      <c r="K33" s="29">
        <f t="shared" si="5"/>
        <v>225</v>
      </c>
      <c r="L33" s="30">
        <f t="shared" si="1"/>
        <v>-177.23249999999999</v>
      </c>
      <c r="M33" s="31"/>
      <c r="N33" s="34">
        <f t="shared" si="2"/>
        <v>-177.23249999999999</v>
      </c>
      <c r="O33" s="35" t="str">
        <f t="shared" si="3"/>
        <v/>
      </c>
    </row>
    <row r="34" spans="2:15" x14ac:dyDescent="0.25">
      <c r="B34" s="37"/>
      <c r="C34" s="25"/>
      <c r="D34" s="26"/>
      <c r="E34" s="27"/>
      <c r="F34" s="28"/>
      <c r="G34" s="29">
        <f t="shared" si="4"/>
        <v>225</v>
      </c>
      <c r="H34" s="30">
        <f t="shared" si="0"/>
        <v>0</v>
      </c>
      <c r="I34" s="31"/>
      <c r="J34" s="32"/>
      <c r="K34" s="29">
        <f t="shared" si="5"/>
        <v>225</v>
      </c>
      <c r="L34" s="30">
        <f t="shared" si="1"/>
        <v>0</v>
      </c>
      <c r="M34" s="31"/>
      <c r="N34" s="34">
        <f t="shared" si="2"/>
        <v>0</v>
      </c>
      <c r="O34" s="35" t="str">
        <f t="shared" si="3"/>
        <v/>
      </c>
    </row>
    <row r="35" spans="2:15" x14ac:dyDescent="0.25">
      <c r="B35" s="37"/>
      <c r="C35" s="25"/>
      <c r="D35" s="26"/>
      <c r="E35" s="27"/>
      <c r="F35" s="28"/>
      <c r="G35" s="29">
        <f t="shared" si="4"/>
        <v>225</v>
      </c>
      <c r="H35" s="30">
        <f t="shared" si="0"/>
        <v>0</v>
      </c>
      <c r="I35" s="31"/>
      <c r="J35" s="32"/>
      <c r="K35" s="29">
        <f t="shared" si="5"/>
        <v>225</v>
      </c>
      <c r="L35" s="30">
        <f t="shared" si="1"/>
        <v>0</v>
      </c>
      <c r="M35" s="31"/>
      <c r="N35" s="34">
        <f t="shared" si="2"/>
        <v>0</v>
      </c>
      <c r="O35" s="35" t="str">
        <f t="shared" si="3"/>
        <v/>
      </c>
    </row>
    <row r="36" spans="2:15" x14ac:dyDescent="0.25">
      <c r="B36" s="37"/>
      <c r="C36" s="25"/>
      <c r="D36" s="26"/>
      <c r="E36" s="27"/>
      <c r="F36" s="28"/>
      <c r="G36" s="29">
        <f t="shared" si="4"/>
        <v>225</v>
      </c>
      <c r="H36" s="30">
        <f t="shared" si="0"/>
        <v>0</v>
      </c>
      <c r="I36" s="31"/>
      <c r="J36" s="32"/>
      <c r="K36" s="29">
        <f t="shared" si="5"/>
        <v>225</v>
      </c>
      <c r="L36" s="30">
        <f t="shared" si="1"/>
        <v>0</v>
      </c>
      <c r="M36" s="31"/>
      <c r="N36" s="34">
        <f t="shared" si="2"/>
        <v>0</v>
      </c>
      <c r="O36" s="35" t="str">
        <f t="shared" si="3"/>
        <v/>
      </c>
    </row>
    <row r="37" spans="2:15" x14ac:dyDescent="0.25">
      <c r="B37" s="37"/>
      <c r="C37" s="25"/>
      <c r="D37" s="26"/>
      <c r="E37" s="27"/>
      <c r="F37" s="28"/>
      <c r="G37" s="29">
        <f t="shared" si="4"/>
        <v>225</v>
      </c>
      <c r="H37" s="30">
        <f t="shared" si="0"/>
        <v>0</v>
      </c>
      <c r="I37" s="31"/>
      <c r="J37" s="32"/>
      <c r="K37" s="29">
        <f t="shared" si="5"/>
        <v>225</v>
      </c>
      <c r="L37" s="30">
        <f t="shared" si="1"/>
        <v>0</v>
      </c>
      <c r="M37" s="31"/>
      <c r="N37" s="34">
        <f t="shared" si="2"/>
        <v>0</v>
      </c>
      <c r="O37" s="35" t="str">
        <f t="shared" si="3"/>
        <v/>
      </c>
    </row>
    <row r="38" spans="2:15" s="49" customFormat="1" x14ac:dyDescent="0.25">
      <c r="B38" s="38" t="s">
        <v>28</v>
      </c>
      <c r="C38" s="39"/>
      <c r="D38" s="40"/>
      <c r="E38" s="39"/>
      <c r="F38" s="41"/>
      <c r="G38" s="42"/>
      <c r="H38" s="43">
        <f>SUM(H22:H37)</f>
        <v>1296.4775</v>
      </c>
      <c r="I38" s="44"/>
      <c r="J38" s="45"/>
      <c r="K38" s="46"/>
      <c r="L38" s="43">
        <f>SUM(L22:L37)</f>
        <v>1155.8524999999997</v>
      </c>
      <c r="M38" s="44"/>
      <c r="N38" s="47">
        <f t="shared" si="2"/>
        <v>-140.62500000000023</v>
      </c>
      <c r="O38" s="48">
        <f t="shared" si="3"/>
        <v>-0.1084669807227663</v>
      </c>
    </row>
    <row r="39" spans="2:15" ht="38.25" x14ac:dyDescent="0.25">
      <c r="B39" s="50" t="str">
        <f>Rates!A23</f>
        <v>Rate Rider for the Disposition of Deferral/Variance Accounts (2014) - effective until December 31, 2015</v>
      </c>
      <c r="C39" s="25"/>
      <c r="D39" s="63" t="s">
        <v>88</v>
      </c>
      <c r="E39" s="27"/>
      <c r="F39" s="32">
        <f>Rates!D23</f>
        <v>0</v>
      </c>
      <c r="G39" s="29">
        <f t="shared" si="4"/>
        <v>225</v>
      </c>
      <c r="H39" s="30">
        <f>G39*F39</f>
        <v>0</v>
      </c>
      <c r="I39" s="31"/>
      <c r="J39" s="32">
        <f>Rates!F23</f>
        <v>-2.7012999999999998</v>
      </c>
      <c r="K39" s="29">
        <f t="shared" si="5"/>
        <v>225</v>
      </c>
      <c r="L39" s="30">
        <f>K39*J39</f>
        <v>-607.7924999999999</v>
      </c>
      <c r="M39" s="31"/>
      <c r="N39" s="34">
        <f>L39-H39</f>
        <v>-607.7924999999999</v>
      </c>
      <c r="O39" s="35" t="str">
        <f>IF((H39)=0,"",(N39/H39))</f>
        <v/>
      </c>
    </row>
    <row r="40" spans="2:15" ht="38.25" x14ac:dyDescent="0.25">
      <c r="B40" s="50" t="str">
        <f>Rates!A24</f>
        <v>Rate Rider for the Disposition of Global Adjustment Sub-Account (2014) - effective until December 31, 2015</v>
      </c>
      <c r="C40" s="25"/>
      <c r="D40" s="63" t="s">
        <v>88</v>
      </c>
      <c r="E40" s="27"/>
      <c r="F40" s="32">
        <f>Rates!D24</f>
        <v>0</v>
      </c>
      <c r="G40" s="29">
        <f t="shared" si="4"/>
        <v>225</v>
      </c>
      <c r="H40" s="30">
        <f t="shared" ref="H40:H44" si="6">G40*F40</f>
        <v>0</v>
      </c>
      <c r="I40" s="51"/>
      <c r="J40" s="32">
        <f>Rates!F24</f>
        <v>4.2051999999999996</v>
      </c>
      <c r="K40" s="29">
        <f t="shared" si="5"/>
        <v>225</v>
      </c>
      <c r="L40" s="30">
        <f t="shared" ref="L40:L44" si="7">K40*J40</f>
        <v>946.17</v>
      </c>
      <c r="M40" s="52"/>
      <c r="N40" s="34">
        <f t="shared" ref="N40:N44" si="8">L40-H40</f>
        <v>946.17</v>
      </c>
      <c r="O40" s="35" t="str">
        <f t="shared" ref="O40:O44" si="9">IF((H40)=0,"",(N40/H40))</f>
        <v/>
      </c>
    </row>
    <row r="41" spans="2:15" x14ac:dyDescent="0.25">
      <c r="B41" s="50"/>
      <c r="C41" s="25"/>
      <c r="D41" s="26"/>
      <c r="E41" s="27"/>
      <c r="F41" s="28"/>
      <c r="G41" s="29">
        <f t="shared" si="4"/>
        <v>225</v>
      </c>
      <c r="H41" s="30">
        <f t="shared" si="6"/>
        <v>0</v>
      </c>
      <c r="I41" s="51"/>
      <c r="J41" s="32"/>
      <c r="K41" s="29">
        <f t="shared" si="5"/>
        <v>225</v>
      </c>
      <c r="L41" s="30">
        <f t="shared" si="7"/>
        <v>0</v>
      </c>
      <c r="M41" s="52"/>
      <c r="N41" s="34">
        <f t="shared" si="8"/>
        <v>0</v>
      </c>
      <c r="O41" s="35" t="str">
        <f t="shared" si="9"/>
        <v/>
      </c>
    </row>
    <row r="42" spans="2:15" x14ac:dyDescent="0.25">
      <c r="B42" s="50"/>
      <c r="C42" s="25"/>
      <c r="D42" s="26"/>
      <c r="E42" s="27"/>
      <c r="F42" s="28"/>
      <c r="G42" s="29">
        <f t="shared" si="4"/>
        <v>225</v>
      </c>
      <c r="H42" s="30">
        <f t="shared" si="6"/>
        <v>0</v>
      </c>
      <c r="I42" s="51"/>
      <c r="J42" s="32"/>
      <c r="K42" s="29">
        <f t="shared" si="5"/>
        <v>225</v>
      </c>
      <c r="L42" s="30">
        <f t="shared" si="7"/>
        <v>0</v>
      </c>
      <c r="M42" s="52"/>
      <c r="N42" s="34">
        <f t="shared" si="8"/>
        <v>0</v>
      </c>
      <c r="O42" s="35" t="str">
        <f t="shared" si="9"/>
        <v/>
      </c>
    </row>
    <row r="43" spans="2:15" x14ac:dyDescent="0.25">
      <c r="B43" s="53" t="s">
        <v>29</v>
      </c>
      <c r="C43" s="25"/>
      <c r="D43" s="26"/>
      <c r="E43" s="27"/>
      <c r="F43" s="28"/>
      <c r="G43" s="29">
        <f t="shared" si="4"/>
        <v>225</v>
      </c>
      <c r="H43" s="30">
        <f>G43*F43</f>
        <v>0</v>
      </c>
      <c r="I43" s="31"/>
      <c r="J43" s="32"/>
      <c r="K43" s="29">
        <f t="shared" si="5"/>
        <v>225</v>
      </c>
      <c r="L43" s="30">
        <f>K43*J43</f>
        <v>0</v>
      </c>
      <c r="M43" s="31"/>
      <c r="N43" s="34">
        <f>L43-H43</f>
        <v>0</v>
      </c>
      <c r="O43" s="35" t="str">
        <f>IF((H43)=0,"",(N43/H43))</f>
        <v/>
      </c>
    </row>
    <row r="44" spans="2:15" x14ac:dyDescent="0.25">
      <c r="B44" s="53" t="s">
        <v>30</v>
      </c>
      <c r="C44" s="25"/>
      <c r="D44" s="26" t="s">
        <v>81</v>
      </c>
      <c r="E44" s="27"/>
      <c r="F44" s="186">
        <f>Rates!D83</f>
        <v>8.949E-2</v>
      </c>
      <c r="G44" s="55">
        <f>$F$17*(1+$F$61)-$F$17</f>
        <v>7776</v>
      </c>
      <c r="H44" s="30">
        <f t="shared" si="6"/>
        <v>695.87423999999999</v>
      </c>
      <c r="I44" s="31"/>
      <c r="J44" s="188">
        <f>Rates!F83</f>
        <v>8.949E-2</v>
      </c>
      <c r="K44" s="55">
        <f>$F$17*(1+$J$61)-$F$17</f>
        <v>8252.9999999999854</v>
      </c>
      <c r="L44" s="30">
        <f t="shared" si="7"/>
        <v>738.56096999999875</v>
      </c>
      <c r="M44" s="31"/>
      <c r="N44" s="34">
        <f t="shared" si="8"/>
        <v>42.686729999998761</v>
      </c>
      <c r="O44" s="35">
        <f t="shared" si="9"/>
        <v>6.1342592592590811E-2</v>
      </c>
    </row>
    <row r="45" spans="2:15" x14ac:dyDescent="0.25">
      <c r="B45" s="53" t="s">
        <v>31</v>
      </c>
      <c r="C45" s="25"/>
      <c r="D45" s="26" t="s">
        <v>79</v>
      </c>
      <c r="E45" s="27"/>
      <c r="F45" s="54"/>
      <c r="G45" s="29">
        <v>1</v>
      </c>
      <c r="H45" s="30">
        <f>G45*F45</f>
        <v>0</v>
      </c>
      <c r="I45" s="31"/>
      <c r="J45" s="54"/>
      <c r="K45" s="29">
        <v>1</v>
      </c>
      <c r="L45" s="30">
        <f>K45*J45</f>
        <v>0</v>
      </c>
      <c r="M45" s="31"/>
      <c r="N45" s="34">
        <f>L45-H45</f>
        <v>0</v>
      </c>
      <c r="O45" s="35"/>
    </row>
    <row r="46" spans="2:15" ht="25.5" x14ac:dyDescent="0.25">
      <c r="B46" s="57" t="s">
        <v>32</v>
      </c>
      <c r="C46" s="58"/>
      <c r="D46" s="58"/>
      <c r="E46" s="58"/>
      <c r="F46" s="59"/>
      <c r="G46" s="60"/>
      <c r="H46" s="61">
        <f>SUM(H39:H45)+H38</f>
        <v>1992.3517400000001</v>
      </c>
      <c r="I46" s="44"/>
      <c r="J46" s="60"/>
      <c r="K46" s="62"/>
      <c r="L46" s="61">
        <f>SUM(L39:L45)+L38</f>
        <v>2232.7909699999982</v>
      </c>
      <c r="M46" s="44"/>
      <c r="N46" s="47">
        <f t="shared" ref="N46:N58" si="10">L46-H46</f>
        <v>240.43922999999813</v>
      </c>
      <c r="O46" s="48">
        <f t="shared" ref="O46:O58" si="11">IF((H46)=0,"",(N46/H46))</f>
        <v>0.12068111527334933</v>
      </c>
    </row>
    <row r="47" spans="2:15" x14ac:dyDescent="0.25">
      <c r="B47" s="31" t="s">
        <v>33</v>
      </c>
      <c r="C47" s="31"/>
      <c r="D47" s="63" t="s">
        <v>88</v>
      </c>
      <c r="E47" s="64"/>
      <c r="F47" s="32">
        <f>Rates!D29</f>
        <v>2.7433000000000001</v>
      </c>
      <c r="G47" s="65">
        <f>K17*(1+F61)</f>
        <v>244.44</v>
      </c>
      <c r="H47" s="30">
        <f>G47*F47</f>
        <v>670.57225200000005</v>
      </c>
      <c r="I47" s="31"/>
      <c r="J47" s="32">
        <f>Rates!F29</f>
        <v>2.7770000000000001</v>
      </c>
      <c r="K47" s="66">
        <f>K17*(1+J61)</f>
        <v>245.63249999999996</v>
      </c>
      <c r="L47" s="30">
        <f>K47*J47</f>
        <v>682.12145249999992</v>
      </c>
      <c r="M47" s="31"/>
      <c r="N47" s="34">
        <f t="shared" si="10"/>
        <v>11.54920049999987</v>
      </c>
      <c r="O47" s="35">
        <f t="shared" si="11"/>
        <v>1.7222902477032214E-2</v>
      </c>
    </row>
    <row r="48" spans="2:15" ht="30" x14ac:dyDescent="0.25">
      <c r="B48" s="67" t="s">
        <v>34</v>
      </c>
      <c r="C48" s="31"/>
      <c r="D48" s="63" t="s">
        <v>88</v>
      </c>
      <c r="E48" s="64"/>
      <c r="F48" s="32">
        <f>Rates!D30</f>
        <v>1.9879</v>
      </c>
      <c r="G48" s="65">
        <f>G47</f>
        <v>244.44</v>
      </c>
      <c r="H48" s="30">
        <f>G48*F48</f>
        <v>485.92227600000001</v>
      </c>
      <c r="I48" s="31"/>
      <c r="J48" s="32">
        <f>Rates!F30</f>
        <v>1.9539</v>
      </c>
      <c r="K48" s="66">
        <f>K47</f>
        <v>245.63249999999996</v>
      </c>
      <c r="L48" s="30">
        <f>K48*J48</f>
        <v>479.94134174999994</v>
      </c>
      <c r="M48" s="31"/>
      <c r="N48" s="34">
        <f t="shared" si="10"/>
        <v>-5.9809342500000753</v>
      </c>
      <c r="O48" s="35">
        <f t="shared" si="11"/>
        <v>-1.2308417509141061E-2</v>
      </c>
    </row>
    <row r="49" spans="1:19" ht="25.5" x14ac:dyDescent="0.25">
      <c r="B49" s="57" t="s">
        <v>35</v>
      </c>
      <c r="C49" s="39"/>
      <c r="D49" s="39"/>
      <c r="E49" s="39"/>
      <c r="F49" s="68"/>
      <c r="G49" s="60"/>
      <c r="H49" s="61">
        <f>SUM(H46:H48)</f>
        <v>3148.8462680000002</v>
      </c>
      <c r="I49" s="69"/>
      <c r="J49" s="70"/>
      <c r="K49" s="71"/>
      <c r="L49" s="61">
        <f>SUM(L46:L48)</f>
        <v>3394.8537642499982</v>
      </c>
      <c r="M49" s="69"/>
      <c r="N49" s="47">
        <f t="shared" si="10"/>
        <v>246.00749624999798</v>
      </c>
      <c r="O49" s="48">
        <f t="shared" si="11"/>
        <v>7.8126232693554273E-2</v>
      </c>
    </row>
    <row r="50" spans="1:19" ht="30" x14ac:dyDescent="0.25">
      <c r="B50" s="72" t="s">
        <v>36</v>
      </c>
      <c r="C50" s="25"/>
      <c r="D50" s="63" t="s">
        <v>81</v>
      </c>
      <c r="E50" s="27"/>
      <c r="F50" s="75">
        <f>Rates!D31</f>
        <v>4.4000000000000003E-3</v>
      </c>
      <c r="G50" s="65">
        <f>F17*(1+F61)</f>
        <v>97776</v>
      </c>
      <c r="H50" s="74">
        <f t="shared" ref="H50:H54" si="12">G50*F50</f>
        <v>430.21440000000001</v>
      </c>
      <c r="I50" s="31"/>
      <c r="J50" s="75">
        <f>Rates!F31</f>
        <v>4.4000000000000003E-3</v>
      </c>
      <c r="K50" s="66">
        <f>F17*(1+J61)</f>
        <v>98252.999999999985</v>
      </c>
      <c r="L50" s="74">
        <f t="shared" ref="L50:L54" si="13">K50*J50</f>
        <v>432.31319999999994</v>
      </c>
      <c r="M50" s="31"/>
      <c r="N50" s="34">
        <f t="shared" si="10"/>
        <v>2.0987999999999261</v>
      </c>
      <c r="O50" s="76">
        <f t="shared" si="11"/>
        <v>4.8784977908687532E-3</v>
      </c>
    </row>
    <row r="51" spans="1:19" ht="30" x14ac:dyDescent="0.25">
      <c r="B51" s="72" t="s">
        <v>37</v>
      </c>
      <c r="C51" s="25"/>
      <c r="D51" s="63" t="s">
        <v>81</v>
      </c>
      <c r="E51" s="27"/>
      <c r="F51" s="75">
        <f>Rates!D32</f>
        <v>1.2999999999999999E-3</v>
      </c>
      <c r="G51" s="65">
        <f>G50</f>
        <v>97776</v>
      </c>
      <c r="H51" s="74">
        <f t="shared" si="12"/>
        <v>127.10879999999999</v>
      </c>
      <c r="I51" s="31"/>
      <c r="J51" s="75">
        <f>Rates!F32</f>
        <v>1.2999999999999999E-3</v>
      </c>
      <c r="K51" s="66">
        <f>K50</f>
        <v>98252.999999999985</v>
      </c>
      <c r="L51" s="74">
        <f t="shared" si="13"/>
        <v>127.72889999999998</v>
      </c>
      <c r="M51" s="31"/>
      <c r="N51" s="34">
        <f t="shared" si="10"/>
        <v>0.62009999999999366</v>
      </c>
      <c r="O51" s="76">
        <f t="shared" si="11"/>
        <v>4.8784977908688755E-3</v>
      </c>
    </row>
    <row r="52" spans="1:19" x14ac:dyDescent="0.25">
      <c r="B52" s="25" t="s">
        <v>38</v>
      </c>
      <c r="C52" s="25"/>
      <c r="D52" s="26" t="s">
        <v>79</v>
      </c>
      <c r="E52" s="27"/>
      <c r="F52" s="73">
        <f>Rates!D33</f>
        <v>0.25</v>
      </c>
      <c r="G52" s="29">
        <v>1</v>
      </c>
      <c r="H52" s="74">
        <f t="shared" si="12"/>
        <v>0.25</v>
      </c>
      <c r="I52" s="31"/>
      <c r="J52" s="75">
        <f>Rates!F33</f>
        <v>0.25</v>
      </c>
      <c r="K52" s="33">
        <v>1</v>
      </c>
      <c r="L52" s="74">
        <f t="shared" si="13"/>
        <v>0.25</v>
      </c>
      <c r="M52" s="31"/>
      <c r="N52" s="34">
        <f t="shared" si="10"/>
        <v>0</v>
      </c>
      <c r="O52" s="76">
        <f t="shared" si="11"/>
        <v>0</v>
      </c>
    </row>
    <row r="53" spans="1:19" x14ac:dyDescent="0.25">
      <c r="B53" s="25" t="s">
        <v>39</v>
      </c>
      <c r="C53" s="25"/>
      <c r="D53" s="26" t="s">
        <v>81</v>
      </c>
      <c r="E53" s="27"/>
      <c r="F53" s="73">
        <f>Rates!D71</f>
        <v>2E-3</v>
      </c>
      <c r="G53" s="77">
        <f>F17</f>
        <v>90000</v>
      </c>
      <c r="H53" s="74">
        <f t="shared" si="12"/>
        <v>180</v>
      </c>
      <c r="I53" s="31"/>
      <c r="J53" s="75">
        <f>Rates!F71</f>
        <v>2E-3</v>
      </c>
      <c r="K53" s="78">
        <f>F17</f>
        <v>90000</v>
      </c>
      <c r="L53" s="74">
        <f t="shared" si="13"/>
        <v>180</v>
      </c>
      <c r="M53" s="31"/>
      <c r="N53" s="34">
        <f t="shared" si="10"/>
        <v>0</v>
      </c>
      <c r="O53" s="76">
        <f t="shared" si="11"/>
        <v>0</v>
      </c>
    </row>
    <row r="54" spans="1:19" ht="15.75" thickBot="1" x14ac:dyDescent="0.3">
      <c r="B54" s="53" t="s">
        <v>91</v>
      </c>
      <c r="C54" s="25"/>
      <c r="D54" s="26" t="s">
        <v>81</v>
      </c>
      <c r="E54" s="27"/>
      <c r="F54" s="187">
        <f>Rates!D83</f>
        <v>8.949E-2</v>
      </c>
      <c r="G54" s="80">
        <f>$F$17</f>
        <v>90000</v>
      </c>
      <c r="H54" s="74">
        <f t="shared" si="12"/>
        <v>8054.1</v>
      </c>
      <c r="I54" s="31"/>
      <c r="J54" s="189">
        <f>Rates!F83</f>
        <v>8.949E-2</v>
      </c>
      <c r="K54" s="80">
        <f>F17</f>
        <v>90000</v>
      </c>
      <c r="L54" s="74">
        <f t="shared" si="13"/>
        <v>8054.1</v>
      </c>
      <c r="M54" s="31"/>
      <c r="N54" s="34">
        <f t="shared" si="10"/>
        <v>0</v>
      </c>
      <c r="O54" s="76">
        <f t="shared" si="11"/>
        <v>0</v>
      </c>
      <c r="S54" s="81"/>
    </row>
    <row r="55" spans="1:19" ht="15.75" thickBot="1" x14ac:dyDescent="0.3">
      <c r="B55" s="90"/>
      <c r="C55" s="91"/>
      <c r="D55" s="92"/>
      <c r="E55" s="91"/>
      <c r="F55" s="93"/>
      <c r="G55" s="94"/>
      <c r="H55" s="95"/>
      <c r="I55" s="96"/>
      <c r="J55" s="93"/>
      <c r="K55" s="97"/>
      <c r="L55" s="95"/>
      <c r="M55" s="96"/>
      <c r="N55" s="98"/>
      <c r="O55" s="99"/>
    </row>
    <row r="56" spans="1:19" x14ac:dyDescent="0.25">
      <c r="B56" s="100" t="s">
        <v>106</v>
      </c>
      <c r="C56" s="25"/>
      <c r="D56" s="25"/>
      <c r="E56" s="25"/>
      <c r="F56" s="101"/>
      <c r="G56" s="102"/>
      <c r="H56" s="103">
        <f>SUM(H50:H54,H49)</f>
        <v>11940.519468000002</v>
      </c>
      <c r="I56" s="104"/>
      <c r="J56" s="105"/>
      <c r="K56" s="105"/>
      <c r="L56" s="181">
        <f>SUM(L50:L54,L49)</f>
        <v>12189.245864249999</v>
      </c>
      <c r="M56" s="106"/>
      <c r="N56" s="107">
        <f t="shared" ref="N56" si="14">L56-H56</f>
        <v>248.72639624999647</v>
      </c>
      <c r="O56" s="108">
        <f t="shared" ref="O56" si="15">IF((H56)=0,"",(N56/H56))</f>
        <v>2.083045020918653E-2</v>
      </c>
      <c r="S56" s="81"/>
    </row>
    <row r="57" spans="1:19" x14ac:dyDescent="0.25">
      <c r="B57" s="109" t="s">
        <v>46</v>
      </c>
      <c r="C57" s="25"/>
      <c r="D57" s="25"/>
      <c r="E57" s="25"/>
      <c r="F57" s="110">
        <v>0.13</v>
      </c>
      <c r="G57" s="111"/>
      <c r="H57" s="112">
        <f>H56*F57</f>
        <v>1552.2675308400003</v>
      </c>
      <c r="I57" s="113"/>
      <c r="J57" s="114">
        <v>0.13</v>
      </c>
      <c r="K57" s="113"/>
      <c r="L57" s="115">
        <f>L56*J57</f>
        <v>1584.6019623524999</v>
      </c>
      <c r="M57" s="116"/>
      <c r="N57" s="117">
        <f t="shared" si="10"/>
        <v>32.334431512499577</v>
      </c>
      <c r="O57" s="118">
        <f t="shared" si="11"/>
        <v>2.0830450209186554E-2</v>
      </c>
      <c r="S57" s="81"/>
    </row>
    <row r="58" spans="1:19" ht="15.75" thickBot="1" x14ac:dyDescent="0.3">
      <c r="B58" s="119" t="s">
        <v>52</v>
      </c>
      <c r="C58" s="25"/>
      <c r="D58" s="25"/>
      <c r="E58" s="25"/>
      <c r="F58" s="120"/>
      <c r="G58" s="111"/>
      <c r="H58" s="112">
        <f>H56+H57</f>
        <v>13492.786998840002</v>
      </c>
      <c r="I58" s="113"/>
      <c r="J58" s="113"/>
      <c r="K58" s="113"/>
      <c r="L58" s="115">
        <f>L56+L57</f>
        <v>13773.847826602498</v>
      </c>
      <c r="M58" s="116"/>
      <c r="N58" s="117">
        <f t="shared" si="10"/>
        <v>281.06082776249605</v>
      </c>
      <c r="O58" s="118">
        <f t="shared" si="11"/>
        <v>2.0830450209186533E-2</v>
      </c>
      <c r="S58" s="81"/>
    </row>
    <row r="59" spans="1:19" s="89" customFormat="1" ht="15.75" thickBot="1" x14ac:dyDescent="0.25">
      <c r="B59" s="134"/>
      <c r="C59" s="135"/>
      <c r="D59" s="136"/>
      <c r="E59" s="135"/>
      <c r="F59" s="93"/>
      <c r="G59" s="137"/>
      <c r="H59" s="95"/>
      <c r="I59" s="138"/>
      <c r="J59" s="93"/>
      <c r="K59" s="139"/>
      <c r="L59" s="95"/>
      <c r="M59" s="138"/>
      <c r="N59" s="140"/>
      <c r="O59" s="99"/>
    </row>
    <row r="60" spans="1:19" x14ac:dyDescent="0.25">
      <c r="L60" s="81"/>
    </row>
    <row r="61" spans="1:19" x14ac:dyDescent="0.25">
      <c r="B61" s="16" t="s">
        <v>50</v>
      </c>
      <c r="F61" s="179">
        <f>Rates!D76</f>
        <v>8.6400000000000005E-2</v>
      </c>
      <c r="J61" s="179">
        <f>Rates!F76</f>
        <v>9.1700000000000004E-2</v>
      </c>
    </row>
    <row r="63" spans="1:19" x14ac:dyDescent="0.25">
      <c r="A63" s="180"/>
      <c r="B63" s="10" t="s">
        <v>51</v>
      </c>
    </row>
  </sheetData>
  <mergeCells count="11">
    <mergeCell ref="D20:D21"/>
    <mergeCell ref="N20:N21"/>
    <mergeCell ref="O20:O21"/>
    <mergeCell ref="A3:K3"/>
    <mergeCell ref="B10:O10"/>
    <mergeCell ref="B11:O11"/>
    <mergeCell ref="D14:O14"/>
    <mergeCell ref="I17:J17"/>
    <mergeCell ref="F19:H19"/>
    <mergeCell ref="J19:L19"/>
    <mergeCell ref="N19:O19"/>
  </mergeCells>
  <dataValidations count="2">
    <dataValidation type="list" allowBlank="1" showInputMessage="1" showErrorMessage="1" sqref="E47:E48 E39:E45 E22:E37 E59 E50:E55">
      <formula1>#REF!</formula1>
    </dataValidation>
    <dataValidation type="list" allowBlank="1" showInputMessage="1" showErrorMessage="1" prompt="Select Charge Unit - monthly, per kWh, per kW" sqref="D47:D48 D39:D45 D59 D22:D37 D50:D55">
      <formula1>"Monthly, per kWh, per kW"</formula1>
    </dataValidation>
  </dataValidations>
  <pageMargins left="0.7" right="0.7" top="0.75" bottom="0.75" header="0.3" footer="0.3"/>
  <pageSetup scale="61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T63"/>
  <sheetViews>
    <sheetView showGridLines="0" topLeftCell="A31" zoomScaleNormal="100" workbookViewId="0">
      <selection activeCell="R45" sqref="R45"/>
    </sheetView>
  </sheetViews>
  <sheetFormatPr defaultRowHeight="15" x14ac:dyDescent="0.25"/>
  <cols>
    <col min="1" max="1" width="2.140625" style="10" customWidth="1"/>
    <col min="2" max="2" width="37.5703125" style="10" customWidth="1"/>
    <col min="3" max="3" width="1.28515625" style="10" customWidth="1"/>
    <col min="4" max="4" width="11.28515625" style="10" customWidth="1"/>
    <col min="5" max="5" width="1.28515625" style="10" customWidth="1"/>
    <col min="6" max="6" width="12.28515625" style="10" customWidth="1"/>
    <col min="7" max="7" width="8.5703125" style="10" customWidth="1"/>
    <col min="8" max="8" width="11.28515625" style="10" bestFit="1" customWidth="1"/>
    <col min="9" max="9" width="2.85546875" style="10" customWidth="1"/>
    <col min="10" max="10" width="12.140625" style="10" customWidth="1"/>
    <col min="11" max="11" width="8.5703125" style="10" customWidth="1"/>
    <col min="12" max="12" width="11.28515625" style="10" bestFit="1" customWidth="1"/>
    <col min="13" max="13" width="2.85546875" style="10" customWidth="1"/>
    <col min="14" max="14" width="12.7109375" style="10" bestFit="1" customWidth="1"/>
    <col min="15" max="15" width="10.85546875" style="10" bestFit="1" customWidth="1"/>
    <col min="16" max="16" width="3.85546875" style="10" customWidth="1"/>
    <col min="17" max="19" width="9.140625" style="10"/>
    <col min="20" max="20" width="9.140625" style="10" customWidth="1"/>
    <col min="21" max="16384" width="9.140625" style="10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O1" s="4">
        <f>EBNUMBER</f>
        <v>0</v>
      </c>
      <c r="P1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 t="s">
        <v>1</v>
      </c>
      <c r="O2" s="6"/>
      <c r="P2"/>
    </row>
    <row r="3" spans="1:20" s="2" customFormat="1" ht="15" customHeight="1" x14ac:dyDescent="0.25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N3" s="3" t="s">
        <v>2</v>
      </c>
      <c r="O3" s="6"/>
      <c r="P3"/>
    </row>
    <row r="4" spans="1:20" s="2" customFormat="1" ht="15" customHeight="1" x14ac:dyDescent="0.25">
      <c r="A4" s="5"/>
      <c r="B4" s="5"/>
      <c r="C4" s="5"/>
      <c r="D4" s="5"/>
      <c r="E4" s="5"/>
      <c r="F4" s="5"/>
      <c r="G4" s="5"/>
      <c r="H4" s="5"/>
      <c r="I4" s="7"/>
      <c r="J4" s="7"/>
      <c r="K4" s="7"/>
      <c r="N4" s="3" t="s">
        <v>3</v>
      </c>
      <c r="O4" s="6"/>
      <c r="P4"/>
    </row>
    <row r="5" spans="1:20" s="2" customFormat="1" ht="15" customHeight="1" x14ac:dyDescent="0.25">
      <c r="C5" s="8"/>
      <c r="D5" s="8"/>
      <c r="E5" s="8"/>
      <c r="N5" s="3" t="s">
        <v>4</v>
      </c>
      <c r="O5" s="9"/>
      <c r="P5"/>
    </row>
    <row r="6" spans="1:20" s="2" customFormat="1" ht="9" customHeight="1" x14ac:dyDescent="0.25">
      <c r="N6" s="3"/>
      <c r="O6" s="4"/>
      <c r="P6"/>
    </row>
    <row r="7" spans="1:20" s="2" customFormat="1" x14ac:dyDescent="0.25">
      <c r="N7" s="3" t="s">
        <v>5</v>
      </c>
      <c r="O7" s="9"/>
      <c r="P7"/>
    </row>
    <row r="8" spans="1:20" s="2" customFormat="1" ht="15" customHeight="1" x14ac:dyDescent="0.25">
      <c r="N8" s="10"/>
      <c r="O8"/>
      <c r="P8"/>
    </row>
    <row r="9" spans="1:20" ht="7.5" customHeight="1" x14ac:dyDescent="0.25">
      <c r="L9"/>
      <c r="M9"/>
      <c r="N9"/>
      <c r="O9"/>
      <c r="P9"/>
    </row>
    <row r="10" spans="1:20" ht="18.75" customHeight="1" x14ac:dyDescent="0.25">
      <c r="B10" s="214" t="s">
        <v>6</v>
      </c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/>
    </row>
    <row r="11" spans="1:20" ht="18.75" customHeight="1" x14ac:dyDescent="0.25">
      <c r="B11" s="214" t="s">
        <v>7</v>
      </c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/>
    </row>
    <row r="12" spans="1:20" ht="7.5" customHeight="1" x14ac:dyDescent="0.25">
      <c r="L12"/>
      <c r="M12"/>
      <c r="N12"/>
      <c r="O12"/>
      <c r="P12"/>
    </row>
    <row r="13" spans="1:20" ht="7.5" customHeight="1" x14ac:dyDescent="0.25">
      <c r="L13"/>
      <c r="M13"/>
      <c r="N13"/>
      <c r="O13"/>
      <c r="P13"/>
    </row>
    <row r="14" spans="1:20" ht="15.75" x14ac:dyDescent="0.25">
      <c r="B14" s="11" t="s">
        <v>8</v>
      </c>
      <c r="D14" s="215" t="s">
        <v>92</v>
      </c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</row>
    <row r="15" spans="1:20" ht="7.5" customHeight="1" x14ac:dyDescent="0.25">
      <c r="B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20" ht="15.75" x14ac:dyDescent="0.25">
      <c r="B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2:15" x14ac:dyDescent="0.25">
      <c r="B17" s="15"/>
      <c r="D17" s="16" t="s">
        <v>11</v>
      </c>
      <c r="E17" s="16"/>
      <c r="F17" s="17">
        <v>90000</v>
      </c>
      <c r="G17" s="16" t="s">
        <v>12</v>
      </c>
      <c r="I17" s="229" t="s">
        <v>86</v>
      </c>
      <c r="J17" s="229"/>
      <c r="K17" s="17">
        <v>225</v>
      </c>
      <c r="L17" s="184" t="s">
        <v>87</v>
      </c>
    </row>
    <row r="18" spans="2:15" x14ac:dyDescent="0.25">
      <c r="B18" s="15"/>
    </row>
    <row r="19" spans="2:15" x14ac:dyDescent="0.25">
      <c r="B19" s="15"/>
      <c r="D19" s="18"/>
      <c r="E19" s="18"/>
      <c r="F19" s="216" t="s">
        <v>13</v>
      </c>
      <c r="G19" s="217"/>
      <c r="H19" s="218"/>
      <c r="J19" s="216" t="s">
        <v>14</v>
      </c>
      <c r="K19" s="217"/>
      <c r="L19" s="218"/>
      <c r="N19" s="216" t="s">
        <v>15</v>
      </c>
      <c r="O19" s="218"/>
    </row>
    <row r="20" spans="2:15" x14ac:dyDescent="0.25">
      <c r="B20" s="15"/>
      <c r="D20" s="220" t="s">
        <v>16</v>
      </c>
      <c r="E20" s="19"/>
      <c r="F20" s="20" t="s">
        <v>17</v>
      </c>
      <c r="G20" s="20" t="s">
        <v>18</v>
      </c>
      <c r="H20" s="21" t="s">
        <v>19</v>
      </c>
      <c r="J20" s="20" t="s">
        <v>17</v>
      </c>
      <c r="K20" s="22" t="s">
        <v>18</v>
      </c>
      <c r="L20" s="21" t="s">
        <v>19</v>
      </c>
      <c r="N20" s="222" t="s">
        <v>20</v>
      </c>
      <c r="O20" s="224" t="s">
        <v>21</v>
      </c>
    </row>
    <row r="21" spans="2:15" x14ac:dyDescent="0.25">
      <c r="B21" s="15"/>
      <c r="D21" s="221"/>
      <c r="E21" s="19"/>
      <c r="F21" s="23" t="s">
        <v>22</v>
      </c>
      <c r="G21" s="23"/>
      <c r="H21" s="24" t="s">
        <v>22</v>
      </c>
      <c r="J21" s="23" t="s">
        <v>22</v>
      </c>
      <c r="K21" s="24"/>
      <c r="L21" s="24" t="s">
        <v>22</v>
      </c>
      <c r="N21" s="223"/>
      <c r="O21" s="225"/>
    </row>
    <row r="22" spans="2:15" x14ac:dyDescent="0.25">
      <c r="B22" s="25" t="s">
        <v>23</v>
      </c>
      <c r="C22" s="25"/>
      <c r="D22" s="26" t="s">
        <v>79</v>
      </c>
      <c r="E22" s="27"/>
      <c r="F22" s="28">
        <f>Rates!D19</f>
        <v>596.12</v>
      </c>
      <c r="G22" s="29">
        <v>1</v>
      </c>
      <c r="H22" s="30">
        <f>G22*F22</f>
        <v>596.12</v>
      </c>
      <c r="I22" s="31"/>
      <c r="J22" s="32">
        <f>Rates!F19</f>
        <v>596.12</v>
      </c>
      <c r="K22" s="33">
        <v>1</v>
      </c>
      <c r="L22" s="30">
        <f>K22*J22</f>
        <v>596.12</v>
      </c>
      <c r="M22" s="31"/>
      <c r="N22" s="34">
        <f>L22-H22</f>
        <v>0</v>
      </c>
      <c r="O22" s="35">
        <f>IF((H22)=0,"",(N22/H22))</f>
        <v>0</v>
      </c>
    </row>
    <row r="23" spans="2:15" x14ac:dyDescent="0.25">
      <c r="B23" s="25" t="s">
        <v>24</v>
      </c>
      <c r="C23" s="25"/>
      <c r="D23" s="26"/>
      <c r="E23" s="27"/>
      <c r="F23" s="28"/>
      <c r="G23" s="29">
        <v>1</v>
      </c>
      <c r="H23" s="30">
        <f t="shared" ref="H23:H37" si="0">G23*F23</f>
        <v>0</v>
      </c>
      <c r="I23" s="31"/>
      <c r="J23" s="32"/>
      <c r="K23" s="33">
        <v>1</v>
      </c>
      <c r="L23" s="30">
        <f>K23*J23</f>
        <v>0</v>
      </c>
      <c r="M23" s="31"/>
      <c r="N23" s="34">
        <f>L23-H23</f>
        <v>0</v>
      </c>
      <c r="O23" s="35" t="str">
        <f>IF((H23)=0,"",(N23/H23))</f>
        <v/>
      </c>
    </row>
    <row r="24" spans="2:15" x14ac:dyDescent="0.25">
      <c r="B24" s="36"/>
      <c r="C24" s="25"/>
      <c r="D24" s="26"/>
      <c r="E24" s="27"/>
      <c r="F24" s="28"/>
      <c r="G24" s="29">
        <v>1</v>
      </c>
      <c r="H24" s="30">
        <f t="shared" si="0"/>
        <v>0</v>
      </c>
      <c r="I24" s="31"/>
      <c r="J24" s="32"/>
      <c r="K24" s="33">
        <v>1</v>
      </c>
      <c r="L24" s="30">
        <f t="shared" ref="L24:L37" si="1">K24*J24</f>
        <v>0</v>
      </c>
      <c r="M24" s="31"/>
      <c r="N24" s="34">
        <f t="shared" ref="N24:N38" si="2">L24-H24</f>
        <v>0</v>
      </c>
      <c r="O24" s="35" t="str">
        <f t="shared" ref="O24:O38" si="3">IF((H24)=0,"",(N24/H24))</f>
        <v/>
      </c>
    </row>
    <row r="25" spans="2:15" x14ac:dyDescent="0.25">
      <c r="B25" s="36"/>
      <c r="C25" s="25"/>
      <c r="D25" s="26"/>
      <c r="E25" s="27"/>
      <c r="F25" s="28"/>
      <c r="G25" s="29">
        <v>1</v>
      </c>
      <c r="H25" s="30">
        <f t="shared" si="0"/>
        <v>0</v>
      </c>
      <c r="I25" s="31"/>
      <c r="J25" s="32"/>
      <c r="K25" s="33">
        <v>1</v>
      </c>
      <c r="L25" s="30">
        <f t="shared" si="1"/>
        <v>0</v>
      </c>
      <c r="M25" s="31"/>
      <c r="N25" s="34">
        <f t="shared" si="2"/>
        <v>0</v>
      </c>
      <c r="O25" s="35" t="str">
        <f t="shared" si="3"/>
        <v/>
      </c>
    </row>
    <row r="26" spans="2:15" x14ac:dyDescent="0.25">
      <c r="B26" s="36"/>
      <c r="C26" s="25"/>
      <c r="D26" s="26"/>
      <c r="E26" s="27"/>
      <c r="F26" s="28"/>
      <c r="G26" s="29">
        <v>1</v>
      </c>
      <c r="H26" s="30">
        <f t="shared" si="0"/>
        <v>0</v>
      </c>
      <c r="I26" s="31"/>
      <c r="J26" s="32"/>
      <c r="K26" s="33">
        <v>1</v>
      </c>
      <c r="L26" s="30">
        <f t="shared" si="1"/>
        <v>0</v>
      </c>
      <c r="M26" s="31"/>
      <c r="N26" s="34">
        <f t="shared" si="2"/>
        <v>0</v>
      </c>
      <c r="O26" s="35" t="str">
        <f t="shared" si="3"/>
        <v/>
      </c>
    </row>
    <row r="27" spans="2:15" x14ac:dyDescent="0.25">
      <c r="B27" s="36"/>
      <c r="C27" s="25"/>
      <c r="D27" s="26"/>
      <c r="E27" s="27"/>
      <c r="F27" s="28"/>
      <c r="G27" s="29">
        <v>1</v>
      </c>
      <c r="H27" s="30">
        <f t="shared" si="0"/>
        <v>0</v>
      </c>
      <c r="I27" s="31"/>
      <c r="J27" s="32"/>
      <c r="K27" s="33">
        <v>1</v>
      </c>
      <c r="L27" s="30">
        <f t="shared" si="1"/>
        <v>0</v>
      </c>
      <c r="M27" s="31"/>
      <c r="N27" s="34">
        <f t="shared" si="2"/>
        <v>0</v>
      </c>
      <c r="O27" s="35" t="str">
        <f t="shared" si="3"/>
        <v/>
      </c>
    </row>
    <row r="28" spans="2:15" x14ac:dyDescent="0.25">
      <c r="B28" s="25" t="s">
        <v>25</v>
      </c>
      <c r="C28" s="25"/>
      <c r="D28" s="26" t="s">
        <v>88</v>
      </c>
      <c r="E28" s="27"/>
      <c r="F28" s="28">
        <f>Rates!D20</f>
        <v>3.0886999999999998</v>
      </c>
      <c r="G28" s="185">
        <f>$K$17</f>
        <v>225</v>
      </c>
      <c r="H28" s="30">
        <f t="shared" si="0"/>
        <v>694.95749999999998</v>
      </c>
      <c r="I28" s="31"/>
      <c r="J28" s="32">
        <f>Rates!F20</f>
        <v>3.2725</v>
      </c>
      <c r="K28" s="185">
        <f>$K$17</f>
        <v>225</v>
      </c>
      <c r="L28" s="30">
        <f t="shared" si="1"/>
        <v>736.3125</v>
      </c>
      <c r="M28" s="31"/>
      <c r="N28" s="34">
        <f t="shared" si="2"/>
        <v>41.355000000000018</v>
      </c>
      <c r="O28" s="35">
        <f t="shared" si="3"/>
        <v>5.9507236054003328E-2</v>
      </c>
    </row>
    <row r="29" spans="2:15" x14ac:dyDescent="0.25">
      <c r="B29" s="25" t="s">
        <v>26</v>
      </c>
      <c r="C29" s="25"/>
      <c r="D29" s="26"/>
      <c r="E29" s="27"/>
      <c r="F29" s="28"/>
      <c r="G29" s="29">
        <f t="shared" ref="G29:G43" si="4">$K$17</f>
        <v>225</v>
      </c>
      <c r="H29" s="30">
        <f t="shared" si="0"/>
        <v>0</v>
      </c>
      <c r="I29" s="31"/>
      <c r="J29" s="32"/>
      <c r="K29" s="29">
        <f t="shared" ref="K29:K43" si="5">$K$17</f>
        <v>225</v>
      </c>
      <c r="L29" s="30">
        <f t="shared" si="1"/>
        <v>0</v>
      </c>
      <c r="M29" s="31"/>
      <c r="N29" s="34">
        <f t="shared" si="2"/>
        <v>0</v>
      </c>
      <c r="O29" s="35" t="str">
        <f t="shared" si="3"/>
        <v/>
      </c>
    </row>
    <row r="30" spans="2:15" ht="45" x14ac:dyDescent="0.25">
      <c r="B30" s="72" t="str">
        <f>Rates!A25</f>
        <v>Rate Rider for the Recovery of Lost Revenue Adjustment (LRAM) - effective until December 31, 2015</v>
      </c>
      <c r="C30" s="25"/>
      <c r="D30" s="63" t="s">
        <v>88</v>
      </c>
      <c r="E30" s="27"/>
      <c r="F30" s="32">
        <f>Rates!D25</f>
        <v>0</v>
      </c>
      <c r="G30" s="29">
        <f t="shared" si="4"/>
        <v>225</v>
      </c>
      <c r="H30" s="30">
        <f t="shared" si="0"/>
        <v>0</v>
      </c>
      <c r="I30" s="31"/>
      <c r="J30" s="32">
        <f>Rates!F25</f>
        <v>2.8999999999999998E-3</v>
      </c>
      <c r="K30" s="29">
        <f t="shared" si="5"/>
        <v>225</v>
      </c>
      <c r="L30" s="30">
        <f t="shared" si="1"/>
        <v>0.65249999999999997</v>
      </c>
      <c r="M30" s="31"/>
      <c r="N30" s="34">
        <f t="shared" si="2"/>
        <v>0.65249999999999997</v>
      </c>
      <c r="O30" s="35" t="str">
        <f t="shared" si="3"/>
        <v/>
      </c>
    </row>
    <row r="31" spans="2:15" ht="30" x14ac:dyDescent="0.25">
      <c r="B31" s="183" t="str">
        <f>Rates!A5</f>
        <v>Foregone Revenue Recovery - effective until December 31, 2014 (2014)</v>
      </c>
      <c r="C31" s="25"/>
      <c r="D31" s="63" t="s">
        <v>88</v>
      </c>
      <c r="E31" s="27"/>
      <c r="F31" s="32">
        <f>Rates!D21</f>
        <v>3.8800000000000001E-2</v>
      </c>
      <c r="G31" s="29">
        <f t="shared" si="4"/>
        <v>225</v>
      </c>
      <c r="H31" s="30">
        <f t="shared" si="0"/>
        <v>8.73</v>
      </c>
      <c r="I31" s="31"/>
      <c r="J31" s="32">
        <f>Rates!F21</f>
        <v>0</v>
      </c>
      <c r="K31" s="29">
        <f t="shared" si="5"/>
        <v>225</v>
      </c>
      <c r="L31" s="30">
        <f t="shared" si="1"/>
        <v>0</v>
      </c>
      <c r="M31" s="31"/>
      <c r="N31" s="34">
        <f t="shared" si="2"/>
        <v>-8.73</v>
      </c>
      <c r="O31" s="35">
        <f t="shared" si="3"/>
        <v>-1</v>
      </c>
    </row>
    <row r="32" spans="2:15" ht="30" x14ac:dyDescent="0.25">
      <c r="B32" s="183" t="str">
        <f>Rates!A6</f>
        <v>Tax Changes - effective until December 31, 2014</v>
      </c>
      <c r="C32" s="25"/>
      <c r="D32" s="63" t="s">
        <v>88</v>
      </c>
      <c r="E32" s="27"/>
      <c r="F32" s="32">
        <f>Rates!D22</f>
        <v>-1.4800000000000001E-2</v>
      </c>
      <c r="G32" s="29">
        <f t="shared" si="4"/>
        <v>225</v>
      </c>
      <c r="H32" s="30">
        <f t="shared" si="0"/>
        <v>-3.33</v>
      </c>
      <c r="I32" s="31"/>
      <c r="J32" s="32">
        <f>Rates!F22</f>
        <v>0</v>
      </c>
      <c r="K32" s="29">
        <f t="shared" si="5"/>
        <v>225</v>
      </c>
      <c r="L32" s="30">
        <f t="shared" si="1"/>
        <v>0</v>
      </c>
      <c r="M32" s="31"/>
      <c r="N32" s="34">
        <f t="shared" si="2"/>
        <v>3.33</v>
      </c>
      <c r="O32" s="35">
        <f t="shared" si="3"/>
        <v>-1</v>
      </c>
    </row>
    <row r="33" spans="2:15" ht="45" x14ac:dyDescent="0.25">
      <c r="B33" s="183" t="str">
        <f>Rates!A26</f>
        <v>Rate Rider for the Disposition of Account 1575 &amp; 1576 - effective until December 31, 2019</v>
      </c>
      <c r="C33" s="25"/>
      <c r="D33" s="63" t="s">
        <v>88</v>
      </c>
      <c r="E33" s="27"/>
      <c r="F33" s="32">
        <f>Rates!D26</f>
        <v>0</v>
      </c>
      <c r="G33" s="29">
        <f t="shared" si="4"/>
        <v>225</v>
      </c>
      <c r="H33" s="30">
        <f t="shared" si="0"/>
        <v>0</v>
      </c>
      <c r="I33" s="31"/>
      <c r="J33" s="32">
        <f>Rates!F26</f>
        <v>-0.78769999999999996</v>
      </c>
      <c r="K33" s="29">
        <f t="shared" si="5"/>
        <v>225</v>
      </c>
      <c r="L33" s="30">
        <f t="shared" si="1"/>
        <v>-177.23249999999999</v>
      </c>
      <c r="M33" s="31"/>
      <c r="N33" s="34">
        <f t="shared" si="2"/>
        <v>-177.23249999999999</v>
      </c>
      <c r="O33" s="35" t="str">
        <f t="shared" si="3"/>
        <v/>
      </c>
    </row>
    <row r="34" spans="2:15" x14ac:dyDescent="0.25">
      <c r="B34" s="37"/>
      <c r="C34" s="25"/>
      <c r="D34" s="26"/>
      <c r="E34" s="27"/>
      <c r="F34" s="28"/>
      <c r="G34" s="29">
        <f t="shared" si="4"/>
        <v>225</v>
      </c>
      <c r="H34" s="30">
        <f t="shared" si="0"/>
        <v>0</v>
      </c>
      <c r="I34" s="31"/>
      <c r="J34" s="32"/>
      <c r="K34" s="29">
        <f t="shared" si="5"/>
        <v>225</v>
      </c>
      <c r="L34" s="30">
        <f t="shared" si="1"/>
        <v>0</v>
      </c>
      <c r="M34" s="31"/>
      <c r="N34" s="34">
        <f t="shared" si="2"/>
        <v>0</v>
      </c>
      <c r="O34" s="35" t="str">
        <f t="shared" si="3"/>
        <v/>
      </c>
    </row>
    <row r="35" spans="2:15" x14ac:dyDescent="0.25">
      <c r="B35" s="37"/>
      <c r="C35" s="25"/>
      <c r="D35" s="26"/>
      <c r="E35" s="27"/>
      <c r="F35" s="28"/>
      <c r="G35" s="29">
        <f t="shared" si="4"/>
        <v>225</v>
      </c>
      <c r="H35" s="30">
        <f t="shared" si="0"/>
        <v>0</v>
      </c>
      <c r="I35" s="31"/>
      <c r="J35" s="32"/>
      <c r="K35" s="29">
        <f t="shared" si="5"/>
        <v>225</v>
      </c>
      <c r="L35" s="30">
        <f t="shared" si="1"/>
        <v>0</v>
      </c>
      <c r="M35" s="31"/>
      <c r="N35" s="34">
        <f t="shared" si="2"/>
        <v>0</v>
      </c>
      <c r="O35" s="35" t="str">
        <f t="shared" si="3"/>
        <v/>
      </c>
    </row>
    <row r="36" spans="2:15" x14ac:dyDescent="0.25">
      <c r="B36" s="37"/>
      <c r="C36" s="25"/>
      <c r="D36" s="26"/>
      <c r="E36" s="27"/>
      <c r="F36" s="28"/>
      <c r="G36" s="29">
        <f t="shared" si="4"/>
        <v>225</v>
      </c>
      <c r="H36" s="30">
        <f t="shared" si="0"/>
        <v>0</v>
      </c>
      <c r="I36" s="31"/>
      <c r="J36" s="32"/>
      <c r="K36" s="29">
        <f t="shared" si="5"/>
        <v>225</v>
      </c>
      <c r="L36" s="30">
        <f t="shared" si="1"/>
        <v>0</v>
      </c>
      <c r="M36" s="31"/>
      <c r="N36" s="34">
        <f t="shared" si="2"/>
        <v>0</v>
      </c>
      <c r="O36" s="35" t="str">
        <f t="shared" si="3"/>
        <v/>
      </c>
    </row>
    <row r="37" spans="2:15" x14ac:dyDescent="0.25">
      <c r="B37" s="37"/>
      <c r="C37" s="25"/>
      <c r="D37" s="26"/>
      <c r="E37" s="27"/>
      <c r="F37" s="28"/>
      <c r="G37" s="29">
        <f t="shared" si="4"/>
        <v>225</v>
      </c>
      <c r="H37" s="30">
        <f t="shared" si="0"/>
        <v>0</v>
      </c>
      <c r="I37" s="31"/>
      <c r="J37" s="32"/>
      <c r="K37" s="29">
        <f t="shared" si="5"/>
        <v>225</v>
      </c>
      <c r="L37" s="30">
        <f t="shared" si="1"/>
        <v>0</v>
      </c>
      <c r="M37" s="31"/>
      <c r="N37" s="34">
        <f t="shared" si="2"/>
        <v>0</v>
      </c>
      <c r="O37" s="35" t="str">
        <f t="shared" si="3"/>
        <v/>
      </c>
    </row>
    <row r="38" spans="2:15" s="49" customFormat="1" x14ac:dyDescent="0.25">
      <c r="B38" s="38" t="s">
        <v>28</v>
      </c>
      <c r="C38" s="39"/>
      <c r="D38" s="40"/>
      <c r="E38" s="39"/>
      <c r="F38" s="41"/>
      <c r="G38" s="42"/>
      <c r="H38" s="43">
        <f>SUM(H22:H37)</f>
        <v>1296.4775</v>
      </c>
      <c r="I38" s="44"/>
      <c r="J38" s="45"/>
      <c r="K38" s="46"/>
      <c r="L38" s="43">
        <f>SUM(L22:L37)</f>
        <v>1155.8524999999997</v>
      </c>
      <c r="M38" s="44"/>
      <c r="N38" s="47">
        <f t="shared" si="2"/>
        <v>-140.62500000000023</v>
      </c>
      <c r="O38" s="48">
        <f t="shared" si="3"/>
        <v>-0.1084669807227663</v>
      </c>
    </row>
    <row r="39" spans="2:15" ht="38.25" x14ac:dyDescent="0.25">
      <c r="B39" s="50" t="str">
        <f>Rates!A23</f>
        <v>Rate Rider for the Disposition of Deferral/Variance Accounts (2014) - effective until December 31, 2015</v>
      </c>
      <c r="C39" s="25"/>
      <c r="D39" s="63" t="s">
        <v>88</v>
      </c>
      <c r="E39" s="27"/>
      <c r="F39" s="32">
        <f>Rates!D23</f>
        <v>0</v>
      </c>
      <c r="G39" s="29">
        <f t="shared" si="4"/>
        <v>225</v>
      </c>
      <c r="H39" s="30">
        <f>G39*F39</f>
        <v>0</v>
      </c>
      <c r="I39" s="31"/>
      <c r="J39" s="32">
        <f>Rates!F23</f>
        <v>-2.7012999999999998</v>
      </c>
      <c r="K39" s="29">
        <f t="shared" si="5"/>
        <v>225</v>
      </c>
      <c r="L39" s="30">
        <f>K39*J39</f>
        <v>-607.7924999999999</v>
      </c>
      <c r="M39" s="31"/>
      <c r="N39" s="34">
        <f>L39-H39</f>
        <v>-607.7924999999999</v>
      </c>
      <c r="O39" s="35" t="str">
        <f>IF((H39)=0,"",(N39/H39))</f>
        <v/>
      </c>
    </row>
    <row r="40" spans="2:15" ht="38.25" x14ac:dyDescent="0.25">
      <c r="B40" s="50" t="str">
        <f>Rates!A24</f>
        <v>Rate Rider for the Disposition of Global Adjustment Sub-Account (2014) - effective until December 31, 2015</v>
      </c>
      <c r="C40" s="25"/>
      <c r="D40" s="63" t="s">
        <v>88</v>
      </c>
      <c r="E40" s="27"/>
      <c r="F40" s="32">
        <f>Rates!D24</f>
        <v>0</v>
      </c>
      <c r="G40" s="29">
        <f t="shared" si="4"/>
        <v>225</v>
      </c>
      <c r="H40" s="30">
        <f t="shared" ref="H40:H44" si="6">G40*F40</f>
        <v>0</v>
      </c>
      <c r="I40" s="51"/>
      <c r="J40" s="32">
        <v>0</v>
      </c>
      <c r="K40" s="29">
        <f t="shared" si="5"/>
        <v>225</v>
      </c>
      <c r="L40" s="30">
        <f t="shared" ref="L40:L44" si="7">K40*J40</f>
        <v>0</v>
      </c>
      <c r="M40" s="52"/>
      <c r="N40" s="34">
        <f t="shared" ref="N40:N44" si="8">L40-H40</f>
        <v>0</v>
      </c>
      <c r="O40" s="35" t="str">
        <f t="shared" ref="O40:O44" si="9">IF((H40)=0,"",(N40/H40))</f>
        <v/>
      </c>
    </row>
    <row r="41" spans="2:15" x14ac:dyDescent="0.25">
      <c r="B41" s="50"/>
      <c r="C41" s="25"/>
      <c r="D41" s="26"/>
      <c r="E41" s="27"/>
      <c r="F41" s="28"/>
      <c r="G41" s="29">
        <f t="shared" si="4"/>
        <v>225</v>
      </c>
      <c r="H41" s="30">
        <f t="shared" si="6"/>
        <v>0</v>
      </c>
      <c r="I41" s="51"/>
      <c r="J41" s="32"/>
      <c r="K41" s="29">
        <f t="shared" si="5"/>
        <v>225</v>
      </c>
      <c r="L41" s="30">
        <f t="shared" si="7"/>
        <v>0</v>
      </c>
      <c r="M41" s="52"/>
      <c r="N41" s="34">
        <f t="shared" si="8"/>
        <v>0</v>
      </c>
      <c r="O41" s="35" t="str">
        <f t="shared" si="9"/>
        <v/>
      </c>
    </row>
    <row r="42" spans="2:15" x14ac:dyDescent="0.25">
      <c r="B42" s="50"/>
      <c r="C42" s="25"/>
      <c r="D42" s="26"/>
      <c r="E42" s="27"/>
      <c r="F42" s="28"/>
      <c r="G42" s="29">
        <f t="shared" si="4"/>
        <v>225</v>
      </c>
      <c r="H42" s="30">
        <f t="shared" si="6"/>
        <v>0</v>
      </c>
      <c r="I42" s="51"/>
      <c r="J42" s="32"/>
      <c r="K42" s="29">
        <f t="shared" si="5"/>
        <v>225</v>
      </c>
      <c r="L42" s="30">
        <f t="shared" si="7"/>
        <v>0</v>
      </c>
      <c r="M42" s="52"/>
      <c r="N42" s="34">
        <f t="shared" si="8"/>
        <v>0</v>
      </c>
      <c r="O42" s="35" t="str">
        <f t="shared" si="9"/>
        <v/>
      </c>
    </row>
    <row r="43" spans="2:15" x14ac:dyDescent="0.25">
      <c r="B43" s="53" t="s">
        <v>29</v>
      </c>
      <c r="C43" s="25"/>
      <c r="D43" s="26"/>
      <c r="E43" s="27"/>
      <c r="F43" s="28"/>
      <c r="G43" s="29">
        <f t="shared" si="4"/>
        <v>225</v>
      </c>
      <c r="H43" s="30">
        <f>G43*F43</f>
        <v>0</v>
      </c>
      <c r="I43" s="31"/>
      <c r="J43" s="32"/>
      <c r="K43" s="29">
        <f t="shared" si="5"/>
        <v>225</v>
      </c>
      <c r="L43" s="30">
        <f>K43*J43</f>
        <v>0</v>
      </c>
      <c r="M43" s="31"/>
      <c r="N43" s="34">
        <f>L43-H43</f>
        <v>0</v>
      </c>
      <c r="O43" s="35" t="str">
        <f>IF((H43)=0,"",(N43/H43))</f>
        <v/>
      </c>
    </row>
    <row r="44" spans="2:15" x14ac:dyDescent="0.25">
      <c r="B44" s="53" t="s">
        <v>30</v>
      </c>
      <c r="C44" s="25"/>
      <c r="D44" s="26" t="s">
        <v>81</v>
      </c>
      <c r="E44" s="27"/>
      <c r="F44" s="186">
        <f>Rates!D84</f>
        <v>8.899E-2</v>
      </c>
      <c r="G44" s="55">
        <f>$F$17*(1+$F$61)-$F$17</f>
        <v>7776</v>
      </c>
      <c r="H44" s="30">
        <f t="shared" si="6"/>
        <v>691.98623999999995</v>
      </c>
      <c r="I44" s="31"/>
      <c r="J44" s="188">
        <f>Rates!F84</f>
        <v>8.899E-2</v>
      </c>
      <c r="K44" s="55">
        <f>$F$17*(1+$J$61)-$F$17</f>
        <v>8252.9999999999854</v>
      </c>
      <c r="L44" s="30">
        <f t="shared" si="7"/>
        <v>734.43446999999867</v>
      </c>
      <c r="M44" s="31"/>
      <c r="N44" s="34">
        <f t="shared" si="8"/>
        <v>42.448229999998716</v>
      </c>
      <c r="O44" s="35">
        <f t="shared" si="9"/>
        <v>6.1342592592590742E-2</v>
      </c>
    </row>
    <row r="45" spans="2:15" x14ac:dyDescent="0.25">
      <c r="B45" s="53" t="s">
        <v>31</v>
      </c>
      <c r="C45" s="25"/>
      <c r="D45" s="26" t="s">
        <v>79</v>
      </c>
      <c r="E45" s="27"/>
      <c r="F45" s="54"/>
      <c r="G45" s="29">
        <v>1</v>
      </c>
      <c r="H45" s="30">
        <f>G45*F45</f>
        <v>0</v>
      </c>
      <c r="I45" s="31"/>
      <c r="J45" s="54"/>
      <c r="K45" s="29">
        <v>1</v>
      </c>
      <c r="L45" s="30">
        <f>K45*J45</f>
        <v>0</v>
      </c>
      <c r="M45" s="31"/>
      <c r="N45" s="34">
        <f>L45-H45</f>
        <v>0</v>
      </c>
      <c r="O45" s="35"/>
    </row>
    <row r="46" spans="2:15" ht="25.5" x14ac:dyDescent="0.25">
      <c r="B46" s="57" t="s">
        <v>32</v>
      </c>
      <c r="C46" s="58"/>
      <c r="D46" s="58"/>
      <c r="E46" s="58"/>
      <c r="F46" s="59"/>
      <c r="G46" s="60"/>
      <c r="H46" s="61">
        <f>SUM(H39:H45)+H38</f>
        <v>1988.4637399999999</v>
      </c>
      <c r="I46" s="44"/>
      <c r="J46" s="60"/>
      <c r="K46" s="62"/>
      <c r="L46" s="61">
        <f>SUM(L39:L45)+L38</f>
        <v>1282.4944699999985</v>
      </c>
      <c r="M46" s="44"/>
      <c r="N46" s="47">
        <f t="shared" ref="N46:N58" si="10">L46-H46</f>
        <v>-705.96927000000142</v>
      </c>
      <c r="O46" s="48">
        <f t="shared" ref="O46:O58" si="11">IF((H46)=0,"",(N46/H46))</f>
        <v>-0.35503250866420194</v>
      </c>
    </row>
    <row r="47" spans="2:15" x14ac:dyDescent="0.25">
      <c r="B47" s="31" t="s">
        <v>33</v>
      </c>
      <c r="C47" s="31"/>
      <c r="D47" s="63" t="s">
        <v>88</v>
      </c>
      <c r="E47" s="64"/>
      <c r="F47" s="32">
        <f>Rates!D27</f>
        <v>2.5861000000000001</v>
      </c>
      <c r="G47" s="65">
        <f>K17*(1+F61)</f>
        <v>244.44</v>
      </c>
      <c r="H47" s="30">
        <f>G47*F47</f>
        <v>632.14628400000004</v>
      </c>
      <c r="I47" s="31"/>
      <c r="J47" s="32">
        <f>Rates!F27</f>
        <v>2.7770000000000001</v>
      </c>
      <c r="K47" s="66">
        <f>K17*(1+J61)</f>
        <v>245.63249999999996</v>
      </c>
      <c r="L47" s="30">
        <f>K47*J47</f>
        <v>682.12145249999992</v>
      </c>
      <c r="M47" s="31"/>
      <c r="N47" s="34">
        <f t="shared" si="10"/>
        <v>49.975168499999882</v>
      </c>
      <c r="O47" s="35">
        <f t="shared" si="11"/>
        <v>7.9056335163080513E-2</v>
      </c>
    </row>
    <row r="48" spans="2:15" ht="30" x14ac:dyDescent="0.25">
      <c r="B48" s="67" t="s">
        <v>34</v>
      </c>
      <c r="C48" s="31"/>
      <c r="D48" s="63" t="s">
        <v>88</v>
      </c>
      <c r="E48" s="64"/>
      <c r="F48" s="32">
        <f>Rates!D28</f>
        <v>1.7988</v>
      </c>
      <c r="G48" s="65">
        <f>G47</f>
        <v>244.44</v>
      </c>
      <c r="H48" s="30">
        <f>G48*F48</f>
        <v>439.69867199999999</v>
      </c>
      <c r="I48" s="31"/>
      <c r="J48" s="32">
        <f>Rates!F28</f>
        <v>1.9539</v>
      </c>
      <c r="K48" s="66">
        <f>K47</f>
        <v>245.63249999999996</v>
      </c>
      <c r="L48" s="30">
        <f>K48*J48</f>
        <v>479.94134174999994</v>
      </c>
      <c r="M48" s="31"/>
      <c r="N48" s="34">
        <f t="shared" si="10"/>
        <v>40.242669749999948</v>
      </c>
      <c r="O48" s="35">
        <f t="shared" si="11"/>
        <v>9.1523291546352331E-2</v>
      </c>
    </row>
    <row r="49" spans="1:19" ht="25.5" x14ac:dyDescent="0.25">
      <c r="B49" s="57" t="s">
        <v>35</v>
      </c>
      <c r="C49" s="39"/>
      <c r="D49" s="39"/>
      <c r="E49" s="39"/>
      <c r="F49" s="68"/>
      <c r="G49" s="60"/>
      <c r="H49" s="61">
        <f>SUM(H46:H48)</f>
        <v>3060.3086960000001</v>
      </c>
      <c r="I49" s="69"/>
      <c r="J49" s="70"/>
      <c r="K49" s="71"/>
      <c r="L49" s="61">
        <f>SUM(L46:L48)</f>
        <v>2444.5572642499983</v>
      </c>
      <c r="M49" s="69"/>
      <c r="N49" s="47">
        <f t="shared" si="10"/>
        <v>-615.75143175000176</v>
      </c>
      <c r="O49" s="48">
        <f t="shared" si="11"/>
        <v>-0.20120566025081862</v>
      </c>
    </row>
    <row r="50" spans="1:19" ht="30" x14ac:dyDescent="0.25">
      <c r="B50" s="72" t="s">
        <v>36</v>
      </c>
      <c r="C50" s="25"/>
      <c r="D50" s="63" t="s">
        <v>81</v>
      </c>
      <c r="E50" s="27"/>
      <c r="F50" s="75">
        <f>Rates!D31</f>
        <v>4.4000000000000003E-3</v>
      </c>
      <c r="G50" s="65">
        <f>F17*(1+F61)</f>
        <v>97776</v>
      </c>
      <c r="H50" s="74">
        <f t="shared" ref="H50:H54" si="12">G50*F50</f>
        <v>430.21440000000001</v>
      </c>
      <c r="I50" s="31"/>
      <c r="J50" s="75">
        <f>Rates!F31</f>
        <v>4.4000000000000003E-3</v>
      </c>
      <c r="K50" s="66">
        <f>F17*(1+J61)</f>
        <v>98252.999999999985</v>
      </c>
      <c r="L50" s="74">
        <f t="shared" ref="L50:L54" si="13">K50*J50</f>
        <v>432.31319999999994</v>
      </c>
      <c r="M50" s="31"/>
      <c r="N50" s="34">
        <f t="shared" si="10"/>
        <v>2.0987999999999261</v>
      </c>
      <c r="O50" s="76">
        <f t="shared" si="11"/>
        <v>4.8784977908687532E-3</v>
      </c>
    </row>
    <row r="51" spans="1:19" ht="30" x14ac:dyDescent="0.25">
      <c r="B51" s="72" t="s">
        <v>37</v>
      </c>
      <c r="C51" s="25"/>
      <c r="D51" s="63" t="s">
        <v>81</v>
      </c>
      <c r="E51" s="27"/>
      <c r="F51" s="75">
        <f>Rates!D32</f>
        <v>1.2999999999999999E-3</v>
      </c>
      <c r="G51" s="65">
        <f>G50</f>
        <v>97776</v>
      </c>
      <c r="H51" s="74">
        <f t="shared" si="12"/>
        <v>127.10879999999999</v>
      </c>
      <c r="I51" s="31"/>
      <c r="J51" s="75">
        <f>Rates!F32</f>
        <v>1.2999999999999999E-3</v>
      </c>
      <c r="K51" s="66">
        <f>K50</f>
        <v>98252.999999999985</v>
      </c>
      <c r="L51" s="74">
        <f t="shared" si="13"/>
        <v>127.72889999999998</v>
      </c>
      <c r="M51" s="31"/>
      <c r="N51" s="34">
        <f t="shared" si="10"/>
        <v>0.62009999999999366</v>
      </c>
      <c r="O51" s="76">
        <f t="shared" si="11"/>
        <v>4.8784977908688755E-3</v>
      </c>
    </row>
    <row r="52" spans="1:19" x14ac:dyDescent="0.25">
      <c r="B52" s="25" t="s">
        <v>38</v>
      </c>
      <c r="C52" s="25"/>
      <c r="D52" s="26" t="s">
        <v>79</v>
      </c>
      <c r="E52" s="27"/>
      <c r="F52" s="73">
        <f>Rates!D33</f>
        <v>0.25</v>
      </c>
      <c r="G52" s="29">
        <v>1</v>
      </c>
      <c r="H52" s="74">
        <f t="shared" si="12"/>
        <v>0.25</v>
      </c>
      <c r="I52" s="31"/>
      <c r="J52" s="75">
        <f>Rates!F33</f>
        <v>0.25</v>
      </c>
      <c r="K52" s="33">
        <v>1</v>
      </c>
      <c r="L52" s="74">
        <f t="shared" si="13"/>
        <v>0.25</v>
      </c>
      <c r="M52" s="31"/>
      <c r="N52" s="34">
        <f t="shared" si="10"/>
        <v>0</v>
      </c>
      <c r="O52" s="76">
        <f t="shared" si="11"/>
        <v>0</v>
      </c>
    </row>
    <row r="53" spans="1:19" x14ac:dyDescent="0.25">
      <c r="B53" s="25" t="s">
        <v>39</v>
      </c>
      <c r="C53" s="25"/>
      <c r="D53" s="26" t="s">
        <v>81</v>
      </c>
      <c r="E53" s="27"/>
      <c r="F53" s="73">
        <f>Rates!D71</f>
        <v>2E-3</v>
      </c>
      <c r="G53" s="77">
        <f>F17</f>
        <v>90000</v>
      </c>
      <c r="H53" s="74">
        <f t="shared" si="12"/>
        <v>180</v>
      </c>
      <c r="I53" s="31"/>
      <c r="J53" s="75">
        <f>Rates!F71</f>
        <v>2E-3</v>
      </c>
      <c r="K53" s="78">
        <f>F17</f>
        <v>90000</v>
      </c>
      <c r="L53" s="74">
        <f t="shared" si="13"/>
        <v>180</v>
      </c>
      <c r="M53" s="31"/>
      <c r="N53" s="34">
        <f t="shared" si="10"/>
        <v>0</v>
      </c>
      <c r="O53" s="76">
        <f t="shared" si="11"/>
        <v>0</v>
      </c>
    </row>
    <row r="54" spans="1:19" ht="15.75" thickBot="1" x14ac:dyDescent="0.3">
      <c r="B54" s="53" t="s">
        <v>91</v>
      </c>
      <c r="C54" s="25"/>
      <c r="D54" s="26" t="s">
        <v>81</v>
      </c>
      <c r="E54" s="27"/>
      <c r="F54" s="187">
        <f>Rates!D83</f>
        <v>8.949E-2</v>
      </c>
      <c r="G54" s="80">
        <f>$F$17</f>
        <v>90000</v>
      </c>
      <c r="H54" s="74">
        <f t="shared" si="12"/>
        <v>8054.1</v>
      </c>
      <c r="I54" s="31"/>
      <c r="J54" s="189">
        <f>Rates!F83</f>
        <v>8.949E-2</v>
      </c>
      <c r="K54" s="80">
        <f>F17</f>
        <v>90000</v>
      </c>
      <c r="L54" s="74">
        <f t="shared" si="13"/>
        <v>8054.1</v>
      </c>
      <c r="M54" s="31"/>
      <c r="N54" s="34">
        <f t="shared" si="10"/>
        <v>0</v>
      </c>
      <c r="O54" s="76">
        <f t="shared" si="11"/>
        <v>0</v>
      </c>
      <c r="S54" s="81"/>
    </row>
    <row r="55" spans="1:19" ht="15.75" thickBot="1" x14ac:dyDescent="0.3">
      <c r="B55" s="90"/>
      <c r="C55" s="91"/>
      <c r="D55" s="92"/>
      <c r="E55" s="91"/>
      <c r="F55" s="93"/>
      <c r="G55" s="94"/>
      <c r="H55" s="95"/>
      <c r="I55" s="96"/>
      <c r="J55" s="93"/>
      <c r="K55" s="97"/>
      <c r="L55" s="95"/>
      <c r="M55" s="96"/>
      <c r="N55" s="98"/>
      <c r="O55" s="99"/>
    </row>
    <row r="56" spans="1:19" x14ac:dyDescent="0.25">
      <c r="B56" s="100" t="s">
        <v>106</v>
      </c>
      <c r="C56" s="25"/>
      <c r="D56" s="25"/>
      <c r="E56" s="25"/>
      <c r="F56" s="101"/>
      <c r="G56" s="102"/>
      <c r="H56" s="103">
        <f>SUM(H50:H54,H49)</f>
        <v>11851.981896000001</v>
      </c>
      <c r="I56" s="104"/>
      <c r="J56" s="105"/>
      <c r="K56" s="105"/>
      <c r="L56" s="181">
        <f>SUM(L50:L54,L49)</f>
        <v>11238.949364249998</v>
      </c>
      <c r="M56" s="106"/>
      <c r="N56" s="107">
        <f t="shared" ref="N56" si="14">L56-H56</f>
        <v>-613.03253175000282</v>
      </c>
      <c r="O56" s="108">
        <f t="shared" ref="O56" si="15">IF((H56)=0,"",(N56/H56))</f>
        <v>-5.1724052325535445E-2</v>
      </c>
      <c r="S56" s="81"/>
    </row>
    <row r="57" spans="1:19" x14ac:dyDescent="0.25">
      <c r="B57" s="109" t="s">
        <v>46</v>
      </c>
      <c r="C57" s="25"/>
      <c r="D57" s="25"/>
      <c r="E57" s="25"/>
      <c r="F57" s="110">
        <v>0.13</v>
      </c>
      <c r="G57" s="111"/>
      <c r="H57" s="112">
        <f>H56*F57</f>
        <v>1540.7576464800002</v>
      </c>
      <c r="I57" s="113"/>
      <c r="J57" s="114">
        <v>0.13</v>
      </c>
      <c r="K57" s="113"/>
      <c r="L57" s="115">
        <f>L56*J57</f>
        <v>1461.0634173524998</v>
      </c>
      <c r="M57" s="116"/>
      <c r="N57" s="117">
        <f t="shared" si="10"/>
        <v>-79.694229127500421</v>
      </c>
      <c r="O57" s="118">
        <f t="shared" si="11"/>
        <v>-5.172405232553548E-2</v>
      </c>
      <c r="S57" s="81"/>
    </row>
    <row r="58" spans="1:19" ht="15.75" thickBot="1" x14ac:dyDescent="0.3">
      <c r="B58" s="119" t="s">
        <v>52</v>
      </c>
      <c r="C58" s="25"/>
      <c r="D58" s="25"/>
      <c r="E58" s="25"/>
      <c r="F58" s="120"/>
      <c r="G58" s="111"/>
      <c r="H58" s="112">
        <f>H56+H57</f>
        <v>13392.739542480002</v>
      </c>
      <c r="I58" s="113"/>
      <c r="J58" s="113"/>
      <c r="K58" s="113"/>
      <c r="L58" s="115">
        <f>L56+L57</f>
        <v>12700.012781602498</v>
      </c>
      <c r="M58" s="116"/>
      <c r="N58" s="117">
        <f t="shared" si="10"/>
        <v>-692.72676087750369</v>
      </c>
      <c r="O58" s="118">
        <f t="shared" si="11"/>
        <v>-5.172405232553548E-2</v>
      </c>
      <c r="S58" s="81"/>
    </row>
    <row r="59" spans="1:19" s="89" customFormat="1" ht="15.75" thickBot="1" x14ac:dyDescent="0.25">
      <c r="B59" s="134"/>
      <c r="C59" s="135"/>
      <c r="D59" s="136"/>
      <c r="E59" s="135"/>
      <c r="F59" s="93"/>
      <c r="G59" s="137"/>
      <c r="H59" s="95"/>
      <c r="I59" s="138"/>
      <c r="J59" s="93"/>
      <c r="K59" s="139"/>
      <c r="L59" s="95"/>
      <c r="M59" s="138"/>
      <c r="N59" s="140"/>
      <c r="O59" s="99"/>
    </row>
    <row r="60" spans="1:19" x14ac:dyDescent="0.25">
      <c r="L60" s="81"/>
    </row>
    <row r="61" spans="1:19" x14ac:dyDescent="0.25">
      <c r="B61" s="16" t="s">
        <v>50</v>
      </c>
      <c r="F61" s="179">
        <f>Rates!D76</f>
        <v>8.6400000000000005E-2</v>
      </c>
      <c r="J61" s="179">
        <f>Rates!F76</f>
        <v>9.1700000000000004E-2</v>
      </c>
    </row>
    <row r="63" spans="1:19" x14ac:dyDescent="0.25">
      <c r="A63" s="180"/>
      <c r="B63" s="10" t="s">
        <v>51</v>
      </c>
    </row>
  </sheetData>
  <mergeCells count="11">
    <mergeCell ref="D20:D21"/>
    <mergeCell ref="N20:N21"/>
    <mergeCell ref="O20:O21"/>
    <mergeCell ref="A3:K3"/>
    <mergeCell ref="B10:O10"/>
    <mergeCell ref="B11:O11"/>
    <mergeCell ref="D14:O14"/>
    <mergeCell ref="I17:J17"/>
    <mergeCell ref="F19:H19"/>
    <mergeCell ref="J19:L19"/>
    <mergeCell ref="N19:O19"/>
  </mergeCells>
  <dataValidations count="2">
    <dataValidation type="list" allowBlank="1" showInputMessage="1" showErrorMessage="1" sqref="E47:E48 E39:E45 E22:E37 E59 E50:E55">
      <formula1>#REF!</formula1>
    </dataValidation>
    <dataValidation type="list" allowBlank="1" showInputMessage="1" showErrorMessage="1" prompt="Select Charge Unit - monthly, per kWh, per kW" sqref="D47:D48 D39:D45 D59 D22:D37 D50:D55">
      <formula1>"Monthly, per kWh, per kW"</formula1>
    </dataValidation>
  </dataValidations>
  <pageMargins left="0.7" right="0.7" top="0.75" bottom="0.75" header="0.3" footer="0.3"/>
  <pageSetup scale="61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3300"/>
    <pageSetUpPr fitToPage="1"/>
  </sheetPr>
  <dimension ref="A1:T76"/>
  <sheetViews>
    <sheetView showGridLines="0" topLeftCell="A37" zoomScaleNormal="100" workbookViewId="0">
      <selection activeCell="D14" sqref="D14:O14"/>
    </sheetView>
  </sheetViews>
  <sheetFormatPr defaultRowHeight="15" x14ac:dyDescent="0.25"/>
  <cols>
    <col min="1" max="1" width="2.140625" style="10" customWidth="1"/>
    <col min="2" max="2" width="37.5703125" style="10" customWidth="1"/>
    <col min="3" max="3" width="1.28515625" style="10" customWidth="1"/>
    <col min="4" max="4" width="11.28515625" style="10" customWidth="1"/>
    <col min="5" max="5" width="1.28515625" style="10" customWidth="1"/>
    <col min="6" max="6" width="12.28515625" style="10" customWidth="1"/>
    <col min="7" max="7" width="8.5703125" style="10" customWidth="1"/>
    <col min="8" max="8" width="9.7109375" style="10" customWidth="1"/>
    <col min="9" max="9" width="2.85546875" style="10" customWidth="1"/>
    <col min="10" max="10" width="12.140625" style="10" customWidth="1"/>
    <col min="11" max="11" width="8.5703125" style="10" customWidth="1"/>
    <col min="12" max="12" width="9.85546875" style="10" customWidth="1"/>
    <col min="13" max="13" width="2.85546875" style="10" customWidth="1"/>
    <col min="14" max="14" width="12.7109375" style="10" bestFit="1" customWidth="1"/>
    <col min="15" max="15" width="10.85546875" style="10" bestFit="1" customWidth="1"/>
    <col min="16" max="16" width="3.85546875" style="10" customWidth="1"/>
    <col min="17" max="19" width="9.140625" style="10"/>
    <col min="20" max="20" width="9.140625" style="10" customWidth="1"/>
    <col min="21" max="16384" width="9.140625" style="10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O1" s="4">
        <f>EBNUMBER</f>
        <v>0</v>
      </c>
      <c r="P1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 t="s">
        <v>1</v>
      </c>
      <c r="O2" s="6"/>
      <c r="P2"/>
    </row>
    <row r="3" spans="1:20" s="2" customFormat="1" ht="15" customHeight="1" x14ac:dyDescent="0.25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N3" s="3" t="s">
        <v>2</v>
      </c>
      <c r="O3" s="6"/>
      <c r="P3"/>
    </row>
    <row r="4" spans="1:20" s="2" customFormat="1" ht="15" customHeight="1" x14ac:dyDescent="0.25">
      <c r="A4" s="5"/>
      <c r="B4" s="5"/>
      <c r="C4" s="5"/>
      <c r="D4" s="5"/>
      <c r="E4" s="5"/>
      <c r="F4" s="5"/>
      <c r="G4" s="5"/>
      <c r="H4" s="5"/>
      <c r="I4" s="7"/>
      <c r="J4" s="7"/>
      <c r="K4" s="7"/>
      <c r="N4" s="3" t="s">
        <v>3</v>
      </c>
      <c r="O4" s="6"/>
      <c r="P4"/>
    </row>
    <row r="5" spans="1:20" s="2" customFormat="1" ht="15" customHeight="1" x14ac:dyDescent="0.25">
      <c r="C5" s="8"/>
      <c r="D5" s="8"/>
      <c r="E5" s="8"/>
      <c r="N5" s="3" t="s">
        <v>4</v>
      </c>
      <c r="O5" s="9"/>
      <c r="P5"/>
    </row>
    <row r="6" spans="1:20" s="2" customFormat="1" ht="9" customHeight="1" x14ac:dyDescent="0.25">
      <c r="N6" s="3"/>
      <c r="O6" s="4"/>
      <c r="P6"/>
    </row>
    <row r="7" spans="1:20" s="2" customFormat="1" x14ac:dyDescent="0.25">
      <c r="N7" s="3" t="s">
        <v>5</v>
      </c>
      <c r="O7" s="9"/>
      <c r="P7"/>
    </row>
    <row r="8" spans="1:20" s="2" customFormat="1" ht="15" customHeight="1" x14ac:dyDescent="0.25">
      <c r="N8" s="10"/>
      <c r="O8"/>
      <c r="P8"/>
    </row>
    <row r="9" spans="1:20" ht="7.5" customHeight="1" x14ac:dyDescent="0.25">
      <c r="L9"/>
      <c r="M9"/>
      <c r="N9"/>
      <c r="O9"/>
      <c r="P9"/>
    </row>
    <row r="10" spans="1:20" ht="18.75" customHeight="1" x14ac:dyDescent="0.25">
      <c r="B10" s="214" t="s">
        <v>6</v>
      </c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/>
    </row>
    <row r="11" spans="1:20" ht="18.75" customHeight="1" x14ac:dyDescent="0.25">
      <c r="B11" s="214" t="s">
        <v>7</v>
      </c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/>
    </row>
    <row r="12" spans="1:20" ht="7.5" customHeight="1" x14ac:dyDescent="0.25">
      <c r="L12"/>
      <c r="M12"/>
      <c r="N12"/>
      <c r="O12"/>
      <c r="P12"/>
    </row>
    <row r="13" spans="1:20" ht="7.5" customHeight="1" x14ac:dyDescent="0.25">
      <c r="L13"/>
      <c r="M13"/>
      <c r="N13"/>
      <c r="O13"/>
      <c r="P13"/>
    </row>
    <row r="14" spans="1:20" ht="15.75" x14ac:dyDescent="0.25">
      <c r="B14" s="11" t="s">
        <v>8</v>
      </c>
      <c r="D14" s="215" t="s">
        <v>110</v>
      </c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</row>
    <row r="15" spans="1:20" ht="7.5" customHeight="1" x14ac:dyDescent="0.25">
      <c r="B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20" ht="15.75" x14ac:dyDescent="0.25">
      <c r="B16" s="11" t="s">
        <v>9</v>
      </c>
      <c r="D16" s="14" t="s">
        <v>10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2:15" ht="15.75" x14ac:dyDescent="0.25">
      <c r="B17" s="12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2:15" x14ac:dyDescent="0.25">
      <c r="B18" s="15"/>
      <c r="D18" s="16" t="s">
        <v>11</v>
      </c>
      <c r="E18" s="16"/>
      <c r="F18" s="17">
        <v>287</v>
      </c>
      <c r="G18" s="16" t="s">
        <v>12</v>
      </c>
    </row>
    <row r="19" spans="2:15" x14ac:dyDescent="0.25">
      <c r="B19" s="15"/>
    </row>
    <row r="20" spans="2:15" x14ac:dyDescent="0.25">
      <c r="B20" s="15"/>
      <c r="D20" s="18"/>
      <c r="E20" s="18"/>
      <c r="F20" s="216" t="s">
        <v>13</v>
      </c>
      <c r="G20" s="217"/>
      <c r="H20" s="218"/>
      <c r="J20" s="216" t="s">
        <v>14</v>
      </c>
      <c r="K20" s="217"/>
      <c r="L20" s="218"/>
      <c r="N20" s="216" t="s">
        <v>15</v>
      </c>
      <c r="O20" s="218"/>
    </row>
    <row r="21" spans="2:15" x14ac:dyDescent="0.25">
      <c r="B21" s="15"/>
      <c r="D21" s="220" t="s">
        <v>16</v>
      </c>
      <c r="E21" s="19"/>
      <c r="F21" s="20" t="s">
        <v>17</v>
      </c>
      <c r="G21" s="20" t="s">
        <v>18</v>
      </c>
      <c r="H21" s="21" t="s">
        <v>19</v>
      </c>
      <c r="J21" s="20" t="s">
        <v>17</v>
      </c>
      <c r="K21" s="22" t="s">
        <v>18</v>
      </c>
      <c r="L21" s="21" t="s">
        <v>19</v>
      </c>
      <c r="N21" s="222" t="s">
        <v>20</v>
      </c>
      <c r="O21" s="224" t="s">
        <v>21</v>
      </c>
    </row>
    <row r="22" spans="2:15" x14ac:dyDescent="0.25">
      <c r="B22" s="15"/>
      <c r="D22" s="221"/>
      <c r="E22" s="19"/>
      <c r="F22" s="23" t="s">
        <v>22</v>
      </c>
      <c r="G22" s="23"/>
      <c r="H22" s="24" t="s">
        <v>22</v>
      </c>
      <c r="J22" s="23" t="s">
        <v>22</v>
      </c>
      <c r="K22" s="24"/>
      <c r="L22" s="24" t="s">
        <v>22</v>
      </c>
      <c r="N22" s="223"/>
      <c r="O22" s="225"/>
    </row>
    <row r="23" spans="2:15" x14ac:dyDescent="0.25">
      <c r="B23" s="25" t="s">
        <v>23</v>
      </c>
      <c r="C23" s="25"/>
      <c r="D23" s="26" t="s">
        <v>79</v>
      </c>
      <c r="E23" s="27"/>
      <c r="F23" s="28">
        <f>Rates!D36</f>
        <v>26.75</v>
      </c>
      <c r="G23" s="29">
        <v>1</v>
      </c>
      <c r="H23" s="30">
        <f>G23*F23</f>
        <v>26.75</v>
      </c>
      <c r="I23" s="31"/>
      <c r="J23" s="32">
        <f>Rates!F36</f>
        <v>26.75</v>
      </c>
      <c r="K23" s="33">
        <v>1</v>
      </c>
      <c r="L23" s="30">
        <f>K23*J23</f>
        <v>26.75</v>
      </c>
      <c r="M23" s="31"/>
      <c r="N23" s="34">
        <f>L23-H23</f>
        <v>0</v>
      </c>
      <c r="O23" s="35">
        <f>IF((H23)=0,"",(N23/H23))</f>
        <v>0</v>
      </c>
    </row>
    <row r="24" spans="2:15" x14ac:dyDescent="0.25">
      <c r="B24" s="25" t="s">
        <v>24</v>
      </c>
      <c r="C24" s="25"/>
      <c r="D24" s="26"/>
      <c r="E24" s="27"/>
      <c r="F24" s="28"/>
      <c r="G24" s="29">
        <v>1</v>
      </c>
      <c r="H24" s="30">
        <f t="shared" ref="H24:H38" si="0">G24*F24</f>
        <v>0</v>
      </c>
      <c r="I24" s="31"/>
      <c r="J24" s="32"/>
      <c r="K24" s="33">
        <v>1</v>
      </c>
      <c r="L24" s="30">
        <f>K24*J24</f>
        <v>0</v>
      </c>
      <c r="M24" s="31"/>
      <c r="N24" s="34">
        <f>L24-H24</f>
        <v>0</v>
      </c>
      <c r="O24" s="35" t="str">
        <f>IF((H24)=0,"",(N24/H24))</f>
        <v/>
      </c>
    </row>
    <row r="25" spans="2:15" ht="45" x14ac:dyDescent="0.25">
      <c r="B25" s="183" t="str">
        <f>Rates!A40</f>
        <v>SME - Net Deferred Revenue Requirement, effective until December 31, 2016</v>
      </c>
      <c r="C25" s="25"/>
      <c r="D25" s="63" t="s">
        <v>79</v>
      </c>
      <c r="E25" s="27"/>
      <c r="F25" s="32">
        <f>Rates!D40</f>
        <v>3.57</v>
      </c>
      <c r="G25" s="29">
        <v>1</v>
      </c>
      <c r="H25" s="30">
        <f t="shared" si="0"/>
        <v>3.57</v>
      </c>
      <c r="I25" s="31"/>
      <c r="J25" s="32">
        <f>Rates!F40</f>
        <v>3.57</v>
      </c>
      <c r="K25" s="33">
        <v>1</v>
      </c>
      <c r="L25" s="30">
        <f t="shared" ref="L25:L38" si="1">K25*J25</f>
        <v>3.57</v>
      </c>
      <c r="M25" s="31"/>
      <c r="N25" s="34">
        <f t="shared" ref="N25:N39" si="2">L25-H25</f>
        <v>0</v>
      </c>
      <c r="O25" s="35">
        <f t="shared" ref="O25:O39" si="3">IF((H25)=0,"",(N25/H25))</f>
        <v>0</v>
      </c>
    </row>
    <row r="26" spans="2:15" ht="45" x14ac:dyDescent="0.25">
      <c r="B26" s="183" t="str">
        <f>Rates!A41</f>
        <v>SME - Incremental Revenue Requirement, effective until December 31, 2014</v>
      </c>
      <c r="C26" s="25"/>
      <c r="D26" s="63" t="s">
        <v>79</v>
      </c>
      <c r="E26" s="27"/>
      <c r="F26" s="32">
        <f>Rates!D41</f>
        <v>4.6900000000000004</v>
      </c>
      <c r="G26" s="29">
        <v>1</v>
      </c>
      <c r="H26" s="30">
        <f t="shared" si="0"/>
        <v>4.6900000000000004</v>
      </c>
      <c r="I26" s="31"/>
      <c r="J26" s="32">
        <f>Rates!F41</f>
        <v>0</v>
      </c>
      <c r="K26" s="33">
        <v>1</v>
      </c>
      <c r="L26" s="30">
        <f t="shared" si="1"/>
        <v>0</v>
      </c>
      <c r="M26" s="31"/>
      <c r="N26" s="34">
        <f t="shared" si="2"/>
        <v>-4.6900000000000004</v>
      </c>
      <c r="O26" s="35">
        <f t="shared" si="3"/>
        <v>-1</v>
      </c>
    </row>
    <row r="27" spans="2:15" ht="45" x14ac:dyDescent="0.25">
      <c r="B27" s="208" t="str">
        <f>Rates!A42</f>
        <v>Rate Rider for Stranded Meter Assets - effective until December 31, 2015</v>
      </c>
      <c r="C27" s="25"/>
      <c r="D27" s="63" t="s">
        <v>79</v>
      </c>
      <c r="E27" s="27"/>
      <c r="F27" s="32">
        <f>Rates!D42</f>
        <v>0</v>
      </c>
      <c r="G27" s="29">
        <v>1</v>
      </c>
      <c r="H27" s="30">
        <f t="shared" si="0"/>
        <v>0</v>
      </c>
      <c r="I27" s="31"/>
      <c r="J27" s="32">
        <f>Rates!F42</f>
        <v>2.27</v>
      </c>
      <c r="K27" s="33">
        <v>1</v>
      </c>
      <c r="L27" s="30">
        <f t="shared" si="1"/>
        <v>2.27</v>
      </c>
      <c r="M27" s="31"/>
      <c r="N27" s="34">
        <f t="shared" si="2"/>
        <v>2.27</v>
      </c>
      <c r="O27" s="35" t="str">
        <f t="shared" si="3"/>
        <v/>
      </c>
    </row>
    <row r="28" spans="2:15" x14ac:dyDescent="0.25">
      <c r="B28" s="36"/>
      <c r="C28" s="25"/>
      <c r="D28" s="26"/>
      <c r="E28" s="27"/>
      <c r="F28" s="28"/>
      <c r="G28" s="29">
        <v>1</v>
      </c>
      <c r="H28" s="30">
        <f t="shared" si="0"/>
        <v>0</v>
      </c>
      <c r="I28" s="31"/>
      <c r="J28" s="32"/>
      <c r="K28" s="33">
        <v>1</v>
      </c>
      <c r="L28" s="30">
        <f t="shared" si="1"/>
        <v>0</v>
      </c>
      <c r="M28" s="31"/>
      <c r="N28" s="34">
        <f t="shared" si="2"/>
        <v>0</v>
      </c>
      <c r="O28" s="35" t="str">
        <f t="shared" si="3"/>
        <v/>
      </c>
    </row>
    <row r="29" spans="2:15" x14ac:dyDescent="0.25">
      <c r="B29" s="25" t="s">
        <v>25</v>
      </c>
      <c r="C29" s="25"/>
      <c r="D29" s="26" t="s">
        <v>81</v>
      </c>
      <c r="E29" s="27"/>
      <c r="F29" s="28">
        <f>Rates!D37</f>
        <v>0.10290000000000001</v>
      </c>
      <c r="G29" s="29">
        <f>$F$18</f>
        <v>287</v>
      </c>
      <c r="H29" s="30">
        <f t="shared" si="0"/>
        <v>29.532300000000003</v>
      </c>
      <c r="I29" s="31"/>
      <c r="J29" s="32">
        <f>Rates!F37</f>
        <v>0.1323</v>
      </c>
      <c r="K29" s="29">
        <f>$F$18</f>
        <v>287</v>
      </c>
      <c r="L29" s="30">
        <f t="shared" si="1"/>
        <v>37.970100000000002</v>
      </c>
      <c r="M29" s="31"/>
      <c r="N29" s="34">
        <f t="shared" si="2"/>
        <v>8.4377999999999993</v>
      </c>
      <c r="O29" s="35">
        <f t="shared" si="3"/>
        <v>0.28571428571428564</v>
      </c>
    </row>
    <row r="30" spans="2:15" x14ac:dyDescent="0.25">
      <c r="B30" s="25" t="s">
        <v>26</v>
      </c>
      <c r="C30" s="25"/>
      <c r="D30" s="26"/>
      <c r="E30" s="27"/>
      <c r="F30" s="28"/>
      <c r="G30" s="29">
        <f t="shared" ref="G30" si="4">$F$18</f>
        <v>287</v>
      </c>
      <c r="H30" s="30">
        <f t="shared" si="0"/>
        <v>0</v>
      </c>
      <c r="I30" s="31"/>
      <c r="J30" s="32"/>
      <c r="K30" s="29">
        <f t="shared" ref="K30:K38" si="5">$F$18</f>
        <v>287</v>
      </c>
      <c r="L30" s="30">
        <f t="shared" si="1"/>
        <v>0</v>
      </c>
      <c r="M30" s="31"/>
      <c r="N30" s="34">
        <f t="shared" si="2"/>
        <v>0</v>
      </c>
      <c r="O30" s="35" t="str">
        <f t="shared" si="3"/>
        <v/>
      </c>
    </row>
    <row r="31" spans="2:15" x14ac:dyDescent="0.25">
      <c r="B31" s="25" t="s">
        <v>27</v>
      </c>
      <c r="C31" s="25"/>
      <c r="D31" s="26"/>
      <c r="E31" s="27"/>
      <c r="F31" s="28"/>
      <c r="G31" s="29">
        <f>$F$18</f>
        <v>287</v>
      </c>
      <c r="H31" s="30">
        <f t="shared" si="0"/>
        <v>0</v>
      </c>
      <c r="I31" s="31"/>
      <c r="J31" s="32"/>
      <c r="K31" s="29">
        <f t="shared" si="5"/>
        <v>287</v>
      </c>
      <c r="L31" s="30">
        <f t="shared" si="1"/>
        <v>0</v>
      </c>
      <c r="M31" s="31"/>
      <c r="N31" s="34">
        <f t="shared" si="2"/>
        <v>0</v>
      </c>
      <c r="O31" s="35" t="str">
        <f t="shared" si="3"/>
        <v/>
      </c>
    </row>
    <row r="32" spans="2:15" ht="45" x14ac:dyDescent="0.25">
      <c r="B32" s="183" t="str">
        <f>Rates!A5</f>
        <v>Foregone Revenue Recovery - effective until December 31, 2014 (2014)</v>
      </c>
      <c r="C32" s="25"/>
      <c r="D32" s="63" t="s">
        <v>81</v>
      </c>
      <c r="E32" s="27"/>
      <c r="F32" s="32">
        <f>Rates!D38</f>
        <v>5.0000000000000001E-4</v>
      </c>
      <c r="G32" s="29">
        <f t="shared" ref="G32:G38" si="6">$F$18</f>
        <v>287</v>
      </c>
      <c r="H32" s="30">
        <f t="shared" si="0"/>
        <v>0.14350000000000002</v>
      </c>
      <c r="I32" s="31"/>
      <c r="J32" s="32">
        <f>Rates!F38</f>
        <v>0</v>
      </c>
      <c r="K32" s="29">
        <f t="shared" si="5"/>
        <v>287</v>
      </c>
      <c r="L32" s="30">
        <f t="shared" si="1"/>
        <v>0</v>
      </c>
      <c r="M32" s="31"/>
      <c r="N32" s="34">
        <f t="shared" si="2"/>
        <v>-0.14350000000000002</v>
      </c>
      <c r="O32" s="35">
        <f t="shared" si="3"/>
        <v>-1</v>
      </c>
    </row>
    <row r="33" spans="2:15" ht="30" x14ac:dyDescent="0.25">
      <c r="B33" s="183" t="str">
        <f>Rates!A6</f>
        <v>Tax Changes - effective until December 31, 2014</v>
      </c>
      <c r="C33" s="25"/>
      <c r="D33" s="63" t="s">
        <v>81</v>
      </c>
      <c r="E33" s="27"/>
      <c r="F33" s="32">
        <f>Rates!D43</f>
        <v>-5.9999999999999995E-4</v>
      </c>
      <c r="G33" s="29">
        <f t="shared" si="6"/>
        <v>287</v>
      </c>
      <c r="H33" s="30">
        <f t="shared" si="0"/>
        <v>-0.17219999999999999</v>
      </c>
      <c r="I33" s="31"/>
      <c r="J33" s="32">
        <f>Rates!F43</f>
        <v>0</v>
      </c>
      <c r="K33" s="29">
        <f t="shared" si="5"/>
        <v>287</v>
      </c>
      <c r="L33" s="30">
        <f t="shared" si="1"/>
        <v>0</v>
      </c>
      <c r="M33" s="31"/>
      <c r="N33" s="34">
        <f t="shared" si="2"/>
        <v>0.17219999999999999</v>
      </c>
      <c r="O33" s="35">
        <f t="shared" si="3"/>
        <v>-1</v>
      </c>
    </row>
    <row r="34" spans="2:15" ht="30" x14ac:dyDescent="0.25">
      <c r="B34" s="183" t="str">
        <f>Rates!A39</f>
        <v>Deferral/Variance Account Disposition - effective until June 30, 2019</v>
      </c>
      <c r="C34" s="25"/>
      <c r="D34" s="63" t="s">
        <v>81</v>
      </c>
      <c r="E34" s="27"/>
      <c r="F34" s="32">
        <f>Rates!D39</f>
        <v>3.0700000000000002E-2</v>
      </c>
      <c r="G34" s="29">
        <f t="shared" si="6"/>
        <v>287</v>
      </c>
      <c r="H34" s="30">
        <f t="shared" si="0"/>
        <v>8.8109000000000002</v>
      </c>
      <c r="I34" s="31"/>
      <c r="J34" s="32">
        <f>Rates!F39</f>
        <v>3.0700000000000002E-2</v>
      </c>
      <c r="K34" s="29">
        <f t="shared" si="5"/>
        <v>287</v>
      </c>
      <c r="L34" s="30">
        <f t="shared" si="1"/>
        <v>8.8109000000000002</v>
      </c>
      <c r="M34" s="31"/>
      <c r="N34" s="34">
        <f t="shared" si="2"/>
        <v>0</v>
      </c>
      <c r="O34" s="35">
        <f t="shared" si="3"/>
        <v>0</v>
      </c>
    </row>
    <row r="35" spans="2:15" ht="45" x14ac:dyDescent="0.25">
      <c r="B35" s="183" t="str">
        <f>Rates!A63</f>
        <v>Rate Rider for the Disposition of Account 1575 &amp; 1576 - effective until December 31, 2019</v>
      </c>
      <c r="C35" s="25"/>
      <c r="D35" s="63" t="s">
        <v>81</v>
      </c>
      <c r="E35" s="27"/>
      <c r="F35" s="32">
        <f>Rates!D47</f>
        <v>0</v>
      </c>
      <c r="G35" s="29">
        <f t="shared" si="6"/>
        <v>287</v>
      </c>
      <c r="H35" s="30">
        <f t="shared" si="0"/>
        <v>0</v>
      </c>
      <c r="I35" s="31"/>
      <c r="J35" s="32">
        <f>Rates!F47</f>
        <v>-1.9E-3</v>
      </c>
      <c r="K35" s="29">
        <f t="shared" si="5"/>
        <v>287</v>
      </c>
      <c r="L35" s="30">
        <f t="shared" si="1"/>
        <v>-0.54530000000000001</v>
      </c>
      <c r="M35" s="31"/>
      <c r="N35" s="34">
        <f t="shared" si="2"/>
        <v>-0.54530000000000001</v>
      </c>
      <c r="O35" s="35" t="str">
        <f t="shared" si="3"/>
        <v/>
      </c>
    </row>
    <row r="36" spans="2:15" x14ac:dyDescent="0.25">
      <c r="B36" s="37"/>
      <c r="C36" s="25"/>
      <c r="D36" s="26"/>
      <c r="E36" s="27"/>
      <c r="F36" s="28"/>
      <c r="G36" s="29">
        <f t="shared" si="6"/>
        <v>287</v>
      </c>
      <c r="H36" s="30">
        <f t="shared" si="0"/>
        <v>0</v>
      </c>
      <c r="I36" s="31"/>
      <c r="J36" s="32"/>
      <c r="K36" s="29">
        <f t="shared" si="5"/>
        <v>287</v>
      </c>
      <c r="L36" s="30">
        <f t="shared" si="1"/>
        <v>0</v>
      </c>
      <c r="M36" s="31"/>
      <c r="N36" s="34">
        <f t="shared" si="2"/>
        <v>0</v>
      </c>
      <c r="O36" s="35" t="str">
        <f t="shared" si="3"/>
        <v/>
      </c>
    </row>
    <row r="37" spans="2:15" x14ac:dyDescent="0.25">
      <c r="B37" s="37"/>
      <c r="C37" s="25"/>
      <c r="D37" s="26"/>
      <c r="E37" s="27"/>
      <c r="F37" s="28"/>
      <c r="G37" s="29">
        <f t="shared" si="6"/>
        <v>287</v>
      </c>
      <c r="H37" s="30">
        <f t="shared" si="0"/>
        <v>0</v>
      </c>
      <c r="I37" s="31"/>
      <c r="J37" s="32"/>
      <c r="K37" s="29">
        <f t="shared" si="5"/>
        <v>287</v>
      </c>
      <c r="L37" s="30">
        <f t="shared" si="1"/>
        <v>0</v>
      </c>
      <c r="M37" s="31"/>
      <c r="N37" s="34">
        <f t="shared" si="2"/>
        <v>0</v>
      </c>
      <c r="O37" s="35" t="str">
        <f t="shared" si="3"/>
        <v/>
      </c>
    </row>
    <row r="38" spans="2:15" x14ac:dyDescent="0.25">
      <c r="B38" s="37"/>
      <c r="C38" s="25"/>
      <c r="D38" s="26"/>
      <c r="E38" s="27"/>
      <c r="F38" s="28"/>
      <c r="G38" s="29">
        <f t="shared" si="6"/>
        <v>287</v>
      </c>
      <c r="H38" s="30">
        <f t="shared" si="0"/>
        <v>0</v>
      </c>
      <c r="I38" s="31"/>
      <c r="J38" s="32"/>
      <c r="K38" s="29">
        <f t="shared" si="5"/>
        <v>287</v>
      </c>
      <c r="L38" s="30">
        <f t="shared" si="1"/>
        <v>0</v>
      </c>
      <c r="M38" s="31"/>
      <c r="N38" s="34">
        <f t="shared" si="2"/>
        <v>0</v>
      </c>
      <c r="O38" s="35" t="str">
        <f t="shared" si="3"/>
        <v/>
      </c>
    </row>
    <row r="39" spans="2:15" s="49" customFormat="1" x14ac:dyDescent="0.25">
      <c r="B39" s="38" t="s">
        <v>28</v>
      </c>
      <c r="C39" s="39"/>
      <c r="D39" s="40"/>
      <c r="E39" s="39"/>
      <c r="F39" s="41"/>
      <c r="G39" s="42"/>
      <c r="H39" s="43">
        <f>SUM(H23:H38)</f>
        <v>73.3245</v>
      </c>
      <c r="I39" s="44"/>
      <c r="J39" s="45"/>
      <c r="K39" s="46"/>
      <c r="L39" s="43">
        <f>SUM(L23:L38)</f>
        <v>78.825700000000012</v>
      </c>
      <c r="M39" s="44"/>
      <c r="N39" s="47">
        <f t="shared" si="2"/>
        <v>5.5012000000000114</v>
      </c>
      <c r="O39" s="48">
        <f t="shared" si="3"/>
        <v>7.5025400786913124E-2</v>
      </c>
    </row>
    <row r="40" spans="2:15" ht="38.25" x14ac:dyDescent="0.25">
      <c r="B40" s="50" t="str">
        <f>Rates!A44</f>
        <v>Rate Rider for the Disposition of Deferral/Variance Accounts (2014) - effective until December 31, 2015</v>
      </c>
      <c r="C40" s="25"/>
      <c r="D40" s="63" t="s">
        <v>81</v>
      </c>
      <c r="E40" s="27"/>
      <c r="F40" s="32">
        <f>Rates!D44</f>
        <v>0</v>
      </c>
      <c r="G40" s="29">
        <f>$F$18</f>
        <v>287</v>
      </c>
      <c r="H40" s="30">
        <f>G40*F40</f>
        <v>0</v>
      </c>
      <c r="I40" s="31"/>
      <c r="J40" s="32">
        <f>Rates!F44</f>
        <v>-6.45E-3</v>
      </c>
      <c r="K40" s="29">
        <f>$F$18</f>
        <v>287</v>
      </c>
      <c r="L40" s="30">
        <f>K40*J40</f>
        <v>-1.8511500000000001</v>
      </c>
      <c r="M40" s="31"/>
      <c r="N40" s="34">
        <f>L40-H40</f>
        <v>-1.8511500000000001</v>
      </c>
      <c r="O40" s="35" t="str">
        <f>IF((H40)=0,"",(N40/H40))</f>
        <v/>
      </c>
    </row>
    <row r="41" spans="2:15" ht="38.25" x14ac:dyDescent="0.25">
      <c r="B41" s="50" t="str">
        <f>Rates!A45</f>
        <v>Rate Rider for the Disposition of Global Adjustment Sub-Account (2014) - effective until December 31, 2015</v>
      </c>
      <c r="C41" s="25"/>
      <c r="D41" s="63" t="s">
        <v>81</v>
      </c>
      <c r="E41" s="27"/>
      <c r="F41" s="32">
        <f>Rates!D45</f>
        <v>0</v>
      </c>
      <c r="G41" s="29">
        <f t="shared" ref="G41:G44" si="7">$F$18</f>
        <v>287</v>
      </c>
      <c r="H41" s="30">
        <f t="shared" ref="H41:H45" si="8">G41*F41</f>
        <v>0</v>
      </c>
      <c r="I41" s="51"/>
      <c r="J41" s="32">
        <v>0</v>
      </c>
      <c r="K41" s="29">
        <f t="shared" ref="K41:K44" si="9">$F$18</f>
        <v>287</v>
      </c>
      <c r="L41" s="30">
        <f t="shared" ref="L41:L45" si="10">K41*J41</f>
        <v>0</v>
      </c>
      <c r="M41" s="52"/>
      <c r="N41" s="34">
        <f t="shared" ref="N41:N45" si="11">L41-H41</f>
        <v>0</v>
      </c>
      <c r="O41" s="35" t="str">
        <f t="shared" ref="O41:O45" si="12">IF((H41)=0,"",(N41/H41))</f>
        <v/>
      </c>
    </row>
    <row r="42" spans="2:15" x14ac:dyDescent="0.25">
      <c r="B42" s="50"/>
      <c r="C42" s="25"/>
      <c r="D42" s="26"/>
      <c r="E42" s="27"/>
      <c r="F42" s="28"/>
      <c r="G42" s="29">
        <f t="shared" si="7"/>
        <v>287</v>
      </c>
      <c r="H42" s="30">
        <f t="shared" si="8"/>
        <v>0</v>
      </c>
      <c r="I42" s="51"/>
      <c r="J42" s="32"/>
      <c r="K42" s="29">
        <f t="shared" si="9"/>
        <v>287</v>
      </c>
      <c r="L42" s="30">
        <f t="shared" si="10"/>
        <v>0</v>
      </c>
      <c r="M42" s="52"/>
      <c r="N42" s="34">
        <f t="shared" si="11"/>
        <v>0</v>
      </c>
      <c r="O42" s="35" t="str">
        <f t="shared" si="12"/>
        <v/>
      </c>
    </row>
    <row r="43" spans="2:15" x14ac:dyDescent="0.25">
      <c r="B43" s="50"/>
      <c r="C43" s="25"/>
      <c r="D43" s="26"/>
      <c r="E43" s="27"/>
      <c r="F43" s="28"/>
      <c r="G43" s="29">
        <f t="shared" si="7"/>
        <v>287</v>
      </c>
      <c r="H43" s="30">
        <f t="shared" si="8"/>
        <v>0</v>
      </c>
      <c r="I43" s="51"/>
      <c r="J43" s="32"/>
      <c r="K43" s="29">
        <f t="shared" si="9"/>
        <v>287</v>
      </c>
      <c r="L43" s="30">
        <f t="shared" si="10"/>
        <v>0</v>
      </c>
      <c r="M43" s="52"/>
      <c r="N43" s="34">
        <f t="shared" si="11"/>
        <v>0</v>
      </c>
      <c r="O43" s="35" t="str">
        <f t="shared" si="12"/>
        <v/>
      </c>
    </row>
    <row r="44" spans="2:15" x14ac:dyDescent="0.25">
      <c r="B44" s="53" t="s">
        <v>29</v>
      </c>
      <c r="C44" s="25"/>
      <c r="D44" s="26"/>
      <c r="E44" s="27"/>
      <c r="F44" s="28"/>
      <c r="G44" s="29">
        <f t="shared" si="7"/>
        <v>287</v>
      </c>
      <c r="H44" s="30">
        <f>G44*F44</f>
        <v>0</v>
      </c>
      <c r="I44" s="31"/>
      <c r="J44" s="32"/>
      <c r="K44" s="29">
        <f t="shared" si="9"/>
        <v>287</v>
      </c>
      <c r="L44" s="30">
        <f>K44*J44</f>
        <v>0</v>
      </c>
      <c r="M44" s="31"/>
      <c r="N44" s="34">
        <f>L44-H44</f>
        <v>0</v>
      </c>
      <c r="O44" s="35" t="str">
        <f>IF((H44)=0,"",(N44/H44))</f>
        <v/>
      </c>
    </row>
    <row r="45" spans="2:15" x14ac:dyDescent="0.25">
      <c r="B45" s="53" t="s">
        <v>30</v>
      </c>
      <c r="C45" s="25"/>
      <c r="D45" s="26" t="s">
        <v>81</v>
      </c>
      <c r="E45" s="27"/>
      <c r="F45" s="54">
        <f>IF(ISBLANK(D16)=TRUE, 0, IF(D16="TOU", 0.64*$F$55+0.18*$F$56+0.18*$F$57, IF(AND(D16="non-TOU", G59&gt;0), F59,F58)))</f>
        <v>8.8919999999999999E-2</v>
      </c>
      <c r="G45" s="55">
        <f>$F$18*(1+$F$74)-$F$18</f>
        <v>24.796800000000019</v>
      </c>
      <c r="H45" s="30">
        <f t="shared" si="8"/>
        <v>2.2049314560000015</v>
      </c>
      <c r="I45" s="31"/>
      <c r="J45" s="56">
        <f>0.64*$F$55+0.18*$F$56+0.18*$F$57</f>
        <v>8.8919999999999999E-2</v>
      </c>
      <c r="K45" s="55">
        <f>$F$18*(1+$J$74)-$F$18</f>
        <v>26.317899999999952</v>
      </c>
      <c r="L45" s="30">
        <f t="shared" si="10"/>
        <v>2.3401876679999956</v>
      </c>
      <c r="M45" s="31"/>
      <c r="N45" s="34">
        <f t="shared" si="11"/>
        <v>0.13525621199999405</v>
      </c>
      <c r="O45" s="35">
        <f t="shared" si="12"/>
        <v>6.1342592592589854E-2</v>
      </c>
    </row>
    <row r="46" spans="2:15" x14ac:dyDescent="0.25">
      <c r="B46" s="53" t="s">
        <v>31</v>
      </c>
      <c r="C46" s="25"/>
      <c r="D46" s="26" t="s">
        <v>79</v>
      </c>
      <c r="E46" s="27"/>
      <c r="F46" s="54">
        <f>Rates!D52</f>
        <v>0.79</v>
      </c>
      <c r="G46" s="29">
        <v>1</v>
      </c>
      <c r="H46" s="30">
        <f>G46*F46</f>
        <v>0.79</v>
      </c>
      <c r="I46" s="31"/>
      <c r="J46" s="54">
        <f>Rates!F52</f>
        <v>0.79</v>
      </c>
      <c r="K46" s="29">
        <v>1</v>
      </c>
      <c r="L46" s="30">
        <f>K46*J46</f>
        <v>0.79</v>
      </c>
      <c r="M46" s="31"/>
      <c r="N46" s="34">
        <f>L46-H46</f>
        <v>0</v>
      </c>
      <c r="O46" s="35"/>
    </row>
    <row r="47" spans="2:15" ht="25.5" x14ac:dyDescent="0.25">
      <c r="B47" s="57" t="s">
        <v>32</v>
      </c>
      <c r="C47" s="58"/>
      <c r="D47" s="58"/>
      <c r="E47" s="58"/>
      <c r="F47" s="59"/>
      <c r="G47" s="60"/>
      <c r="H47" s="61">
        <f>SUM(H40:H46)+H39</f>
        <v>76.319431456000004</v>
      </c>
      <c r="I47" s="44"/>
      <c r="J47" s="60"/>
      <c r="K47" s="62"/>
      <c r="L47" s="61">
        <f>SUM(L40:L46)+L39</f>
        <v>80.104737668000013</v>
      </c>
      <c r="M47" s="44"/>
      <c r="N47" s="47">
        <f t="shared" ref="N47:N65" si="13">L47-H47</f>
        <v>3.7853062120000089</v>
      </c>
      <c r="O47" s="48">
        <f t="shared" ref="O47:O65" si="14">IF((H47)=0,"",(N47/H47))</f>
        <v>4.9598197205941316E-2</v>
      </c>
    </row>
    <row r="48" spans="2:15" x14ac:dyDescent="0.25">
      <c r="B48" s="31" t="s">
        <v>33</v>
      </c>
      <c r="C48" s="31"/>
      <c r="D48" s="63" t="s">
        <v>81</v>
      </c>
      <c r="E48" s="64"/>
      <c r="F48" s="32">
        <f>Rates!D48</f>
        <v>7.0000000000000001E-3</v>
      </c>
      <c r="G48" s="65">
        <f>F18*(1+F74)</f>
        <v>311.79680000000002</v>
      </c>
      <c r="H48" s="30">
        <f>G48*F48</f>
        <v>2.1825776000000001</v>
      </c>
      <c r="I48" s="31"/>
      <c r="J48" s="32">
        <f>Rates!F48</f>
        <v>7.1999999999999998E-3</v>
      </c>
      <c r="K48" s="66">
        <f>F18*(1+J74)</f>
        <v>313.31789999999995</v>
      </c>
      <c r="L48" s="30">
        <f>K48*J48</f>
        <v>2.2558888799999997</v>
      </c>
      <c r="M48" s="31"/>
      <c r="N48" s="34">
        <f t="shared" si="13"/>
        <v>7.3311279999999535E-2</v>
      </c>
      <c r="O48" s="35">
        <f t="shared" si="14"/>
        <v>3.3589312013464961E-2</v>
      </c>
    </row>
    <row r="49" spans="2:19" ht="30" x14ac:dyDescent="0.25">
      <c r="B49" s="67" t="s">
        <v>34</v>
      </c>
      <c r="C49" s="31"/>
      <c r="D49" s="63" t="s">
        <v>81</v>
      </c>
      <c r="E49" s="64"/>
      <c r="F49" s="32">
        <f>Rates!D49</f>
        <v>5.1000000000000004E-3</v>
      </c>
      <c r="G49" s="65">
        <f>G48</f>
        <v>311.79680000000002</v>
      </c>
      <c r="H49" s="30">
        <f>G49*F49</f>
        <v>1.5901636800000003</v>
      </c>
      <c r="I49" s="31"/>
      <c r="J49" s="32">
        <f>Rates!F49</f>
        <v>5.1999999999999998E-3</v>
      </c>
      <c r="K49" s="66">
        <f>K48</f>
        <v>313.31789999999995</v>
      </c>
      <c r="L49" s="30">
        <f>K49*J49</f>
        <v>1.6292530799999996</v>
      </c>
      <c r="M49" s="31"/>
      <c r="N49" s="34">
        <f t="shared" si="13"/>
        <v>3.9089399999999275E-2</v>
      </c>
      <c r="O49" s="35">
        <f t="shared" si="14"/>
        <v>2.4581997747552167E-2</v>
      </c>
    </row>
    <row r="50" spans="2:19" ht="25.5" x14ac:dyDescent="0.25">
      <c r="B50" s="57" t="s">
        <v>35</v>
      </c>
      <c r="C50" s="39"/>
      <c r="D50" s="39"/>
      <c r="E50" s="39"/>
      <c r="F50" s="68"/>
      <c r="G50" s="60"/>
      <c r="H50" s="61">
        <f>SUM(H47:H49)</f>
        <v>80.092172736000009</v>
      </c>
      <c r="I50" s="69"/>
      <c r="J50" s="70"/>
      <c r="K50" s="71"/>
      <c r="L50" s="61">
        <f>SUM(L47:L49)</f>
        <v>83.989879628000011</v>
      </c>
      <c r="M50" s="69"/>
      <c r="N50" s="47">
        <f t="shared" si="13"/>
        <v>3.8977068920000022</v>
      </c>
      <c r="O50" s="48">
        <f t="shared" si="14"/>
        <v>4.8665266016039196E-2</v>
      </c>
    </row>
    <row r="51" spans="2:19" ht="30" x14ac:dyDescent="0.25">
      <c r="B51" s="72" t="s">
        <v>36</v>
      </c>
      <c r="C51" s="25"/>
      <c r="D51" s="63" t="s">
        <v>81</v>
      </c>
      <c r="E51" s="27"/>
      <c r="F51" s="75">
        <f>Rates!D50</f>
        <v>4.4000000000000003E-3</v>
      </c>
      <c r="G51" s="65">
        <f>G49</f>
        <v>311.79680000000002</v>
      </c>
      <c r="H51" s="74">
        <f t="shared" ref="H51:H57" si="15">G51*F51</f>
        <v>1.3719059200000001</v>
      </c>
      <c r="I51" s="31"/>
      <c r="J51" s="75">
        <f>Rates!F50</f>
        <v>4.4000000000000003E-3</v>
      </c>
      <c r="K51" s="66">
        <f>K49</f>
        <v>313.31789999999995</v>
      </c>
      <c r="L51" s="74">
        <f t="shared" ref="L51:L57" si="16">K51*J51</f>
        <v>1.3785987599999998</v>
      </c>
      <c r="M51" s="31"/>
      <c r="N51" s="34">
        <f t="shared" si="13"/>
        <v>6.6928399999997001E-3</v>
      </c>
      <c r="O51" s="76">
        <f t="shared" si="14"/>
        <v>4.8784977908687063E-3</v>
      </c>
    </row>
    <row r="52" spans="2:19" ht="30" x14ac:dyDescent="0.25">
      <c r="B52" s="72" t="s">
        <v>37</v>
      </c>
      <c r="C52" s="25"/>
      <c r="D52" s="63" t="s">
        <v>81</v>
      </c>
      <c r="E52" s="27"/>
      <c r="F52" s="75">
        <f>Rates!D51</f>
        <v>1.2999999999999999E-3</v>
      </c>
      <c r="G52" s="65">
        <f>G49</f>
        <v>311.79680000000002</v>
      </c>
      <c r="H52" s="74">
        <f t="shared" si="15"/>
        <v>0.40533584</v>
      </c>
      <c r="I52" s="31"/>
      <c r="J52" s="75">
        <f>Rates!F51</f>
        <v>1.2999999999999999E-3</v>
      </c>
      <c r="K52" s="66">
        <f>K49</f>
        <v>313.31789999999995</v>
      </c>
      <c r="L52" s="74">
        <f t="shared" si="16"/>
        <v>0.40731326999999989</v>
      </c>
      <c r="M52" s="31"/>
      <c r="N52" s="34">
        <f t="shared" si="13"/>
        <v>1.9774299999998912E-3</v>
      </c>
      <c r="O52" s="76">
        <f t="shared" si="14"/>
        <v>4.8784977908686569E-3</v>
      </c>
    </row>
    <row r="53" spans="2:19" x14ac:dyDescent="0.25">
      <c r="B53" s="25" t="s">
        <v>38</v>
      </c>
      <c r="C53" s="25"/>
      <c r="D53" s="26" t="s">
        <v>79</v>
      </c>
      <c r="E53" s="27"/>
      <c r="F53" s="73">
        <f>Rates!D53</f>
        <v>0.25</v>
      </c>
      <c r="G53" s="29">
        <v>1</v>
      </c>
      <c r="H53" s="74">
        <f t="shared" si="15"/>
        <v>0.25</v>
      </c>
      <c r="I53" s="31"/>
      <c r="J53" s="75">
        <f>Rates!F53</f>
        <v>0.25</v>
      </c>
      <c r="K53" s="33">
        <v>1</v>
      </c>
      <c r="L53" s="74">
        <f t="shared" si="16"/>
        <v>0.25</v>
      </c>
      <c r="M53" s="31"/>
      <c r="N53" s="34">
        <f t="shared" si="13"/>
        <v>0</v>
      </c>
      <c r="O53" s="76">
        <f t="shared" si="14"/>
        <v>0</v>
      </c>
    </row>
    <row r="54" spans="2:19" x14ac:dyDescent="0.25">
      <c r="B54" s="25" t="s">
        <v>39</v>
      </c>
      <c r="C54" s="25"/>
      <c r="D54" s="26" t="s">
        <v>81</v>
      </c>
      <c r="E54" s="27"/>
      <c r="F54" s="73">
        <f>Rates!D71</f>
        <v>2E-3</v>
      </c>
      <c r="G54" s="77">
        <f>F18</f>
        <v>287</v>
      </c>
      <c r="H54" s="74">
        <f t="shared" si="15"/>
        <v>0.57400000000000007</v>
      </c>
      <c r="I54" s="31"/>
      <c r="J54" s="75">
        <f>Rates!F71</f>
        <v>2E-3</v>
      </c>
      <c r="K54" s="78">
        <f>F18</f>
        <v>287</v>
      </c>
      <c r="L54" s="74">
        <f t="shared" si="16"/>
        <v>0.57400000000000007</v>
      </c>
      <c r="M54" s="31"/>
      <c r="N54" s="34">
        <f t="shared" si="13"/>
        <v>0</v>
      </c>
      <c r="O54" s="76">
        <f t="shared" si="14"/>
        <v>0</v>
      </c>
    </row>
    <row r="55" spans="2:19" x14ac:dyDescent="0.25">
      <c r="B55" s="53" t="s">
        <v>40</v>
      </c>
      <c r="C55" s="25"/>
      <c r="D55" s="26" t="s">
        <v>81</v>
      </c>
      <c r="E55" s="27"/>
      <c r="F55" s="79">
        <f>Rates!D79</f>
        <v>7.1999999999999995E-2</v>
      </c>
      <c r="G55" s="80">
        <f>0.64*$F$18</f>
        <v>183.68</v>
      </c>
      <c r="H55" s="74">
        <f t="shared" si="15"/>
        <v>13.224959999999999</v>
      </c>
      <c r="I55" s="31"/>
      <c r="J55" s="73">
        <f>Rates!F79</f>
        <v>7.1999999999999995E-2</v>
      </c>
      <c r="K55" s="80">
        <f>G55</f>
        <v>183.68</v>
      </c>
      <c r="L55" s="74">
        <f t="shared" si="16"/>
        <v>13.224959999999999</v>
      </c>
      <c r="M55" s="31"/>
      <c r="N55" s="34">
        <f t="shared" si="13"/>
        <v>0</v>
      </c>
      <c r="O55" s="76">
        <f t="shared" si="14"/>
        <v>0</v>
      </c>
      <c r="S55" s="81"/>
    </row>
    <row r="56" spans="2:19" x14ac:dyDescent="0.25">
      <c r="B56" s="53" t="s">
        <v>41</v>
      </c>
      <c r="C56" s="25"/>
      <c r="D56" s="26" t="s">
        <v>81</v>
      </c>
      <c r="E56" s="27"/>
      <c r="F56" s="79">
        <f>Rates!D80</f>
        <v>0.109</v>
      </c>
      <c r="G56" s="80">
        <f>0.18*$F$18</f>
        <v>51.66</v>
      </c>
      <c r="H56" s="74">
        <f t="shared" si="15"/>
        <v>5.6309399999999998</v>
      </c>
      <c r="I56" s="31"/>
      <c r="J56" s="73">
        <f>Rates!F80</f>
        <v>0.109</v>
      </c>
      <c r="K56" s="80">
        <f>G56</f>
        <v>51.66</v>
      </c>
      <c r="L56" s="74">
        <f t="shared" si="16"/>
        <v>5.6309399999999998</v>
      </c>
      <c r="M56" s="31"/>
      <c r="N56" s="34">
        <f t="shared" si="13"/>
        <v>0</v>
      </c>
      <c r="O56" s="76">
        <f t="shared" si="14"/>
        <v>0</v>
      </c>
      <c r="S56" s="81"/>
    </row>
    <row r="57" spans="2:19" x14ac:dyDescent="0.25">
      <c r="B57" s="15" t="s">
        <v>42</v>
      </c>
      <c r="C57" s="25"/>
      <c r="D57" s="26" t="s">
        <v>81</v>
      </c>
      <c r="E57" s="27"/>
      <c r="F57" s="79">
        <f>Rates!D81</f>
        <v>0.129</v>
      </c>
      <c r="G57" s="80">
        <f>0.18*$F$18</f>
        <v>51.66</v>
      </c>
      <c r="H57" s="74">
        <f t="shared" si="15"/>
        <v>6.6641399999999997</v>
      </c>
      <c r="I57" s="31"/>
      <c r="J57" s="73">
        <f>Rates!F81</f>
        <v>0.129</v>
      </c>
      <c r="K57" s="80">
        <f>G57</f>
        <v>51.66</v>
      </c>
      <c r="L57" s="74">
        <f t="shared" si="16"/>
        <v>6.6641399999999997</v>
      </c>
      <c r="M57" s="31"/>
      <c r="N57" s="34">
        <f t="shared" si="13"/>
        <v>0</v>
      </c>
      <c r="O57" s="76">
        <f t="shared" si="14"/>
        <v>0</v>
      </c>
      <c r="S57" s="81"/>
    </row>
    <row r="58" spans="2:19" s="89" customFormat="1" x14ac:dyDescent="0.2">
      <c r="B58" s="82" t="s">
        <v>43</v>
      </c>
      <c r="C58" s="83"/>
      <c r="D58" s="84" t="s">
        <v>81</v>
      </c>
      <c r="E58" s="85"/>
      <c r="F58" s="79">
        <f>Rates!D72</f>
        <v>8.3000000000000004E-2</v>
      </c>
      <c r="G58" s="86">
        <f>IF(AND($T$1=1, F18&gt;=600), 600, IF(AND($T$1=1, AND(F18&lt;600, F18&gt;=0)), F18, IF(AND($T$1=2, F18&gt;=1000), 1000, IF(AND($T$1=2, AND(F18&lt;1000, F18&gt;=0)), F18))))</f>
        <v>287</v>
      </c>
      <c r="H58" s="74">
        <f>G58*F58</f>
        <v>23.821000000000002</v>
      </c>
      <c r="I58" s="87"/>
      <c r="J58" s="73">
        <f>Rates!F72</f>
        <v>8.3000000000000004E-2</v>
      </c>
      <c r="K58" s="86">
        <f>G58</f>
        <v>287</v>
      </c>
      <c r="L58" s="74">
        <f>K58*J58</f>
        <v>23.821000000000002</v>
      </c>
      <c r="M58" s="87"/>
      <c r="N58" s="88">
        <f t="shared" si="13"/>
        <v>0</v>
      </c>
      <c r="O58" s="76">
        <f t="shared" si="14"/>
        <v>0</v>
      </c>
    </row>
    <row r="59" spans="2:19" s="89" customFormat="1" ht="15.75" thickBot="1" x14ac:dyDescent="0.25">
      <c r="B59" s="82" t="s">
        <v>44</v>
      </c>
      <c r="C59" s="83"/>
      <c r="D59" s="84" t="s">
        <v>81</v>
      </c>
      <c r="E59" s="85"/>
      <c r="F59" s="79">
        <f>Rates!D73</f>
        <v>9.7000000000000003E-2</v>
      </c>
      <c r="G59" s="86">
        <f>IF(AND($T$1=1, F18&gt;=600), F18-600, IF(AND($T$1=1, AND(F18&lt;600, F18&gt;=0)), 0, IF(AND($T$1=2, F18&gt;=1000), F18-1000, IF(AND($T$1=2, AND(F18&lt;1000, F18&gt;=0)), 0))))</f>
        <v>0</v>
      </c>
      <c r="H59" s="74">
        <f>G59*F59</f>
        <v>0</v>
      </c>
      <c r="I59" s="87"/>
      <c r="J59" s="73">
        <f>Rates!F73</f>
        <v>9.7000000000000003E-2</v>
      </c>
      <c r="K59" s="86">
        <f>G59</f>
        <v>0</v>
      </c>
      <c r="L59" s="74">
        <f>K59*J59</f>
        <v>0</v>
      </c>
      <c r="M59" s="87"/>
      <c r="N59" s="88">
        <f t="shared" si="13"/>
        <v>0</v>
      </c>
      <c r="O59" s="76" t="str">
        <f t="shared" si="14"/>
        <v/>
      </c>
    </row>
    <row r="60" spans="2:19" ht="15.75" thickBot="1" x14ac:dyDescent="0.3">
      <c r="B60" s="90"/>
      <c r="C60" s="91"/>
      <c r="D60" s="92"/>
      <c r="E60" s="91"/>
      <c r="F60" s="93"/>
      <c r="G60" s="94"/>
      <c r="H60" s="95"/>
      <c r="I60" s="96"/>
      <c r="J60" s="93"/>
      <c r="K60" s="97"/>
      <c r="L60" s="95"/>
      <c r="M60" s="96"/>
      <c r="N60" s="98"/>
      <c r="O60" s="99"/>
    </row>
    <row r="61" spans="2:19" x14ac:dyDescent="0.25">
      <c r="B61" s="100" t="s">
        <v>45</v>
      </c>
      <c r="C61" s="25"/>
      <c r="D61" s="25"/>
      <c r="E61" s="25"/>
      <c r="F61" s="101"/>
      <c r="G61" s="102"/>
      <c r="H61" s="103">
        <f>SUM(H51:H57,H50)</f>
        <v>108.21345449600001</v>
      </c>
      <c r="I61" s="104"/>
      <c r="J61" s="105"/>
      <c r="K61" s="105"/>
      <c r="L61" s="181">
        <f>SUM(L51:L57,L50)</f>
        <v>112.11983165800001</v>
      </c>
      <c r="M61" s="106"/>
      <c r="N61" s="107">
        <f t="shared" ref="N61" si="17">L61-H61</f>
        <v>3.9063771619999983</v>
      </c>
      <c r="O61" s="108">
        <f t="shared" ref="O61" si="18">IF((H61)=0,"",(N61/H61))</f>
        <v>3.6098812113464072E-2</v>
      </c>
      <c r="S61" s="81"/>
    </row>
    <row r="62" spans="2:19" x14ac:dyDescent="0.25">
      <c r="B62" s="109" t="s">
        <v>46</v>
      </c>
      <c r="C62" s="25"/>
      <c r="D62" s="25"/>
      <c r="E62" s="25"/>
      <c r="F62" s="110">
        <v>0.13</v>
      </c>
      <c r="G62" s="111"/>
      <c r="H62" s="112">
        <f>H61*F62</f>
        <v>14.067749084480003</v>
      </c>
      <c r="I62" s="113"/>
      <c r="J62" s="114">
        <v>0.13</v>
      </c>
      <c r="K62" s="113"/>
      <c r="L62" s="115">
        <f>L61*J62</f>
        <v>14.575578115540003</v>
      </c>
      <c r="M62" s="116"/>
      <c r="N62" s="117">
        <f t="shared" si="13"/>
        <v>0.50782903105999999</v>
      </c>
      <c r="O62" s="118">
        <f t="shared" si="14"/>
        <v>3.6098812113464086E-2</v>
      </c>
      <c r="S62" s="81"/>
    </row>
    <row r="63" spans="2:19" x14ac:dyDescent="0.25">
      <c r="B63" s="119" t="s">
        <v>52</v>
      </c>
      <c r="C63" s="25"/>
      <c r="D63" s="25"/>
      <c r="E63" s="25"/>
      <c r="F63" s="120"/>
      <c r="G63" s="111"/>
      <c r="H63" s="112">
        <f>H61+H62</f>
        <v>122.28120358048001</v>
      </c>
      <c r="I63" s="113"/>
      <c r="J63" s="113"/>
      <c r="K63" s="113"/>
      <c r="L63" s="115">
        <f>L61+L62</f>
        <v>126.69540977354001</v>
      </c>
      <c r="M63" s="116"/>
      <c r="N63" s="117">
        <f t="shared" si="13"/>
        <v>4.4142061930599965</v>
      </c>
      <c r="O63" s="118">
        <f t="shared" si="14"/>
        <v>3.6098812113464059E-2</v>
      </c>
      <c r="S63" s="81"/>
    </row>
    <row r="64" spans="2:19" x14ac:dyDescent="0.25">
      <c r="B64" s="226" t="s">
        <v>53</v>
      </c>
      <c r="C64" s="226"/>
      <c r="D64" s="226"/>
      <c r="E64" s="25"/>
      <c r="F64" s="120"/>
      <c r="G64" s="111"/>
      <c r="H64" s="121">
        <f>ROUND(-H63*10%,2)</f>
        <v>-12.23</v>
      </c>
      <c r="I64" s="113"/>
      <c r="J64" s="113"/>
      <c r="K64" s="113"/>
      <c r="L64" s="122">
        <f>ROUND(-L63*10%,2)</f>
        <v>-12.67</v>
      </c>
      <c r="M64" s="116"/>
      <c r="N64" s="123">
        <f t="shared" si="13"/>
        <v>-0.4399999999999995</v>
      </c>
      <c r="O64" s="124">
        <f t="shared" si="14"/>
        <v>3.5977105478331932E-2</v>
      </c>
    </row>
    <row r="65" spans="1:15" ht="15.75" thickBot="1" x14ac:dyDescent="0.3">
      <c r="B65" s="227" t="s">
        <v>47</v>
      </c>
      <c r="C65" s="227"/>
      <c r="D65" s="227"/>
      <c r="E65" s="125"/>
      <c r="F65" s="126"/>
      <c r="G65" s="127"/>
      <c r="H65" s="128">
        <f>H63+H64</f>
        <v>110.05120358048001</v>
      </c>
      <c r="I65" s="129"/>
      <c r="J65" s="129"/>
      <c r="K65" s="129"/>
      <c r="L65" s="130">
        <f>L63+L64</f>
        <v>114.02540977354001</v>
      </c>
      <c r="M65" s="131"/>
      <c r="N65" s="132">
        <f t="shared" si="13"/>
        <v>3.9742061930599988</v>
      </c>
      <c r="O65" s="133">
        <f t="shared" si="14"/>
        <v>3.6112337382604616E-2</v>
      </c>
    </row>
    <row r="66" spans="1:15" s="89" customFormat="1" ht="15.75" thickBot="1" x14ac:dyDescent="0.25">
      <c r="B66" s="134"/>
      <c r="C66" s="135"/>
      <c r="D66" s="136"/>
      <c r="E66" s="135"/>
      <c r="F66" s="93"/>
      <c r="G66" s="137"/>
      <c r="H66" s="95"/>
      <c r="I66" s="138"/>
      <c r="J66" s="93"/>
      <c r="K66" s="139"/>
      <c r="L66" s="95"/>
      <c r="M66" s="138"/>
      <c r="N66" s="140"/>
      <c r="O66" s="99"/>
    </row>
    <row r="67" spans="1:15" s="89" customFormat="1" ht="12.75" x14ac:dyDescent="0.2">
      <c r="B67" s="141" t="s">
        <v>48</v>
      </c>
      <c r="C67" s="83"/>
      <c r="D67" s="83"/>
      <c r="E67" s="83"/>
      <c r="F67" s="142"/>
      <c r="G67" s="143"/>
      <c r="H67" s="144">
        <f>SUM(H58:H59,H50,H51:H54)</f>
        <v>106.51441449600001</v>
      </c>
      <c r="I67" s="145"/>
      <c r="J67" s="146"/>
      <c r="K67" s="146"/>
      <c r="L67" s="182">
        <f>SUM(L58:L59,L50,L51:L54)</f>
        <v>110.42079165800001</v>
      </c>
      <c r="M67" s="147"/>
      <c r="N67" s="148">
        <f t="shared" ref="N67:N71" si="19">L67-H67</f>
        <v>3.9063771619999983</v>
      </c>
      <c r="O67" s="108">
        <f t="shared" ref="O67:O71" si="20">IF((H67)=0,"",(N67/H67))</f>
        <v>3.6674633949630324E-2</v>
      </c>
    </row>
    <row r="68" spans="1:15" s="89" customFormat="1" ht="12.75" x14ac:dyDescent="0.2">
      <c r="B68" s="149" t="s">
        <v>46</v>
      </c>
      <c r="C68" s="83"/>
      <c r="D68" s="83"/>
      <c r="E68" s="83"/>
      <c r="F68" s="150">
        <v>0.13</v>
      </c>
      <c r="G68" s="143"/>
      <c r="H68" s="151">
        <f>H67*F68</f>
        <v>13.846873884480003</v>
      </c>
      <c r="I68" s="152"/>
      <c r="J68" s="153">
        <v>0.13</v>
      </c>
      <c r="K68" s="154"/>
      <c r="L68" s="155">
        <f>L67*J68</f>
        <v>14.354702915540003</v>
      </c>
      <c r="M68" s="156"/>
      <c r="N68" s="157">
        <f t="shared" si="19"/>
        <v>0.50782903105999999</v>
      </c>
      <c r="O68" s="118">
        <f t="shared" si="20"/>
        <v>3.6674633949630338E-2</v>
      </c>
    </row>
    <row r="69" spans="1:15" s="89" customFormat="1" ht="12.75" x14ac:dyDescent="0.2">
      <c r="B69" s="158" t="s">
        <v>52</v>
      </c>
      <c r="C69" s="83"/>
      <c r="D69" s="83"/>
      <c r="E69" s="83"/>
      <c r="F69" s="159"/>
      <c r="G69" s="160"/>
      <c r="H69" s="151">
        <f>H67+H68</f>
        <v>120.36128838048002</v>
      </c>
      <c r="I69" s="152"/>
      <c r="J69" s="152"/>
      <c r="K69" s="152"/>
      <c r="L69" s="155">
        <f>L67+L68</f>
        <v>124.77549457354002</v>
      </c>
      <c r="M69" s="156"/>
      <c r="N69" s="157">
        <f t="shared" si="19"/>
        <v>4.4142061930599965</v>
      </c>
      <c r="O69" s="118">
        <f t="shared" si="20"/>
        <v>3.667463394963031E-2</v>
      </c>
    </row>
    <row r="70" spans="1:15" s="89" customFormat="1" ht="12.75" x14ac:dyDescent="0.2">
      <c r="B70" s="228" t="s">
        <v>53</v>
      </c>
      <c r="C70" s="228"/>
      <c r="D70" s="228"/>
      <c r="E70" s="83"/>
      <c r="F70" s="159"/>
      <c r="G70" s="160"/>
      <c r="H70" s="161">
        <f>ROUND(-H69*10%,2)</f>
        <v>-12.04</v>
      </c>
      <c r="I70" s="152"/>
      <c r="J70" s="152"/>
      <c r="K70" s="152"/>
      <c r="L70" s="162">
        <f>ROUND(-L69*10%,2)</f>
        <v>-12.48</v>
      </c>
      <c r="M70" s="156"/>
      <c r="N70" s="163">
        <f t="shared" si="19"/>
        <v>-0.44000000000000128</v>
      </c>
      <c r="O70" s="124">
        <f t="shared" si="20"/>
        <v>3.6544850498338978E-2</v>
      </c>
    </row>
    <row r="71" spans="1:15" s="89" customFormat="1" ht="13.5" thickBot="1" x14ac:dyDescent="0.25">
      <c r="B71" s="219" t="s">
        <v>49</v>
      </c>
      <c r="C71" s="219"/>
      <c r="D71" s="219"/>
      <c r="E71" s="164"/>
      <c r="F71" s="165"/>
      <c r="G71" s="166"/>
      <c r="H71" s="167">
        <f>SUM(H69:H70)</f>
        <v>108.32128838048001</v>
      </c>
      <c r="I71" s="168"/>
      <c r="J71" s="168"/>
      <c r="K71" s="168"/>
      <c r="L71" s="169">
        <f>SUM(L69:L70)</f>
        <v>112.29549457354001</v>
      </c>
      <c r="M71" s="170"/>
      <c r="N71" s="171">
        <f t="shared" si="19"/>
        <v>3.9742061930599988</v>
      </c>
      <c r="O71" s="172">
        <f t="shared" si="20"/>
        <v>3.6689059486631516E-2</v>
      </c>
    </row>
    <row r="72" spans="1:15" s="89" customFormat="1" ht="15.75" thickBot="1" x14ac:dyDescent="0.25">
      <c r="B72" s="134"/>
      <c r="C72" s="135"/>
      <c r="D72" s="136"/>
      <c r="E72" s="135"/>
      <c r="F72" s="173"/>
      <c r="G72" s="174"/>
      <c r="H72" s="175"/>
      <c r="I72" s="176"/>
      <c r="J72" s="173"/>
      <c r="K72" s="137"/>
      <c r="L72" s="177"/>
      <c r="M72" s="138"/>
      <c r="N72" s="178"/>
      <c r="O72" s="99"/>
    </row>
    <row r="73" spans="1:15" x14ac:dyDescent="0.25">
      <c r="L73" s="81"/>
    </row>
    <row r="74" spans="1:15" x14ac:dyDescent="0.25">
      <c r="B74" s="16" t="s">
        <v>50</v>
      </c>
      <c r="F74" s="179">
        <f>Rates!D76</f>
        <v>8.6400000000000005E-2</v>
      </c>
      <c r="J74" s="179">
        <f>Rates!F76</f>
        <v>9.1700000000000004E-2</v>
      </c>
    </row>
    <row r="76" spans="1:15" x14ac:dyDescent="0.25">
      <c r="A76" s="180"/>
      <c r="B76" s="10" t="s">
        <v>51</v>
      </c>
    </row>
  </sheetData>
  <mergeCells count="14">
    <mergeCell ref="A3:K3"/>
    <mergeCell ref="B10:O10"/>
    <mergeCell ref="B11:O11"/>
    <mergeCell ref="D14:O14"/>
    <mergeCell ref="F20:H20"/>
    <mergeCell ref="J20:L20"/>
    <mergeCell ref="N20:O20"/>
    <mergeCell ref="B71:D71"/>
    <mergeCell ref="D21:D22"/>
    <mergeCell ref="N21:N22"/>
    <mergeCell ref="O21:O22"/>
    <mergeCell ref="B64:D64"/>
    <mergeCell ref="B65:D65"/>
    <mergeCell ref="B70:D70"/>
  </mergeCells>
  <dataValidations count="3">
    <dataValidation type="list" allowBlank="1" showInputMessage="1" showErrorMessage="1" sqref="E48:E49 E40:E46 E23:E38 E51:E60 E72 E66">
      <formula1>#REF!</formula1>
    </dataValidation>
    <dataValidation type="list" allowBlank="1" showInputMessage="1" showErrorMessage="1" prompt="Select Charge Unit - monthly, per kWh, per kW" sqref="D48:D49 D40:D46 D66 D23:D38 D72 D51:D60">
      <formula1>"Monthly, per kWh, per kW"</formula1>
    </dataValidation>
    <dataValidation type="list" allowBlank="1" showInputMessage="1" showErrorMessage="1" sqref="D16">
      <formula1>"TOU, non-TOU"</formula1>
    </dataValidation>
  </dataValidations>
  <pageMargins left="0.7" right="0.7" top="0.75" bottom="0.75" header="0.3" footer="0.3"/>
  <pageSetup scale="51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3300"/>
    <pageSetUpPr fitToPage="1"/>
  </sheetPr>
  <dimension ref="A1:T66"/>
  <sheetViews>
    <sheetView showGridLines="0" topLeftCell="A40" zoomScaleNormal="100" workbookViewId="0">
      <selection activeCell="L51" sqref="L51"/>
    </sheetView>
  </sheetViews>
  <sheetFormatPr defaultRowHeight="15" x14ac:dyDescent="0.25"/>
  <cols>
    <col min="1" max="1" width="2.140625" style="10" customWidth="1"/>
    <col min="2" max="2" width="37.5703125" style="10" customWidth="1"/>
    <col min="3" max="3" width="1.28515625" style="10" customWidth="1"/>
    <col min="4" max="4" width="11.28515625" style="10" customWidth="1"/>
    <col min="5" max="5" width="1.28515625" style="10" customWidth="1"/>
    <col min="6" max="6" width="12.28515625" style="10" customWidth="1"/>
    <col min="7" max="7" width="8.5703125" style="10" customWidth="1"/>
    <col min="8" max="8" width="9.7109375" style="10" customWidth="1"/>
    <col min="9" max="9" width="2.85546875" style="10" customWidth="1"/>
    <col min="10" max="10" width="12.140625" style="10" customWidth="1"/>
    <col min="11" max="11" width="8.5703125" style="10" customWidth="1"/>
    <col min="12" max="12" width="9.85546875" style="10" customWidth="1"/>
    <col min="13" max="13" width="2.85546875" style="10" customWidth="1"/>
    <col min="14" max="14" width="12.7109375" style="10" bestFit="1" customWidth="1"/>
    <col min="15" max="15" width="10.85546875" style="10" bestFit="1" customWidth="1"/>
    <col min="16" max="16" width="3.85546875" style="10" customWidth="1"/>
    <col min="17" max="19" width="9.140625" style="10"/>
    <col min="20" max="20" width="9.140625" style="10" customWidth="1"/>
    <col min="21" max="16384" width="9.140625" style="10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O1" s="4">
        <f>EBNUMBER</f>
        <v>0</v>
      </c>
      <c r="P1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 t="s">
        <v>1</v>
      </c>
      <c r="O2" s="6"/>
      <c r="P2"/>
    </row>
    <row r="3" spans="1:20" s="2" customFormat="1" ht="15" customHeight="1" x14ac:dyDescent="0.25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N3" s="3" t="s">
        <v>2</v>
      </c>
      <c r="O3" s="6"/>
      <c r="P3"/>
    </row>
    <row r="4" spans="1:20" s="2" customFormat="1" ht="15" customHeight="1" x14ac:dyDescent="0.25">
      <c r="A4" s="5"/>
      <c r="B4" s="5"/>
      <c r="C4" s="5"/>
      <c r="D4" s="5"/>
      <c r="E4" s="5"/>
      <c r="F4" s="5"/>
      <c r="G4" s="5"/>
      <c r="H4" s="5"/>
      <c r="I4" s="7"/>
      <c r="J4" s="7"/>
      <c r="K4" s="7"/>
      <c r="N4" s="3" t="s">
        <v>3</v>
      </c>
      <c r="O4" s="6"/>
      <c r="P4"/>
    </row>
    <row r="5" spans="1:20" s="2" customFormat="1" ht="15" customHeight="1" x14ac:dyDescent="0.25">
      <c r="C5" s="8"/>
      <c r="D5" s="8"/>
      <c r="E5" s="8"/>
      <c r="N5" s="3" t="s">
        <v>4</v>
      </c>
      <c r="O5" s="9"/>
      <c r="P5"/>
    </row>
    <row r="6" spans="1:20" s="2" customFormat="1" ht="9" customHeight="1" x14ac:dyDescent="0.25">
      <c r="N6" s="3"/>
      <c r="O6" s="4"/>
      <c r="P6"/>
    </row>
    <row r="7" spans="1:20" s="2" customFormat="1" x14ac:dyDescent="0.25">
      <c r="N7" s="3" t="s">
        <v>5</v>
      </c>
      <c r="O7" s="9"/>
      <c r="P7"/>
    </row>
    <row r="8" spans="1:20" s="2" customFormat="1" ht="15" customHeight="1" x14ac:dyDescent="0.25">
      <c r="N8" s="10"/>
      <c r="O8"/>
      <c r="P8"/>
    </row>
    <row r="9" spans="1:20" ht="7.5" customHeight="1" x14ac:dyDescent="0.25">
      <c r="L9"/>
      <c r="M9"/>
      <c r="N9"/>
      <c r="O9"/>
      <c r="P9"/>
    </row>
    <row r="10" spans="1:20" ht="18.75" customHeight="1" x14ac:dyDescent="0.25">
      <c r="B10" s="214" t="s">
        <v>6</v>
      </c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/>
    </row>
    <row r="11" spans="1:20" ht="18.75" customHeight="1" x14ac:dyDescent="0.25">
      <c r="B11" s="214" t="s">
        <v>7</v>
      </c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/>
    </row>
    <row r="12" spans="1:20" ht="7.5" customHeight="1" x14ac:dyDescent="0.25">
      <c r="L12"/>
      <c r="M12"/>
      <c r="N12"/>
      <c r="O12"/>
      <c r="P12"/>
    </row>
    <row r="13" spans="1:20" ht="7.5" customHeight="1" x14ac:dyDescent="0.25">
      <c r="L13"/>
      <c r="M13"/>
      <c r="N13"/>
      <c r="O13"/>
      <c r="P13"/>
    </row>
    <row r="14" spans="1:20" ht="15.75" x14ac:dyDescent="0.25">
      <c r="B14" s="11" t="s">
        <v>8</v>
      </c>
      <c r="D14" s="215" t="s">
        <v>111</v>
      </c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</row>
    <row r="15" spans="1:20" ht="7.5" customHeight="1" x14ac:dyDescent="0.25">
      <c r="B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20" ht="15.75" x14ac:dyDescent="0.25">
      <c r="B16" s="11" t="s">
        <v>9</v>
      </c>
      <c r="D16" s="14" t="s">
        <v>10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2:15" ht="15.75" x14ac:dyDescent="0.25">
      <c r="B17" s="12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2:15" x14ac:dyDescent="0.25">
      <c r="B18" s="15"/>
      <c r="D18" s="16" t="s">
        <v>11</v>
      </c>
      <c r="E18" s="16"/>
      <c r="F18" s="17">
        <v>1000</v>
      </c>
      <c r="G18" s="16" t="s">
        <v>12</v>
      </c>
    </row>
    <row r="19" spans="2:15" x14ac:dyDescent="0.25">
      <c r="B19" s="15"/>
    </row>
    <row r="20" spans="2:15" x14ac:dyDescent="0.25">
      <c r="B20" s="15"/>
      <c r="D20" s="18"/>
      <c r="E20" s="18"/>
      <c r="F20" s="216" t="s">
        <v>13</v>
      </c>
      <c r="G20" s="217"/>
      <c r="H20" s="218"/>
      <c r="J20" s="216" t="s">
        <v>14</v>
      </c>
      <c r="K20" s="217"/>
      <c r="L20" s="218"/>
      <c r="N20" s="216" t="s">
        <v>15</v>
      </c>
      <c r="O20" s="218"/>
    </row>
    <row r="21" spans="2:15" x14ac:dyDescent="0.25">
      <c r="B21" s="15"/>
      <c r="D21" s="220" t="s">
        <v>16</v>
      </c>
      <c r="E21" s="19"/>
      <c r="F21" s="20" t="s">
        <v>17</v>
      </c>
      <c r="G21" s="20" t="s">
        <v>18</v>
      </c>
      <c r="H21" s="21" t="s">
        <v>19</v>
      </c>
      <c r="J21" s="20" t="s">
        <v>17</v>
      </c>
      <c r="K21" s="22" t="s">
        <v>18</v>
      </c>
      <c r="L21" s="21" t="s">
        <v>19</v>
      </c>
      <c r="N21" s="222" t="s">
        <v>20</v>
      </c>
      <c r="O21" s="224" t="s">
        <v>21</v>
      </c>
    </row>
    <row r="22" spans="2:15" x14ac:dyDescent="0.25">
      <c r="B22" s="15"/>
      <c r="D22" s="221"/>
      <c r="E22" s="19"/>
      <c r="F22" s="23" t="s">
        <v>22</v>
      </c>
      <c r="G22" s="23"/>
      <c r="H22" s="24" t="s">
        <v>22</v>
      </c>
      <c r="J22" s="23" t="s">
        <v>22</v>
      </c>
      <c r="K22" s="24"/>
      <c r="L22" s="24" t="s">
        <v>22</v>
      </c>
      <c r="N22" s="223"/>
      <c r="O22" s="225"/>
    </row>
    <row r="23" spans="2:15" x14ac:dyDescent="0.25">
      <c r="B23" s="25" t="s">
        <v>23</v>
      </c>
      <c r="C23" s="25"/>
      <c r="D23" s="26" t="s">
        <v>79</v>
      </c>
      <c r="E23" s="27"/>
      <c r="F23" s="28">
        <f>Rates!D36</f>
        <v>26.75</v>
      </c>
      <c r="G23" s="29">
        <v>1</v>
      </c>
      <c r="H23" s="30">
        <f>G23*F23</f>
        <v>26.75</v>
      </c>
      <c r="I23" s="31"/>
      <c r="J23" s="32">
        <f>Rates!F36</f>
        <v>26.75</v>
      </c>
      <c r="K23" s="33">
        <v>1</v>
      </c>
      <c r="L23" s="30">
        <f>K23*J23</f>
        <v>26.75</v>
      </c>
      <c r="M23" s="31"/>
      <c r="N23" s="34">
        <f>L23-H23</f>
        <v>0</v>
      </c>
      <c r="O23" s="35">
        <f>IF((H23)=0,"",(N23/H23))</f>
        <v>0</v>
      </c>
    </row>
    <row r="24" spans="2:15" x14ac:dyDescent="0.25">
      <c r="B24" s="25" t="s">
        <v>24</v>
      </c>
      <c r="C24" s="25"/>
      <c r="D24" s="26"/>
      <c r="E24" s="27"/>
      <c r="F24" s="28"/>
      <c r="G24" s="29">
        <v>1</v>
      </c>
      <c r="H24" s="30">
        <f t="shared" ref="H24:H38" si="0">G24*F24</f>
        <v>0</v>
      </c>
      <c r="I24" s="31"/>
      <c r="J24" s="32"/>
      <c r="K24" s="33">
        <v>1</v>
      </c>
      <c r="L24" s="30">
        <f>K24*J24</f>
        <v>0</v>
      </c>
      <c r="M24" s="31"/>
      <c r="N24" s="34">
        <f>L24-H24</f>
        <v>0</v>
      </c>
      <c r="O24" s="35" t="str">
        <f>IF((H24)=0,"",(N24/H24))</f>
        <v/>
      </c>
    </row>
    <row r="25" spans="2:15" ht="45" x14ac:dyDescent="0.25">
      <c r="B25" s="183" t="str">
        <f>Rates!A40</f>
        <v>SME - Net Deferred Revenue Requirement, effective until December 31, 2016</v>
      </c>
      <c r="C25" s="25"/>
      <c r="D25" s="63" t="s">
        <v>79</v>
      </c>
      <c r="E25" s="27"/>
      <c r="F25" s="32">
        <f>Rates!D40</f>
        <v>3.57</v>
      </c>
      <c r="G25" s="29">
        <v>1</v>
      </c>
      <c r="H25" s="30">
        <f t="shared" si="0"/>
        <v>3.57</v>
      </c>
      <c r="I25" s="31"/>
      <c r="J25" s="32">
        <f>Rates!F40</f>
        <v>3.57</v>
      </c>
      <c r="K25" s="33">
        <v>1</v>
      </c>
      <c r="L25" s="30">
        <f t="shared" ref="L25:L38" si="1">K25*J25</f>
        <v>3.57</v>
      </c>
      <c r="M25" s="31"/>
      <c r="N25" s="34">
        <f t="shared" ref="N25:N39" si="2">L25-H25</f>
        <v>0</v>
      </c>
      <c r="O25" s="35">
        <f t="shared" ref="O25:O39" si="3">IF((H25)=0,"",(N25/H25))</f>
        <v>0</v>
      </c>
    </row>
    <row r="26" spans="2:15" ht="45" x14ac:dyDescent="0.25">
      <c r="B26" s="183" t="str">
        <f>Rates!A41</f>
        <v>SME - Incremental Revenue Requirement, effective until December 31, 2014</v>
      </c>
      <c r="C26" s="25"/>
      <c r="D26" s="63" t="s">
        <v>79</v>
      </c>
      <c r="E26" s="27"/>
      <c r="F26" s="32">
        <f>Rates!D41</f>
        <v>4.6900000000000004</v>
      </c>
      <c r="G26" s="29">
        <v>1</v>
      </c>
      <c r="H26" s="30">
        <f t="shared" si="0"/>
        <v>4.6900000000000004</v>
      </c>
      <c r="I26" s="31"/>
      <c r="J26" s="32">
        <f>Rates!F41</f>
        <v>0</v>
      </c>
      <c r="K26" s="33">
        <v>1</v>
      </c>
      <c r="L26" s="30">
        <f t="shared" si="1"/>
        <v>0</v>
      </c>
      <c r="M26" s="31"/>
      <c r="N26" s="34">
        <f t="shared" si="2"/>
        <v>-4.6900000000000004</v>
      </c>
      <c r="O26" s="35">
        <f t="shared" si="3"/>
        <v>-1</v>
      </c>
    </row>
    <row r="27" spans="2:15" ht="30" x14ac:dyDescent="0.25">
      <c r="B27" s="208" t="str">
        <f>Rates!A42</f>
        <v>Rate Rider for Stranded Meter Assets - effective until December 31, 2015</v>
      </c>
      <c r="C27" s="25"/>
      <c r="D27" s="63" t="s">
        <v>79</v>
      </c>
      <c r="E27" s="27"/>
      <c r="F27" s="32">
        <f>Rates!D42</f>
        <v>0</v>
      </c>
      <c r="G27" s="29">
        <v>1</v>
      </c>
      <c r="H27" s="30">
        <f t="shared" si="0"/>
        <v>0</v>
      </c>
      <c r="I27" s="31"/>
      <c r="J27" s="32">
        <f>Rates!F42</f>
        <v>2.27</v>
      </c>
      <c r="K27" s="33">
        <v>1</v>
      </c>
      <c r="L27" s="30">
        <f t="shared" si="1"/>
        <v>2.27</v>
      </c>
      <c r="M27" s="31"/>
      <c r="N27" s="34">
        <f t="shared" si="2"/>
        <v>2.27</v>
      </c>
      <c r="O27" s="35" t="str">
        <f t="shared" si="3"/>
        <v/>
      </c>
    </row>
    <row r="28" spans="2:15" x14ac:dyDescent="0.25">
      <c r="B28" s="36"/>
      <c r="C28" s="25"/>
      <c r="D28" s="26"/>
      <c r="E28" s="27"/>
      <c r="F28" s="28"/>
      <c r="G28" s="29">
        <v>1</v>
      </c>
      <c r="H28" s="30">
        <f t="shared" si="0"/>
        <v>0</v>
      </c>
      <c r="I28" s="31"/>
      <c r="J28" s="32"/>
      <c r="K28" s="33">
        <v>1</v>
      </c>
      <c r="L28" s="30">
        <f t="shared" si="1"/>
        <v>0</v>
      </c>
      <c r="M28" s="31"/>
      <c r="N28" s="34">
        <f t="shared" si="2"/>
        <v>0</v>
      </c>
      <c r="O28" s="35" t="str">
        <f t="shared" si="3"/>
        <v/>
      </c>
    </row>
    <row r="29" spans="2:15" x14ac:dyDescent="0.25">
      <c r="B29" s="25" t="s">
        <v>25</v>
      </c>
      <c r="C29" s="25"/>
      <c r="D29" s="26" t="s">
        <v>81</v>
      </c>
      <c r="E29" s="27"/>
      <c r="F29" s="28">
        <f>Rates!D37</f>
        <v>0.10290000000000001</v>
      </c>
      <c r="G29" s="29">
        <f>$F$18</f>
        <v>1000</v>
      </c>
      <c r="H29" s="30">
        <f t="shared" si="0"/>
        <v>102.9</v>
      </c>
      <c r="I29" s="31"/>
      <c r="J29" s="32">
        <f>Rates!F37</f>
        <v>0.1323</v>
      </c>
      <c r="K29" s="29">
        <f>$F$18</f>
        <v>1000</v>
      </c>
      <c r="L29" s="30">
        <f t="shared" si="1"/>
        <v>132.30000000000001</v>
      </c>
      <c r="M29" s="31"/>
      <c r="N29" s="34">
        <f t="shared" si="2"/>
        <v>29.400000000000006</v>
      </c>
      <c r="O29" s="35">
        <f t="shared" si="3"/>
        <v>0.28571428571428575</v>
      </c>
    </row>
    <row r="30" spans="2:15" x14ac:dyDescent="0.25">
      <c r="B30" s="25" t="s">
        <v>26</v>
      </c>
      <c r="C30" s="25"/>
      <c r="D30" s="26"/>
      <c r="E30" s="27"/>
      <c r="F30" s="28"/>
      <c r="G30" s="29">
        <f t="shared" ref="G30" si="4">$F$18</f>
        <v>1000</v>
      </c>
      <c r="H30" s="30">
        <f t="shared" si="0"/>
        <v>0</v>
      </c>
      <c r="I30" s="31"/>
      <c r="J30" s="32"/>
      <c r="K30" s="29">
        <f t="shared" ref="K30:K38" si="5">$F$18</f>
        <v>1000</v>
      </c>
      <c r="L30" s="30">
        <f t="shared" si="1"/>
        <v>0</v>
      </c>
      <c r="M30" s="31"/>
      <c r="N30" s="34">
        <f t="shared" si="2"/>
        <v>0</v>
      </c>
      <c r="O30" s="35" t="str">
        <f t="shared" si="3"/>
        <v/>
      </c>
    </row>
    <row r="31" spans="2:15" x14ac:dyDescent="0.25">
      <c r="B31" s="25" t="s">
        <v>27</v>
      </c>
      <c r="C31" s="25"/>
      <c r="D31" s="26"/>
      <c r="E31" s="27"/>
      <c r="F31" s="28"/>
      <c r="G31" s="29">
        <f>$F$18</f>
        <v>1000</v>
      </c>
      <c r="H31" s="30">
        <f t="shared" si="0"/>
        <v>0</v>
      </c>
      <c r="I31" s="31"/>
      <c r="J31" s="32"/>
      <c r="K31" s="29">
        <f t="shared" si="5"/>
        <v>1000</v>
      </c>
      <c r="L31" s="30">
        <f t="shared" si="1"/>
        <v>0</v>
      </c>
      <c r="M31" s="31"/>
      <c r="N31" s="34">
        <f t="shared" si="2"/>
        <v>0</v>
      </c>
      <c r="O31" s="35" t="str">
        <f t="shared" si="3"/>
        <v/>
      </c>
    </row>
    <row r="32" spans="2:15" ht="30" x14ac:dyDescent="0.25">
      <c r="B32" s="183" t="str">
        <f>Rates!A5</f>
        <v>Foregone Revenue Recovery - effective until December 31, 2014 (2014)</v>
      </c>
      <c r="C32" s="25"/>
      <c r="D32" s="63" t="s">
        <v>81</v>
      </c>
      <c r="E32" s="27"/>
      <c r="F32" s="32">
        <f>Rates!D38</f>
        <v>5.0000000000000001E-4</v>
      </c>
      <c r="G32" s="29">
        <f t="shared" ref="G32:G38" si="6">$F$18</f>
        <v>1000</v>
      </c>
      <c r="H32" s="30">
        <f t="shared" si="0"/>
        <v>0.5</v>
      </c>
      <c r="I32" s="31"/>
      <c r="J32" s="32">
        <f>Rates!F38</f>
        <v>0</v>
      </c>
      <c r="K32" s="29">
        <f t="shared" si="5"/>
        <v>1000</v>
      </c>
      <c r="L32" s="30">
        <f t="shared" si="1"/>
        <v>0</v>
      </c>
      <c r="M32" s="31"/>
      <c r="N32" s="34">
        <f t="shared" si="2"/>
        <v>-0.5</v>
      </c>
      <c r="O32" s="35">
        <f t="shared" si="3"/>
        <v>-1</v>
      </c>
    </row>
    <row r="33" spans="2:15" ht="30" x14ac:dyDescent="0.25">
      <c r="B33" s="183" t="str">
        <f>Rates!A6</f>
        <v>Tax Changes - effective until December 31, 2014</v>
      </c>
      <c r="C33" s="25"/>
      <c r="D33" s="63" t="s">
        <v>81</v>
      </c>
      <c r="E33" s="27"/>
      <c r="F33" s="32">
        <f>Rates!D43</f>
        <v>-5.9999999999999995E-4</v>
      </c>
      <c r="G33" s="29">
        <f t="shared" si="6"/>
        <v>1000</v>
      </c>
      <c r="H33" s="30">
        <f t="shared" si="0"/>
        <v>-0.6</v>
      </c>
      <c r="I33" s="31"/>
      <c r="J33" s="32">
        <f>Rates!F43</f>
        <v>0</v>
      </c>
      <c r="K33" s="29">
        <f t="shared" si="5"/>
        <v>1000</v>
      </c>
      <c r="L33" s="30">
        <f t="shared" si="1"/>
        <v>0</v>
      </c>
      <c r="M33" s="31"/>
      <c r="N33" s="34">
        <f t="shared" si="2"/>
        <v>0.6</v>
      </c>
      <c r="O33" s="35">
        <f t="shared" si="3"/>
        <v>-1</v>
      </c>
    </row>
    <row r="34" spans="2:15" ht="30" x14ac:dyDescent="0.25">
      <c r="B34" s="183" t="str">
        <f>Rates!A39</f>
        <v>Deferral/Variance Account Disposition - effective until June 30, 2019</v>
      </c>
      <c r="C34" s="25"/>
      <c r="D34" s="63" t="s">
        <v>81</v>
      </c>
      <c r="E34" s="27"/>
      <c r="F34" s="32">
        <f>Rates!D39</f>
        <v>3.0700000000000002E-2</v>
      </c>
      <c r="G34" s="29">
        <f t="shared" si="6"/>
        <v>1000</v>
      </c>
      <c r="H34" s="30">
        <f t="shared" si="0"/>
        <v>30.700000000000003</v>
      </c>
      <c r="I34" s="31"/>
      <c r="J34" s="32">
        <f>Rates!F39</f>
        <v>3.0700000000000002E-2</v>
      </c>
      <c r="K34" s="29">
        <f t="shared" si="5"/>
        <v>1000</v>
      </c>
      <c r="L34" s="30">
        <f t="shared" si="1"/>
        <v>30.700000000000003</v>
      </c>
      <c r="M34" s="31"/>
      <c r="N34" s="34">
        <f t="shared" si="2"/>
        <v>0</v>
      </c>
      <c r="O34" s="35">
        <f t="shared" si="3"/>
        <v>0</v>
      </c>
    </row>
    <row r="35" spans="2:15" ht="45" x14ac:dyDescent="0.25">
      <c r="B35" s="183" t="str">
        <f>Rates!A63</f>
        <v>Rate Rider for the Disposition of Account 1575 &amp; 1576 - effective until December 31, 2019</v>
      </c>
      <c r="C35" s="25"/>
      <c r="D35" s="63" t="s">
        <v>81</v>
      </c>
      <c r="E35" s="27"/>
      <c r="F35" s="32">
        <f>Rates!D47</f>
        <v>0</v>
      </c>
      <c r="G35" s="29">
        <f t="shared" si="6"/>
        <v>1000</v>
      </c>
      <c r="H35" s="30">
        <f t="shared" si="0"/>
        <v>0</v>
      </c>
      <c r="I35" s="31"/>
      <c r="J35" s="32">
        <f>Rates!F47</f>
        <v>-1.9E-3</v>
      </c>
      <c r="K35" s="29">
        <f t="shared" si="5"/>
        <v>1000</v>
      </c>
      <c r="L35" s="30">
        <f t="shared" si="1"/>
        <v>-1.9</v>
      </c>
      <c r="M35" s="31"/>
      <c r="N35" s="34">
        <f t="shared" si="2"/>
        <v>-1.9</v>
      </c>
      <c r="O35" s="35" t="str">
        <f t="shared" si="3"/>
        <v/>
      </c>
    </row>
    <row r="36" spans="2:15" x14ac:dyDescent="0.25">
      <c r="B36" s="37"/>
      <c r="C36" s="25"/>
      <c r="D36" s="26"/>
      <c r="E36" s="27"/>
      <c r="F36" s="28"/>
      <c r="G36" s="29">
        <f t="shared" si="6"/>
        <v>1000</v>
      </c>
      <c r="H36" s="30">
        <f t="shared" si="0"/>
        <v>0</v>
      </c>
      <c r="I36" s="31"/>
      <c r="J36" s="32"/>
      <c r="K36" s="29">
        <f t="shared" si="5"/>
        <v>1000</v>
      </c>
      <c r="L36" s="30">
        <f t="shared" si="1"/>
        <v>0</v>
      </c>
      <c r="M36" s="31"/>
      <c r="N36" s="34">
        <f t="shared" si="2"/>
        <v>0</v>
      </c>
      <c r="O36" s="35" t="str">
        <f t="shared" si="3"/>
        <v/>
      </c>
    </row>
    <row r="37" spans="2:15" x14ac:dyDescent="0.25">
      <c r="B37" s="37"/>
      <c r="C37" s="25"/>
      <c r="D37" s="26"/>
      <c r="E37" s="27"/>
      <c r="F37" s="28"/>
      <c r="G37" s="29">
        <f t="shared" si="6"/>
        <v>1000</v>
      </c>
      <c r="H37" s="30">
        <f t="shared" si="0"/>
        <v>0</v>
      </c>
      <c r="I37" s="31"/>
      <c r="J37" s="32"/>
      <c r="K37" s="29">
        <f t="shared" si="5"/>
        <v>1000</v>
      </c>
      <c r="L37" s="30">
        <f t="shared" si="1"/>
        <v>0</v>
      </c>
      <c r="M37" s="31"/>
      <c r="N37" s="34">
        <f t="shared" si="2"/>
        <v>0</v>
      </c>
      <c r="O37" s="35" t="str">
        <f t="shared" si="3"/>
        <v/>
      </c>
    </row>
    <row r="38" spans="2:15" x14ac:dyDescent="0.25">
      <c r="B38" s="37"/>
      <c r="C38" s="25"/>
      <c r="D38" s="26"/>
      <c r="E38" s="27"/>
      <c r="F38" s="28"/>
      <c r="G38" s="29">
        <f t="shared" si="6"/>
        <v>1000</v>
      </c>
      <c r="H38" s="30">
        <f t="shared" si="0"/>
        <v>0</v>
      </c>
      <c r="I38" s="31"/>
      <c r="J38" s="32"/>
      <c r="K38" s="29">
        <f t="shared" si="5"/>
        <v>1000</v>
      </c>
      <c r="L38" s="30">
        <f t="shared" si="1"/>
        <v>0</v>
      </c>
      <c r="M38" s="31"/>
      <c r="N38" s="34">
        <f t="shared" si="2"/>
        <v>0</v>
      </c>
      <c r="O38" s="35" t="str">
        <f t="shared" si="3"/>
        <v/>
      </c>
    </row>
    <row r="39" spans="2:15" s="49" customFormat="1" x14ac:dyDescent="0.25">
      <c r="B39" s="38" t="s">
        <v>28</v>
      </c>
      <c r="C39" s="39"/>
      <c r="D39" s="40"/>
      <c r="E39" s="39"/>
      <c r="F39" s="41"/>
      <c r="G39" s="42"/>
      <c r="H39" s="43">
        <f>SUM(H23:H38)</f>
        <v>168.51</v>
      </c>
      <c r="I39" s="44"/>
      <c r="J39" s="45"/>
      <c r="K39" s="46"/>
      <c r="L39" s="43">
        <f>SUM(L23:L38)</f>
        <v>193.69000000000003</v>
      </c>
      <c r="M39" s="44"/>
      <c r="N39" s="47">
        <f t="shared" si="2"/>
        <v>25.180000000000035</v>
      </c>
      <c r="O39" s="48">
        <f t="shared" si="3"/>
        <v>0.14942733368939551</v>
      </c>
    </row>
    <row r="40" spans="2:15" ht="38.25" x14ac:dyDescent="0.25">
      <c r="B40" s="50" t="str">
        <f>Rates!A44</f>
        <v>Rate Rider for the Disposition of Deferral/Variance Accounts (2014) - effective until December 31, 2015</v>
      </c>
      <c r="C40" s="25"/>
      <c r="D40" s="63" t="s">
        <v>81</v>
      </c>
      <c r="E40" s="27"/>
      <c r="F40" s="32">
        <f>Rates!D44</f>
        <v>0</v>
      </c>
      <c r="G40" s="29">
        <f>$F$18</f>
        <v>1000</v>
      </c>
      <c r="H40" s="30">
        <f>G40*F40</f>
        <v>0</v>
      </c>
      <c r="I40" s="31"/>
      <c r="J40" s="32">
        <f>Rates!F44</f>
        <v>-6.45E-3</v>
      </c>
      <c r="K40" s="29">
        <f>$F$18</f>
        <v>1000</v>
      </c>
      <c r="L40" s="30">
        <f>K40*J40</f>
        <v>-6.45</v>
      </c>
      <c r="M40" s="31"/>
      <c r="N40" s="34">
        <f>L40-H40</f>
        <v>-6.45</v>
      </c>
      <c r="O40" s="35" t="str">
        <f>IF((H40)=0,"",(N40/H40))</f>
        <v/>
      </c>
    </row>
    <row r="41" spans="2:15" ht="38.25" x14ac:dyDescent="0.25">
      <c r="B41" s="50" t="str">
        <f>Rates!A45</f>
        <v>Rate Rider for the Disposition of Global Adjustment Sub-Account (2014) - effective until December 31, 2015</v>
      </c>
      <c r="C41" s="25"/>
      <c r="D41" s="63" t="s">
        <v>81</v>
      </c>
      <c r="E41" s="27"/>
      <c r="F41" s="32">
        <f>Rates!D45</f>
        <v>0</v>
      </c>
      <c r="G41" s="29">
        <f t="shared" ref="G41:G44" si="7">$F$18</f>
        <v>1000</v>
      </c>
      <c r="H41" s="30">
        <f t="shared" ref="H41:H45" si="8">G41*F41</f>
        <v>0</v>
      </c>
      <c r="I41" s="51"/>
      <c r="J41" s="32">
        <f>Rates!F45</f>
        <v>1.005E-2</v>
      </c>
      <c r="K41" s="29">
        <f t="shared" ref="K41:K44" si="9">$F$18</f>
        <v>1000</v>
      </c>
      <c r="L41" s="30">
        <f t="shared" ref="L41:L45" si="10">K41*J41</f>
        <v>10.050000000000001</v>
      </c>
      <c r="M41" s="52"/>
      <c r="N41" s="34">
        <f t="shared" ref="N41:N45" si="11">L41-H41</f>
        <v>10.050000000000001</v>
      </c>
      <c r="O41" s="35" t="str">
        <f t="shared" ref="O41:O45" si="12">IF((H41)=0,"",(N41/H41))</f>
        <v/>
      </c>
    </row>
    <row r="42" spans="2:15" x14ac:dyDescent="0.25">
      <c r="B42" s="50"/>
      <c r="C42" s="25"/>
      <c r="D42" s="26"/>
      <c r="E42" s="27"/>
      <c r="F42" s="28"/>
      <c r="G42" s="29">
        <f t="shared" si="7"/>
        <v>1000</v>
      </c>
      <c r="H42" s="30">
        <f t="shared" si="8"/>
        <v>0</v>
      </c>
      <c r="I42" s="51"/>
      <c r="J42" s="32"/>
      <c r="K42" s="29">
        <f t="shared" si="9"/>
        <v>1000</v>
      </c>
      <c r="L42" s="30">
        <f t="shared" si="10"/>
        <v>0</v>
      </c>
      <c r="M42" s="52"/>
      <c r="N42" s="34">
        <f t="shared" si="11"/>
        <v>0</v>
      </c>
      <c r="O42" s="35" t="str">
        <f t="shared" si="12"/>
        <v/>
      </c>
    </row>
    <row r="43" spans="2:15" x14ac:dyDescent="0.25">
      <c r="B43" s="50"/>
      <c r="C43" s="25"/>
      <c r="D43" s="26"/>
      <c r="E43" s="27"/>
      <c r="F43" s="28"/>
      <c r="G43" s="29">
        <f t="shared" si="7"/>
        <v>1000</v>
      </c>
      <c r="H43" s="30">
        <f t="shared" si="8"/>
        <v>0</v>
      </c>
      <c r="I43" s="51"/>
      <c r="J43" s="32"/>
      <c r="K43" s="29">
        <f t="shared" si="9"/>
        <v>1000</v>
      </c>
      <c r="L43" s="30">
        <f t="shared" si="10"/>
        <v>0</v>
      </c>
      <c r="M43" s="52"/>
      <c r="N43" s="34">
        <f t="shared" si="11"/>
        <v>0</v>
      </c>
      <c r="O43" s="35" t="str">
        <f t="shared" si="12"/>
        <v/>
      </c>
    </row>
    <row r="44" spans="2:15" x14ac:dyDescent="0.25">
      <c r="B44" s="53" t="s">
        <v>29</v>
      </c>
      <c r="C44" s="25"/>
      <c r="D44" s="26"/>
      <c r="E44" s="27"/>
      <c r="F44" s="28"/>
      <c r="G44" s="29">
        <f t="shared" si="7"/>
        <v>1000</v>
      </c>
      <c r="H44" s="30">
        <f>G44*F44</f>
        <v>0</v>
      </c>
      <c r="I44" s="31"/>
      <c r="J44" s="32"/>
      <c r="K44" s="29">
        <f t="shared" si="9"/>
        <v>1000</v>
      </c>
      <c r="L44" s="30">
        <f>K44*J44</f>
        <v>0</v>
      </c>
      <c r="M44" s="31"/>
      <c r="N44" s="34">
        <f>L44-H44</f>
        <v>0</v>
      </c>
      <c r="O44" s="35" t="str">
        <f>IF((H44)=0,"",(N44/H44))</f>
        <v/>
      </c>
    </row>
    <row r="45" spans="2:15" x14ac:dyDescent="0.25">
      <c r="B45" s="53" t="s">
        <v>30</v>
      </c>
      <c r="C45" s="25"/>
      <c r="D45" s="26" t="s">
        <v>81</v>
      </c>
      <c r="E45" s="27"/>
      <c r="F45" s="54">
        <f>Rates!D83</f>
        <v>8.949E-2</v>
      </c>
      <c r="G45" s="55">
        <f>$F$18*(1+$F$64)-$F$18</f>
        <v>86.400000000000091</v>
      </c>
      <c r="H45" s="30">
        <f t="shared" si="8"/>
        <v>7.7319360000000081</v>
      </c>
      <c r="I45" s="31"/>
      <c r="J45" s="56">
        <f>Rates!F83</f>
        <v>8.949E-2</v>
      </c>
      <c r="K45" s="55">
        <f>$F$18*(1+$J$64)-$F$18</f>
        <v>91.699999999999818</v>
      </c>
      <c r="L45" s="30">
        <f t="shared" si="10"/>
        <v>8.2062329999999832</v>
      </c>
      <c r="M45" s="31"/>
      <c r="N45" s="34">
        <f t="shared" si="11"/>
        <v>0.4742969999999751</v>
      </c>
      <c r="O45" s="35">
        <f t="shared" si="12"/>
        <v>6.1342592592589305E-2</v>
      </c>
    </row>
    <row r="46" spans="2:15" x14ac:dyDescent="0.25">
      <c r="B46" s="53" t="s">
        <v>31</v>
      </c>
      <c r="C46" s="25"/>
      <c r="D46" s="26" t="s">
        <v>79</v>
      </c>
      <c r="E46" s="27"/>
      <c r="F46" s="54">
        <f>Rates!D52</f>
        <v>0.79</v>
      </c>
      <c r="G46" s="29">
        <v>1</v>
      </c>
      <c r="H46" s="30">
        <f>G46*F46</f>
        <v>0.79</v>
      </c>
      <c r="I46" s="31"/>
      <c r="J46" s="54">
        <f>Rates!F52</f>
        <v>0.79</v>
      </c>
      <c r="K46" s="29">
        <v>1</v>
      </c>
      <c r="L46" s="30">
        <f>K46*J46</f>
        <v>0.79</v>
      </c>
      <c r="M46" s="31"/>
      <c r="N46" s="34">
        <f>L46-H46</f>
        <v>0</v>
      </c>
      <c r="O46" s="35"/>
    </row>
    <row r="47" spans="2:15" ht="25.5" x14ac:dyDescent="0.25">
      <c r="B47" s="57" t="s">
        <v>32</v>
      </c>
      <c r="C47" s="58"/>
      <c r="D47" s="58"/>
      <c r="E47" s="58"/>
      <c r="F47" s="59"/>
      <c r="G47" s="60"/>
      <c r="H47" s="61">
        <f>SUM(H40:H46)+H39</f>
        <v>177.031936</v>
      </c>
      <c r="I47" s="44"/>
      <c r="J47" s="60"/>
      <c r="K47" s="62"/>
      <c r="L47" s="61">
        <f>SUM(L40:L46)+L39</f>
        <v>206.28623300000001</v>
      </c>
      <c r="M47" s="44"/>
      <c r="N47" s="47">
        <f t="shared" ref="N47:N61" si="13">L47-H47</f>
        <v>29.254297000000008</v>
      </c>
      <c r="O47" s="48">
        <f t="shared" ref="O47:O61" si="14">IF((H47)=0,"",(N47/H47))</f>
        <v>0.16524869840433767</v>
      </c>
    </row>
    <row r="48" spans="2:15" x14ac:dyDescent="0.25">
      <c r="B48" s="31" t="s">
        <v>33</v>
      </c>
      <c r="C48" s="31"/>
      <c r="D48" s="63" t="s">
        <v>81</v>
      </c>
      <c r="E48" s="64"/>
      <c r="F48" s="32">
        <f>Rates!D48</f>
        <v>7.0000000000000001E-3</v>
      </c>
      <c r="G48" s="65">
        <f>F18*(1+F64)</f>
        <v>1086.4000000000001</v>
      </c>
      <c r="H48" s="30">
        <f>G48*F48</f>
        <v>7.6048000000000009</v>
      </c>
      <c r="I48" s="31"/>
      <c r="J48" s="32">
        <f>Rates!F48</f>
        <v>7.1999999999999998E-3</v>
      </c>
      <c r="K48" s="66">
        <f>F18*(1+J64)</f>
        <v>1091.6999999999998</v>
      </c>
      <c r="L48" s="30">
        <f>K48*J48</f>
        <v>7.8602399999999983</v>
      </c>
      <c r="M48" s="31"/>
      <c r="N48" s="34">
        <f t="shared" si="13"/>
        <v>0.25543999999999745</v>
      </c>
      <c r="O48" s="35">
        <f t="shared" si="14"/>
        <v>3.3589312013464843E-2</v>
      </c>
    </row>
    <row r="49" spans="2:19" ht="30" x14ac:dyDescent="0.25">
      <c r="B49" s="67" t="s">
        <v>34</v>
      </c>
      <c r="C49" s="31"/>
      <c r="D49" s="63" t="s">
        <v>81</v>
      </c>
      <c r="E49" s="64"/>
      <c r="F49" s="32">
        <f>Rates!D49</f>
        <v>5.1000000000000004E-3</v>
      </c>
      <c r="G49" s="65">
        <f>G48</f>
        <v>1086.4000000000001</v>
      </c>
      <c r="H49" s="30">
        <f>G49*F49</f>
        <v>5.5406400000000007</v>
      </c>
      <c r="I49" s="31"/>
      <c r="J49" s="32">
        <f>Rates!F49</f>
        <v>5.1999999999999998E-3</v>
      </c>
      <c r="K49" s="66">
        <f>K48</f>
        <v>1091.6999999999998</v>
      </c>
      <c r="L49" s="30">
        <f>K49*J49</f>
        <v>5.6768399999999986</v>
      </c>
      <c r="M49" s="31"/>
      <c r="N49" s="34">
        <f t="shared" si="13"/>
        <v>0.13619999999999788</v>
      </c>
      <c r="O49" s="35">
        <f t="shared" si="14"/>
        <v>2.4581997747552244E-2</v>
      </c>
    </row>
    <row r="50" spans="2:19" ht="25.5" x14ac:dyDescent="0.25">
      <c r="B50" s="57" t="s">
        <v>35</v>
      </c>
      <c r="C50" s="39"/>
      <c r="D50" s="39"/>
      <c r="E50" s="39"/>
      <c r="F50" s="68"/>
      <c r="G50" s="60"/>
      <c r="H50" s="61">
        <f>SUM(H47:H49)</f>
        <v>190.17737600000001</v>
      </c>
      <c r="I50" s="69"/>
      <c r="J50" s="70"/>
      <c r="K50" s="71"/>
      <c r="L50" s="61">
        <f>SUM(L47:L49)</f>
        <v>219.82331300000001</v>
      </c>
      <c r="M50" s="69"/>
      <c r="N50" s="47">
        <f t="shared" si="13"/>
        <v>29.645937000000004</v>
      </c>
      <c r="O50" s="48">
        <f t="shared" si="14"/>
        <v>0.15588571902474879</v>
      </c>
    </row>
    <row r="51" spans="2:19" ht="30" x14ac:dyDescent="0.25">
      <c r="B51" s="72" t="s">
        <v>36</v>
      </c>
      <c r="C51" s="25"/>
      <c r="D51" s="63" t="s">
        <v>81</v>
      </c>
      <c r="E51" s="27"/>
      <c r="F51" s="75">
        <f>Rates!D50</f>
        <v>4.4000000000000003E-3</v>
      </c>
      <c r="G51" s="65">
        <f>G49</f>
        <v>1086.4000000000001</v>
      </c>
      <c r="H51" s="74">
        <f t="shared" ref="H51:H55" si="15">G51*F51</f>
        <v>4.7801600000000004</v>
      </c>
      <c r="I51" s="31"/>
      <c r="J51" s="75">
        <f>Rates!F50</f>
        <v>4.4000000000000003E-3</v>
      </c>
      <c r="K51" s="66">
        <f>K49</f>
        <v>1091.6999999999998</v>
      </c>
      <c r="L51" s="74">
        <f t="shared" ref="L51:L55" si="16">K51*J51</f>
        <v>4.8034799999999995</v>
      </c>
      <c r="M51" s="31"/>
      <c r="N51" s="34">
        <f t="shared" si="13"/>
        <v>2.3319999999999119E-2</v>
      </c>
      <c r="O51" s="76">
        <f t="shared" si="14"/>
        <v>4.8784977908687402E-3</v>
      </c>
    </row>
    <row r="52" spans="2:19" ht="30" x14ac:dyDescent="0.25">
      <c r="B52" s="72" t="s">
        <v>37</v>
      </c>
      <c r="C52" s="25"/>
      <c r="D52" s="63" t="s">
        <v>81</v>
      </c>
      <c r="E52" s="27"/>
      <c r="F52" s="75">
        <f>Rates!D51</f>
        <v>1.2999999999999999E-3</v>
      </c>
      <c r="G52" s="65">
        <f>G49</f>
        <v>1086.4000000000001</v>
      </c>
      <c r="H52" s="74">
        <f t="shared" si="15"/>
        <v>1.41232</v>
      </c>
      <c r="I52" s="31"/>
      <c r="J52" s="75">
        <f>Rates!F51</f>
        <v>1.2999999999999999E-3</v>
      </c>
      <c r="K52" s="66">
        <f>K49</f>
        <v>1091.6999999999998</v>
      </c>
      <c r="L52" s="74">
        <f t="shared" si="16"/>
        <v>1.4192099999999996</v>
      </c>
      <c r="M52" s="31"/>
      <c r="N52" s="34">
        <f t="shared" si="13"/>
        <v>6.8899999999996187E-3</v>
      </c>
      <c r="O52" s="76">
        <f t="shared" si="14"/>
        <v>4.8784977908686552E-3</v>
      </c>
    </row>
    <row r="53" spans="2:19" x14ac:dyDescent="0.25">
      <c r="B53" s="25" t="s">
        <v>38</v>
      </c>
      <c r="C53" s="25"/>
      <c r="D53" s="26" t="s">
        <v>79</v>
      </c>
      <c r="E53" s="27"/>
      <c r="F53" s="73">
        <f>Rates!D53</f>
        <v>0.25</v>
      </c>
      <c r="G53" s="29">
        <v>1</v>
      </c>
      <c r="H53" s="74">
        <f t="shared" si="15"/>
        <v>0.25</v>
      </c>
      <c r="I53" s="31"/>
      <c r="J53" s="75">
        <f>Rates!F53</f>
        <v>0.25</v>
      </c>
      <c r="K53" s="33">
        <v>1</v>
      </c>
      <c r="L53" s="74">
        <f t="shared" si="16"/>
        <v>0.25</v>
      </c>
      <c r="M53" s="31"/>
      <c r="N53" s="34">
        <f t="shared" si="13"/>
        <v>0</v>
      </c>
      <c r="O53" s="76">
        <f t="shared" si="14"/>
        <v>0</v>
      </c>
    </row>
    <row r="54" spans="2:19" x14ac:dyDescent="0.25">
      <c r="B54" s="25" t="s">
        <v>39</v>
      </c>
      <c r="C54" s="25"/>
      <c r="D54" s="26" t="s">
        <v>81</v>
      </c>
      <c r="E54" s="27"/>
      <c r="F54" s="73">
        <f>Rates!D71</f>
        <v>2E-3</v>
      </c>
      <c r="G54" s="77">
        <f>F18</f>
        <v>1000</v>
      </c>
      <c r="H54" s="74">
        <f t="shared" si="15"/>
        <v>2</v>
      </c>
      <c r="I54" s="31"/>
      <c r="J54" s="75">
        <f>Rates!F71</f>
        <v>2E-3</v>
      </c>
      <c r="K54" s="78">
        <f>F18</f>
        <v>1000</v>
      </c>
      <c r="L54" s="74">
        <f t="shared" si="16"/>
        <v>2</v>
      </c>
      <c r="M54" s="31"/>
      <c r="N54" s="34">
        <f t="shared" si="13"/>
        <v>0</v>
      </c>
      <c r="O54" s="76">
        <f t="shared" si="14"/>
        <v>0</v>
      </c>
    </row>
    <row r="55" spans="2:19" ht="15.75" thickBot="1" x14ac:dyDescent="0.3">
      <c r="B55" s="53" t="s">
        <v>109</v>
      </c>
      <c r="C55" s="25"/>
      <c r="D55" s="26" t="s">
        <v>81</v>
      </c>
      <c r="E55" s="27"/>
      <c r="F55" s="79">
        <f>Rates!D83</f>
        <v>8.949E-2</v>
      </c>
      <c r="G55" s="80">
        <f>F18</f>
        <v>1000</v>
      </c>
      <c r="H55" s="74">
        <f t="shared" si="15"/>
        <v>89.49</v>
      </c>
      <c r="I55" s="31"/>
      <c r="J55" s="73">
        <f>Rates!F83</f>
        <v>8.949E-2</v>
      </c>
      <c r="K55" s="80">
        <f>G55</f>
        <v>1000</v>
      </c>
      <c r="L55" s="74">
        <f t="shared" si="16"/>
        <v>89.49</v>
      </c>
      <c r="M55" s="31"/>
      <c r="N55" s="34">
        <f t="shared" si="13"/>
        <v>0</v>
      </c>
      <c r="O55" s="76">
        <f t="shared" si="14"/>
        <v>0</v>
      </c>
      <c r="S55" s="81"/>
    </row>
    <row r="56" spans="2:19" ht="15.75" thickBot="1" x14ac:dyDescent="0.3">
      <c r="B56" s="90"/>
      <c r="C56" s="91"/>
      <c r="D56" s="92"/>
      <c r="E56" s="91"/>
      <c r="F56" s="93"/>
      <c r="G56" s="94"/>
      <c r="H56" s="95"/>
      <c r="I56" s="96"/>
      <c r="J56" s="93"/>
      <c r="K56" s="97"/>
      <c r="L56" s="95"/>
      <c r="M56" s="96"/>
      <c r="N56" s="98"/>
      <c r="O56" s="99"/>
    </row>
    <row r="57" spans="2:19" x14ac:dyDescent="0.25">
      <c r="B57" s="100" t="s">
        <v>106</v>
      </c>
      <c r="C57" s="25"/>
      <c r="D57" s="25"/>
      <c r="E57" s="25"/>
      <c r="F57" s="101"/>
      <c r="G57" s="102"/>
      <c r="H57" s="103">
        <f>SUM(H51:H55,H50)</f>
        <v>288.10985600000004</v>
      </c>
      <c r="I57" s="104"/>
      <c r="J57" s="105"/>
      <c r="K57" s="105"/>
      <c r="L57" s="181">
        <f>SUM(L51:L55,L50)</f>
        <v>317.78600299999999</v>
      </c>
      <c r="M57" s="106"/>
      <c r="N57" s="107">
        <f t="shared" ref="N57" si="17">L57-H57</f>
        <v>29.676146999999958</v>
      </c>
      <c r="O57" s="108">
        <f t="shared" ref="O57" si="18">IF((H57)=0,"",(N57/H57))</f>
        <v>0.10300288720424737</v>
      </c>
      <c r="S57" s="81"/>
    </row>
    <row r="58" spans="2:19" x14ac:dyDescent="0.25">
      <c r="B58" s="109" t="s">
        <v>46</v>
      </c>
      <c r="C58" s="25"/>
      <c r="D58" s="25"/>
      <c r="E58" s="25"/>
      <c r="F58" s="110">
        <v>0.13</v>
      </c>
      <c r="G58" s="111"/>
      <c r="H58" s="112">
        <f>H57*F58</f>
        <v>37.454281280000004</v>
      </c>
      <c r="I58" s="113"/>
      <c r="J58" s="114">
        <v>0.13</v>
      </c>
      <c r="K58" s="113"/>
      <c r="L58" s="115">
        <f>L57*J58</f>
        <v>41.312180390000002</v>
      </c>
      <c r="M58" s="116"/>
      <c r="N58" s="117">
        <f t="shared" si="13"/>
        <v>3.8578991099999982</v>
      </c>
      <c r="O58" s="118">
        <f t="shared" si="14"/>
        <v>0.10300288720424748</v>
      </c>
      <c r="S58" s="81"/>
    </row>
    <row r="59" spans="2:19" x14ac:dyDescent="0.25">
      <c r="B59" s="119" t="s">
        <v>52</v>
      </c>
      <c r="C59" s="25"/>
      <c r="D59" s="25"/>
      <c r="E59" s="25"/>
      <c r="F59" s="120"/>
      <c r="G59" s="111"/>
      <c r="H59" s="112">
        <f>H57+H58</f>
        <v>325.56413728000007</v>
      </c>
      <c r="I59" s="113"/>
      <c r="J59" s="113"/>
      <c r="K59" s="113"/>
      <c r="L59" s="115">
        <f>L57+L58</f>
        <v>359.09818338999997</v>
      </c>
      <c r="M59" s="116"/>
      <c r="N59" s="117">
        <f t="shared" si="13"/>
        <v>33.534046109999906</v>
      </c>
      <c r="O59" s="118">
        <f t="shared" si="14"/>
        <v>0.10300288720424723</v>
      </c>
      <c r="S59" s="81"/>
    </row>
    <row r="60" spans="2:19" x14ac:dyDescent="0.25">
      <c r="B60" s="226" t="s">
        <v>53</v>
      </c>
      <c r="C60" s="226"/>
      <c r="D60" s="226"/>
      <c r="E60" s="25"/>
      <c r="F60" s="120"/>
      <c r="G60" s="111"/>
      <c r="H60" s="121">
        <f>ROUND(-H59*10%,2)</f>
        <v>-32.56</v>
      </c>
      <c r="I60" s="113"/>
      <c r="J60" s="113"/>
      <c r="K60" s="113"/>
      <c r="L60" s="122">
        <f>ROUND(-L59*10%,2)</f>
        <v>-35.909999999999997</v>
      </c>
      <c r="M60" s="116"/>
      <c r="N60" s="123">
        <f t="shared" si="13"/>
        <v>-3.3499999999999943</v>
      </c>
      <c r="O60" s="124">
        <f t="shared" si="14"/>
        <v>0.1028869778869777</v>
      </c>
    </row>
    <row r="61" spans="2:19" ht="15.75" thickBot="1" x14ac:dyDescent="0.3">
      <c r="B61" s="227" t="s">
        <v>47</v>
      </c>
      <c r="C61" s="227"/>
      <c r="D61" s="227"/>
      <c r="E61" s="125"/>
      <c r="F61" s="126"/>
      <c r="G61" s="127"/>
      <c r="H61" s="128">
        <f>H59+H60</f>
        <v>293.00413728000007</v>
      </c>
      <c r="I61" s="129"/>
      <c r="J61" s="129"/>
      <c r="K61" s="129"/>
      <c r="L61" s="130">
        <f>L59+L60</f>
        <v>323.18818338999995</v>
      </c>
      <c r="M61" s="131"/>
      <c r="N61" s="132">
        <f t="shared" si="13"/>
        <v>30.184046109999883</v>
      </c>
      <c r="O61" s="133">
        <f t="shared" si="14"/>
        <v>0.10301576759360043</v>
      </c>
    </row>
    <row r="62" spans="2:19" s="89" customFormat="1" ht="15.75" thickBot="1" x14ac:dyDescent="0.25">
      <c r="B62" s="134"/>
      <c r="C62" s="135"/>
      <c r="D62" s="136"/>
      <c r="E62" s="135"/>
      <c r="F62" s="93"/>
      <c r="G62" s="137"/>
      <c r="H62" s="95"/>
      <c r="I62" s="138"/>
      <c r="J62" s="93"/>
      <c r="K62" s="139"/>
      <c r="L62" s="95"/>
      <c r="M62" s="138"/>
      <c r="N62" s="140"/>
      <c r="O62" s="99"/>
    </row>
    <row r="63" spans="2:19" x14ac:dyDescent="0.25">
      <c r="L63" s="81"/>
    </row>
    <row r="64" spans="2:19" x14ac:dyDescent="0.25">
      <c r="B64" s="16" t="s">
        <v>50</v>
      </c>
      <c r="F64" s="179">
        <f>Rates!D76</f>
        <v>8.6400000000000005E-2</v>
      </c>
      <c r="J64" s="179">
        <f>Rates!F76</f>
        <v>9.1700000000000004E-2</v>
      </c>
    </row>
    <row r="66" spans="1:2" x14ac:dyDescent="0.25">
      <c r="A66" s="180"/>
      <c r="B66" s="10" t="s">
        <v>51</v>
      </c>
    </row>
  </sheetData>
  <mergeCells count="12">
    <mergeCell ref="A3:K3"/>
    <mergeCell ref="B10:O10"/>
    <mergeCell ref="B11:O11"/>
    <mergeCell ref="D14:O14"/>
    <mergeCell ref="F20:H20"/>
    <mergeCell ref="J20:L20"/>
    <mergeCell ref="N20:O20"/>
    <mergeCell ref="D21:D22"/>
    <mergeCell ref="N21:N22"/>
    <mergeCell ref="O21:O22"/>
    <mergeCell ref="B60:D60"/>
    <mergeCell ref="B61:D61"/>
  </mergeCells>
  <dataValidations count="3">
    <dataValidation type="list" allowBlank="1" showInputMessage="1" showErrorMessage="1" sqref="D16">
      <formula1>"TOU, non-TOU"</formula1>
    </dataValidation>
    <dataValidation type="list" allowBlank="1" showInputMessage="1" showErrorMessage="1" prompt="Select Charge Unit - monthly, per kWh, per kW" sqref="D48:D49 D40:D46 D62 D23:D38 D51:D56">
      <formula1>"Monthly, per kWh, per kW"</formula1>
    </dataValidation>
    <dataValidation type="list" allowBlank="1" showInputMessage="1" showErrorMessage="1" sqref="E48:E49 E40:E46 E23:E38 E62 E51:E56">
      <formula1>#REF!</formula1>
    </dataValidation>
  </dataValidations>
  <pageMargins left="0.7" right="0.7" top="0.75" bottom="0.75" header="0.3" footer="0.3"/>
  <pageSetup scale="51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T63"/>
  <sheetViews>
    <sheetView showGridLines="0" topLeftCell="A34" zoomScaleNormal="100" workbookViewId="0">
      <selection activeCell="K54" sqref="K54"/>
    </sheetView>
  </sheetViews>
  <sheetFormatPr defaultRowHeight="15" x14ac:dyDescent="0.25"/>
  <cols>
    <col min="1" max="1" width="2.140625" style="10" customWidth="1"/>
    <col min="2" max="2" width="37.5703125" style="10" customWidth="1"/>
    <col min="3" max="3" width="1.28515625" style="10" customWidth="1"/>
    <col min="4" max="4" width="11.28515625" style="10" customWidth="1"/>
    <col min="5" max="5" width="1.28515625" style="10" customWidth="1"/>
    <col min="6" max="6" width="12.28515625" style="10" customWidth="1"/>
    <col min="7" max="7" width="8.5703125" style="10" customWidth="1"/>
    <col min="8" max="8" width="11.28515625" style="10" bestFit="1" customWidth="1"/>
    <col min="9" max="9" width="2.85546875" style="10" customWidth="1"/>
    <col min="10" max="10" width="12.140625" style="10" customWidth="1"/>
    <col min="11" max="11" width="8.5703125" style="10" customWidth="1"/>
    <col min="12" max="12" width="11.28515625" style="10" bestFit="1" customWidth="1"/>
    <col min="13" max="13" width="2.85546875" style="10" customWidth="1"/>
    <col min="14" max="14" width="12.7109375" style="10" bestFit="1" customWidth="1"/>
    <col min="15" max="15" width="10.85546875" style="10" bestFit="1" customWidth="1"/>
    <col min="16" max="16" width="3.85546875" style="10" customWidth="1"/>
    <col min="17" max="19" width="9.140625" style="10"/>
    <col min="20" max="20" width="9.140625" style="10" customWidth="1"/>
    <col min="21" max="16384" width="9.140625" style="10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O1" s="4">
        <f>EBNUMBER</f>
        <v>0</v>
      </c>
      <c r="P1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 t="s">
        <v>1</v>
      </c>
      <c r="O2" s="6"/>
      <c r="P2"/>
    </row>
    <row r="3" spans="1:20" s="2" customFormat="1" ht="15" customHeight="1" x14ac:dyDescent="0.25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N3" s="3" t="s">
        <v>2</v>
      </c>
      <c r="O3" s="6"/>
      <c r="P3"/>
    </row>
    <row r="4" spans="1:20" s="2" customFormat="1" ht="15" customHeight="1" x14ac:dyDescent="0.25">
      <c r="A4" s="5"/>
      <c r="B4" s="5"/>
      <c r="C4" s="5"/>
      <c r="D4" s="5"/>
      <c r="E4" s="5"/>
      <c r="F4" s="5"/>
      <c r="G4" s="5"/>
      <c r="H4" s="5"/>
      <c r="I4" s="7"/>
      <c r="J4" s="7"/>
      <c r="K4" s="7"/>
      <c r="N4" s="3" t="s">
        <v>3</v>
      </c>
      <c r="O4" s="6"/>
      <c r="P4"/>
    </row>
    <row r="5" spans="1:20" s="2" customFormat="1" ht="15" customHeight="1" x14ac:dyDescent="0.25">
      <c r="C5" s="8"/>
      <c r="D5" s="8"/>
      <c r="E5" s="8"/>
      <c r="N5" s="3" t="s">
        <v>4</v>
      </c>
      <c r="O5" s="9"/>
      <c r="P5"/>
    </row>
    <row r="6" spans="1:20" s="2" customFormat="1" ht="9" customHeight="1" x14ac:dyDescent="0.25">
      <c r="N6" s="3"/>
      <c r="O6" s="4"/>
      <c r="P6"/>
    </row>
    <row r="7" spans="1:20" s="2" customFormat="1" x14ac:dyDescent="0.25">
      <c r="N7" s="3" t="s">
        <v>5</v>
      </c>
      <c r="O7" s="9"/>
      <c r="P7"/>
    </row>
    <row r="8" spans="1:20" s="2" customFormat="1" ht="15" customHeight="1" x14ac:dyDescent="0.25">
      <c r="N8" s="10"/>
      <c r="O8"/>
      <c r="P8"/>
    </row>
    <row r="9" spans="1:20" ht="7.5" customHeight="1" x14ac:dyDescent="0.25">
      <c r="L9"/>
      <c r="M9"/>
      <c r="N9"/>
      <c r="O9"/>
      <c r="P9"/>
    </row>
    <row r="10" spans="1:20" ht="18.75" customHeight="1" x14ac:dyDescent="0.25">
      <c r="B10" s="214" t="s">
        <v>6</v>
      </c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/>
    </row>
    <row r="11" spans="1:20" ht="18.75" customHeight="1" x14ac:dyDescent="0.25">
      <c r="B11" s="214" t="s">
        <v>7</v>
      </c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/>
    </row>
    <row r="12" spans="1:20" ht="7.5" customHeight="1" x14ac:dyDescent="0.25">
      <c r="L12"/>
      <c r="M12"/>
      <c r="N12"/>
      <c r="O12"/>
      <c r="P12"/>
    </row>
    <row r="13" spans="1:20" ht="7.5" customHeight="1" x14ac:dyDescent="0.25">
      <c r="L13"/>
      <c r="M13"/>
      <c r="N13"/>
      <c r="O13"/>
      <c r="P13"/>
    </row>
    <row r="14" spans="1:20" ht="15.75" x14ac:dyDescent="0.25">
      <c r="B14" s="11" t="s">
        <v>8</v>
      </c>
      <c r="D14" s="215" t="s">
        <v>93</v>
      </c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</row>
    <row r="15" spans="1:20" ht="7.5" customHeight="1" x14ac:dyDescent="0.25">
      <c r="B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20" ht="15.75" x14ac:dyDescent="0.25">
      <c r="B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2:15" x14ac:dyDescent="0.25">
      <c r="B17" s="15"/>
      <c r="D17" s="16" t="s">
        <v>11</v>
      </c>
      <c r="E17" s="16"/>
      <c r="F17" s="17">
        <v>150</v>
      </c>
      <c r="G17" s="16" t="s">
        <v>12</v>
      </c>
      <c r="I17" s="229" t="s">
        <v>86</v>
      </c>
      <c r="J17" s="229"/>
      <c r="K17" s="17">
        <v>1</v>
      </c>
      <c r="L17" s="184" t="s">
        <v>87</v>
      </c>
    </row>
    <row r="18" spans="2:15" x14ac:dyDescent="0.25">
      <c r="B18" s="15"/>
    </row>
    <row r="19" spans="2:15" x14ac:dyDescent="0.25">
      <c r="B19" s="15"/>
      <c r="D19" s="18"/>
      <c r="E19" s="18"/>
      <c r="F19" s="216" t="s">
        <v>13</v>
      </c>
      <c r="G19" s="217"/>
      <c r="H19" s="218"/>
      <c r="J19" s="216" t="s">
        <v>14</v>
      </c>
      <c r="K19" s="217"/>
      <c r="L19" s="218"/>
      <c r="N19" s="216" t="s">
        <v>15</v>
      </c>
      <c r="O19" s="218"/>
    </row>
    <row r="20" spans="2:15" x14ac:dyDescent="0.25">
      <c r="B20" s="15"/>
      <c r="D20" s="220" t="s">
        <v>16</v>
      </c>
      <c r="E20" s="19"/>
      <c r="F20" s="20" t="s">
        <v>17</v>
      </c>
      <c r="G20" s="20" t="s">
        <v>18</v>
      </c>
      <c r="H20" s="21" t="s">
        <v>19</v>
      </c>
      <c r="J20" s="20" t="s">
        <v>17</v>
      </c>
      <c r="K20" s="22" t="s">
        <v>18</v>
      </c>
      <c r="L20" s="21" t="s">
        <v>19</v>
      </c>
      <c r="N20" s="222" t="s">
        <v>20</v>
      </c>
      <c r="O20" s="224" t="s">
        <v>21</v>
      </c>
    </row>
    <row r="21" spans="2:15" x14ac:dyDescent="0.25">
      <c r="B21" s="15"/>
      <c r="D21" s="221"/>
      <c r="E21" s="19"/>
      <c r="F21" s="23" t="s">
        <v>22</v>
      </c>
      <c r="G21" s="23"/>
      <c r="H21" s="24" t="s">
        <v>22</v>
      </c>
      <c r="J21" s="23" t="s">
        <v>22</v>
      </c>
      <c r="K21" s="24"/>
      <c r="L21" s="24" t="s">
        <v>22</v>
      </c>
      <c r="N21" s="223"/>
      <c r="O21" s="225"/>
    </row>
    <row r="22" spans="2:15" x14ac:dyDescent="0.25">
      <c r="B22" s="25" t="s">
        <v>23</v>
      </c>
      <c r="C22" s="25"/>
      <c r="D22" s="26" t="s">
        <v>79</v>
      </c>
      <c r="E22" s="27"/>
      <c r="F22" s="28">
        <f>Rates!D56</f>
        <v>0.98</v>
      </c>
      <c r="G22" s="29">
        <v>1</v>
      </c>
      <c r="H22" s="30">
        <f>G22*F22</f>
        <v>0.98</v>
      </c>
      <c r="I22" s="31"/>
      <c r="J22" s="32">
        <f>Rates!F56</f>
        <v>0.98</v>
      </c>
      <c r="K22" s="33">
        <v>1</v>
      </c>
      <c r="L22" s="30">
        <f>K22*J22</f>
        <v>0.98</v>
      </c>
      <c r="M22" s="31"/>
      <c r="N22" s="34">
        <f>L22-H22</f>
        <v>0</v>
      </c>
      <c r="O22" s="35">
        <f>IF((H22)=0,"",(N22/H22))</f>
        <v>0</v>
      </c>
    </row>
    <row r="23" spans="2:15" x14ac:dyDescent="0.25">
      <c r="B23" s="25" t="s">
        <v>24</v>
      </c>
      <c r="C23" s="25"/>
      <c r="D23" s="26"/>
      <c r="E23" s="27"/>
      <c r="F23" s="28"/>
      <c r="G23" s="29">
        <v>1</v>
      </c>
      <c r="H23" s="30">
        <f t="shared" ref="H23:H37" si="0">G23*F23</f>
        <v>0</v>
      </c>
      <c r="I23" s="31"/>
      <c r="J23" s="32"/>
      <c r="K23" s="33">
        <v>1</v>
      </c>
      <c r="L23" s="30">
        <f>K23*J23</f>
        <v>0</v>
      </c>
      <c r="M23" s="31"/>
      <c r="N23" s="34">
        <f>L23-H23</f>
        <v>0</v>
      </c>
      <c r="O23" s="35" t="str">
        <f>IF((H23)=0,"",(N23/H23))</f>
        <v/>
      </c>
    </row>
    <row r="24" spans="2:15" x14ac:dyDescent="0.25">
      <c r="B24" s="36"/>
      <c r="C24" s="25"/>
      <c r="D24" s="26"/>
      <c r="E24" s="27"/>
      <c r="F24" s="28"/>
      <c r="G24" s="29">
        <v>1</v>
      </c>
      <c r="H24" s="30">
        <f t="shared" si="0"/>
        <v>0</v>
      </c>
      <c r="I24" s="31"/>
      <c r="J24" s="32"/>
      <c r="K24" s="33">
        <v>1</v>
      </c>
      <c r="L24" s="30">
        <f t="shared" ref="L24:L37" si="1">K24*J24</f>
        <v>0</v>
      </c>
      <c r="M24" s="31"/>
      <c r="N24" s="34">
        <f t="shared" ref="N24:N38" si="2">L24-H24</f>
        <v>0</v>
      </c>
      <c r="O24" s="35" t="str">
        <f t="shared" ref="O24:O38" si="3">IF((H24)=0,"",(N24/H24))</f>
        <v/>
      </c>
    </row>
    <row r="25" spans="2:15" x14ac:dyDescent="0.25">
      <c r="B25" s="36"/>
      <c r="C25" s="25"/>
      <c r="D25" s="26"/>
      <c r="E25" s="27"/>
      <c r="F25" s="28"/>
      <c r="G25" s="29">
        <v>1</v>
      </c>
      <c r="H25" s="30">
        <f t="shared" si="0"/>
        <v>0</v>
      </c>
      <c r="I25" s="31"/>
      <c r="J25" s="32"/>
      <c r="K25" s="33">
        <v>1</v>
      </c>
      <c r="L25" s="30">
        <f t="shared" si="1"/>
        <v>0</v>
      </c>
      <c r="M25" s="31"/>
      <c r="N25" s="34">
        <f t="shared" si="2"/>
        <v>0</v>
      </c>
      <c r="O25" s="35" t="str">
        <f t="shared" si="3"/>
        <v/>
      </c>
    </row>
    <row r="26" spans="2:15" x14ac:dyDescent="0.25">
      <c r="B26" s="36"/>
      <c r="C26" s="25"/>
      <c r="D26" s="26"/>
      <c r="E26" s="27"/>
      <c r="F26" s="28"/>
      <c r="G26" s="29">
        <v>1</v>
      </c>
      <c r="H26" s="30">
        <f t="shared" si="0"/>
        <v>0</v>
      </c>
      <c r="I26" s="31"/>
      <c r="J26" s="32"/>
      <c r="K26" s="33">
        <v>1</v>
      </c>
      <c r="L26" s="30">
        <f t="shared" si="1"/>
        <v>0</v>
      </c>
      <c r="M26" s="31"/>
      <c r="N26" s="34">
        <f t="shared" si="2"/>
        <v>0</v>
      </c>
      <c r="O26" s="35" t="str">
        <f t="shared" si="3"/>
        <v/>
      </c>
    </row>
    <row r="27" spans="2:15" x14ac:dyDescent="0.25">
      <c r="B27" s="36"/>
      <c r="C27" s="25"/>
      <c r="D27" s="26"/>
      <c r="E27" s="27"/>
      <c r="F27" s="28"/>
      <c r="G27" s="29">
        <v>1</v>
      </c>
      <c r="H27" s="30">
        <f t="shared" si="0"/>
        <v>0</v>
      </c>
      <c r="I27" s="31"/>
      <c r="J27" s="32"/>
      <c r="K27" s="33">
        <v>1</v>
      </c>
      <c r="L27" s="30">
        <f t="shared" si="1"/>
        <v>0</v>
      </c>
      <c r="M27" s="31"/>
      <c r="N27" s="34">
        <f t="shared" si="2"/>
        <v>0</v>
      </c>
      <c r="O27" s="35" t="str">
        <f t="shared" si="3"/>
        <v/>
      </c>
    </row>
    <row r="28" spans="2:15" x14ac:dyDescent="0.25">
      <c r="B28" s="25" t="s">
        <v>25</v>
      </c>
      <c r="C28" s="25"/>
      <c r="D28" s="26" t="s">
        <v>81</v>
      </c>
      <c r="E28" s="27"/>
      <c r="F28" s="28">
        <f>Rates!D57</f>
        <v>0.15790000000000001</v>
      </c>
      <c r="G28" s="185">
        <f>$F$17</f>
        <v>150</v>
      </c>
      <c r="H28" s="30">
        <f t="shared" si="0"/>
        <v>23.685000000000002</v>
      </c>
      <c r="I28" s="31"/>
      <c r="J28" s="32">
        <f>Rates!F57</f>
        <v>0.18490000000000001</v>
      </c>
      <c r="K28" s="185">
        <f>$F$17</f>
        <v>150</v>
      </c>
      <c r="L28" s="30">
        <f t="shared" si="1"/>
        <v>27.735000000000003</v>
      </c>
      <c r="M28" s="31"/>
      <c r="N28" s="34">
        <f t="shared" si="2"/>
        <v>4.0500000000000007</v>
      </c>
      <c r="O28" s="35">
        <f t="shared" si="3"/>
        <v>0.17099430018999368</v>
      </c>
    </row>
    <row r="29" spans="2:15" x14ac:dyDescent="0.25">
      <c r="B29" s="25" t="s">
        <v>26</v>
      </c>
      <c r="C29" s="25"/>
      <c r="D29" s="26"/>
      <c r="E29" s="27"/>
      <c r="F29" s="28"/>
      <c r="G29" s="29">
        <f t="shared" ref="G29:G43" si="4">$K$17</f>
        <v>1</v>
      </c>
      <c r="H29" s="30">
        <f t="shared" si="0"/>
        <v>0</v>
      </c>
      <c r="I29" s="31"/>
      <c r="J29" s="32"/>
      <c r="K29" s="29">
        <f t="shared" ref="K29:K43" si="5">$K$17</f>
        <v>1</v>
      </c>
      <c r="L29" s="30">
        <f t="shared" si="1"/>
        <v>0</v>
      </c>
      <c r="M29" s="31"/>
      <c r="N29" s="34">
        <f t="shared" si="2"/>
        <v>0</v>
      </c>
      <c r="O29" s="35" t="str">
        <f t="shared" si="3"/>
        <v/>
      </c>
    </row>
    <row r="30" spans="2:15" x14ac:dyDescent="0.25">
      <c r="B30" s="25" t="s">
        <v>27</v>
      </c>
      <c r="C30" s="25"/>
      <c r="D30" s="26"/>
      <c r="E30" s="27"/>
      <c r="F30" s="28"/>
      <c r="G30" s="29">
        <f t="shared" si="4"/>
        <v>1</v>
      </c>
      <c r="H30" s="30">
        <f t="shared" si="0"/>
        <v>0</v>
      </c>
      <c r="I30" s="31"/>
      <c r="J30" s="32"/>
      <c r="K30" s="29">
        <f t="shared" si="5"/>
        <v>1</v>
      </c>
      <c r="L30" s="30">
        <f t="shared" si="1"/>
        <v>0</v>
      </c>
      <c r="M30" s="31"/>
      <c r="N30" s="34">
        <f t="shared" si="2"/>
        <v>0</v>
      </c>
      <c r="O30" s="35" t="str">
        <f t="shared" si="3"/>
        <v/>
      </c>
    </row>
    <row r="31" spans="2:15" ht="30" x14ac:dyDescent="0.25">
      <c r="B31" s="183" t="str">
        <f>Rates!A5</f>
        <v>Foregone Revenue Recovery - effective until December 31, 2014 (2014)</v>
      </c>
      <c r="C31" s="25"/>
      <c r="D31" s="63" t="s">
        <v>81</v>
      </c>
      <c r="E31" s="27"/>
      <c r="F31" s="32">
        <f>Rates!D58</f>
        <v>5.0000000000000001E-4</v>
      </c>
      <c r="G31" s="185">
        <f>$F$17</f>
        <v>150</v>
      </c>
      <c r="H31" s="30">
        <f t="shared" si="0"/>
        <v>7.4999999999999997E-2</v>
      </c>
      <c r="I31" s="31"/>
      <c r="J31" s="32">
        <f>Rates!F58</f>
        <v>0</v>
      </c>
      <c r="K31" s="185">
        <f>$F$17</f>
        <v>150</v>
      </c>
      <c r="L31" s="30">
        <f t="shared" si="1"/>
        <v>0</v>
      </c>
      <c r="M31" s="31"/>
      <c r="N31" s="34">
        <f t="shared" si="2"/>
        <v>-7.4999999999999997E-2</v>
      </c>
      <c r="O31" s="35">
        <f t="shared" si="3"/>
        <v>-1</v>
      </c>
    </row>
    <row r="32" spans="2:15" ht="30" x14ac:dyDescent="0.25">
      <c r="B32" s="183" t="str">
        <f>Rates!A6</f>
        <v>Tax Changes - effective until December 31, 2014</v>
      </c>
      <c r="C32" s="25"/>
      <c r="D32" s="63" t="s">
        <v>81</v>
      </c>
      <c r="E32" s="27"/>
      <c r="F32" s="32">
        <f>Rates!D59</f>
        <v>-5.0000000000000001E-4</v>
      </c>
      <c r="G32" s="185">
        <f>$F$17</f>
        <v>150</v>
      </c>
      <c r="H32" s="30">
        <f t="shared" si="0"/>
        <v>-7.4999999999999997E-2</v>
      </c>
      <c r="I32" s="31"/>
      <c r="J32" s="32">
        <f>Rates!F59</f>
        <v>0</v>
      </c>
      <c r="K32" s="185">
        <f>$F$17</f>
        <v>150</v>
      </c>
      <c r="L32" s="30">
        <f t="shared" si="1"/>
        <v>0</v>
      </c>
      <c r="M32" s="31"/>
      <c r="N32" s="34">
        <f t="shared" si="2"/>
        <v>7.4999999999999997E-2</v>
      </c>
      <c r="O32" s="35">
        <f t="shared" si="3"/>
        <v>-1</v>
      </c>
    </row>
    <row r="33" spans="2:15" ht="45" x14ac:dyDescent="0.25">
      <c r="B33" s="183" t="str">
        <f>Rates!A63</f>
        <v>Rate Rider for the Disposition of Account 1575 &amp; 1576 - effective until December 31, 2019</v>
      </c>
      <c r="C33" s="25"/>
      <c r="D33" s="63" t="s">
        <v>81</v>
      </c>
      <c r="E33" s="27"/>
      <c r="F33" s="32">
        <f>Rates!D63</f>
        <v>0</v>
      </c>
      <c r="G33" s="185">
        <f>$F$17</f>
        <v>150</v>
      </c>
      <c r="H33" s="30">
        <f t="shared" si="0"/>
        <v>0</v>
      </c>
      <c r="I33" s="31"/>
      <c r="J33" s="32">
        <f>Rates!F63</f>
        <v>-1.9E-3</v>
      </c>
      <c r="K33" s="185">
        <f>$F$17</f>
        <v>150</v>
      </c>
      <c r="L33" s="30">
        <f t="shared" si="1"/>
        <v>-0.28499999999999998</v>
      </c>
      <c r="M33" s="31"/>
      <c r="N33" s="34">
        <f t="shared" si="2"/>
        <v>-0.28499999999999998</v>
      </c>
      <c r="O33" s="35" t="str">
        <f t="shared" si="3"/>
        <v/>
      </c>
    </row>
    <row r="34" spans="2:15" x14ac:dyDescent="0.25">
      <c r="B34" s="37"/>
      <c r="C34" s="25"/>
      <c r="D34" s="26"/>
      <c r="E34" s="27"/>
      <c r="F34" s="28"/>
      <c r="G34" s="29">
        <f t="shared" si="4"/>
        <v>1</v>
      </c>
      <c r="H34" s="30">
        <f t="shared" si="0"/>
        <v>0</v>
      </c>
      <c r="I34" s="31"/>
      <c r="J34" s="32"/>
      <c r="K34" s="29">
        <f t="shared" si="5"/>
        <v>1</v>
      </c>
      <c r="L34" s="30">
        <f t="shared" si="1"/>
        <v>0</v>
      </c>
      <c r="M34" s="31"/>
      <c r="N34" s="34">
        <f t="shared" si="2"/>
        <v>0</v>
      </c>
      <c r="O34" s="35" t="str">
        <f t="shared" si="3"/>
        <v/>
      </c>
    </row>
    <row r="35" spans="2:15" x14ac:dyDescent="0.25">
      <c r="B35" s="37"/>
      <c r="C35" s="25"/>
      <c r="D35" s="26"/>
      <c r="E35" s="27"/>
      <c r="F35" s="28"/>
      <c r="G35" s="29">
        <f t="shared" si="4"/>
        <v>1</v>
      </c>
      <c r="H35" s="30">
        <f t="shared" si="0"/>
        <v>0</v>
      </c>
      <c r="I35" s="31"/>
      <c r="J35" s="32"/>
      <c r="K35" s="29">
        <f t="shared" si="5"/>
        <v>1</v>
      </c>
      <c r="L35" s="30">
        <f t="shared" si="1"/>
        <v>0</v>
      </c>
      <c r="M35" s="31"/>
      <c r="N35" s="34">
        <f t="shared" si="2"/>
        <v>0</v>
      </c>
      <c r="O35" s="35" t="str">
        <f t="shared" si="3"/>
        <v/>
      </c>
    </row>
    <row r="36" spans="2:15" x14ac:dyDescent="0.25">
      <c r="B36" s="37"/>
      <c r="C36" s="25"/>
      <c r="D36" s="26"/>
      <c r="E36" s="27"/>
      <c r="F36" s="28"/>
      <c r="G36" s="29">
        <f t="shared" si="4"/>
        <v>1</v>
      </c>
      <c r="H36" s="30">
        <f t="shared" si="0"/>
        <v>0</v>
      </c>
      <c r="I36" s="31"/>
      <c r="J36" s="32"/>
      <c r="K36" s="29">
        <f t="shared" si="5"/>
        <v>1</v>
      </c>
      <c r="L36" s="30">
        <f t="shared" si="1"/>
        <v>0</v>
      </c>
      <c r="M36" s="31"/>
      <c r="N36" s="34">
        <f t="shared" si="2"/>
        <v>0</v>
      </c>
      <c r="O36" s="35" t="str">
        <f t="shared" si="3"/>
        <v/>
      </c>
    </row>
    <row r="37" spans="2:15" x14ac:dyDescent="0.25">
      <c r="B37" s="37"/>
      <c r="C37" s="25"/>
      <c r="D37" s="26"/>
      <c r="E37" s="27"/>
      <c r="F37" s="28"/>
      <c r="G37" s="29">
        <f t="shared" si="4"/>
        <v>1</v>
      </c>
      <c r="H37" s="30">
        <f t="shared" si="0"/>
        <v>0</v>
      </c>
      <c r="I37" s="31"/>
      <c r="J37" s="32"/>
      <c r="K37" s="29">
        <f t="shared" si="5"/>
        <v>1</v>
      </c>
      <c r="L37" s="30">
        <f t="shared" si="1"/>
        <v>0</v>
      </c>
      <c r="M37" s="31"/>
      <c r="N37" s="34">
        <f t="shared" si="2"/>
        <v>0</v>
      </c>
      <c r="O37" s="35" t="str">
        <f t="shared" si="3"/>
        <v/>
      </c>
    </row>
    <row r="38" spans="2:15" s="49" customFormat="1" x14ac:dyDescent="0.25">
      <c r="B38" s="38" t="s">
        <v>28</v>
      </c>
      <c r="C38" s="39"/>
      <c r="D38" s="40"/>
      <c r="E38" s="39"/>
      <c r="F38" s="41"/>
      <c r="G38" s="42"/>
      <c r="H38" s="43">
        <f>SUM(H22:H37)</f>
        <v>24.665000000000003</v>
      </c>
      <c r="I38" s="44"/>
      <c r="J38" s="45"/>
      <c r="K38" s="46"/>
      <c r="L38" s="43">
        <f>SUM(L22:L37)</f>
        <v>28.430000000000003</v>
      </c>
      <c r="M38" s="44"/>
      <c r="N38" s="47">
        <f t="shared" si="2"/>
        <v>3.7650000000000006</v>
      </c>
      <c r="O38" s="48">
        <f t="shared" si="3"/>
        <v>0.15264544901682547</v>
      </c>
    </row>
    <row r="39" spans="2:15" ht="38.25" x14ac:dyDescent="0.25">
      <c r="B39" s="50" t="str">
        <f>Rates!A60</f>
        <v>Rate Rider for the Disposition of Deferral/Variance Accounts (2014) - effective until December 31, 2015</v>
      </c>
      <c r="C39" s="25"/>
      <c r="D39" s="63" t="s">
        <v>81</v>
      </c>
      <c r="E39" s="27"/>
      <c r="F39" s="32">
        <f>Rates!D60</f>
        <v>0</v>
      </c>
      <c r="G39" s="185">
        <f>$F$17</f>
        <v>150</v>
      </c>
      <c r="H39" s="30">
        <f>G39*F39</f>
        <v>0</v>
      </c>
      <c r="I39" s="31"/>
      <c r="J39" s="32">
        <f>Rates!F60</f>
        <v>-6.45E-3</v>
      </c>
      <c r="K39" s="185">
        <f>$F$17</f>
        <v>150</v>
      </c>
      <c r="L39" s="30">
        <f>K39*J39</f>
        <v>-0.96750000000000003</v>
      </c>
      <c r="M39" s="31"/>
      <c r="N39" s="34">
        <f>L39-H39</f>
        <v>-0.96750000000000003</v>
      </c>
      <c r="O39" s="35" t="str">
        <f>IF((H39)=0,"",(N39/H39))</f>
        <v/>
      </c>
    </row>
    <row r="40" spans="2:15" ht="38.25" x14ac:dyDescent="0.25">
      <c r="B40" s="50" t="str">
        <f>Rates!A61</f>
        <v>Rate Rider for the Disposition of Global Adjustment Sub-Account (2014) - effective until December 31, 2015</v>
      </c>
      <c r="C40" s="25"/>
      <c r="D40" s="63" t="s">
        <v>81</v>
      </c>
      <c r="E40" s="27"/>
      <c r="F40" s="28">
        <f>Rates!D61</f>
        <v>0</v>
      </c>
      <c r="G40" s="185">
        <f>$F$17</f>
        <v>150</v>
      </c>
      <c r="H40" s="30">
        <f t="shared" ref="H40:H44" si="6">G40*F40</f>
        <v>0</v>
      </c>
      <c r="I40" s="51"/>
      <c r="J40" s="32">
        <f>Rates!F61</f>
        <v>1.005E-2</v>
      </c>
      <c r="K40" s="185">
        <f>$F$17</f>
        <v>150</v>
      </c>
      <c r="L40" s="30">
        <f t="shared" ref="L40:L44" si="7">K40*J40</f>
        <v>1.5075000000000001</v>
      </c>
      <c r="M40" s="52"/>
      <c r="N40" s="34">
        <f t="shared" ref="N40:N44" si="8">L40-H40</f>
        <v>1.5075000000000001</v>
      </c>
      <c r="O40" s="35" t="str">
        <f t="shared" ref="O40:O44" si="9">IF((H40)=0,"",(N40/H40))</f>
        <v/>
      </c>
    </row>
    <row r="41" spans="2:15" x14ac:dyDescent="0.25">
      <c r="B41" s="50"/>
      <c r="C41" s="25"/>
      <c r="D41" s="26"/>
      <c r="E41" s="27"/>
      <c r="F41" s="28"/>
      <c r="G41" s="29">
        <f t="shared" si="4"/>
        <v>1</v>
      </c>
      <c r="H41" s="30">
        <f t="shared" si="6"/>
        <v>0</v>
      </c>
      <c r="I41" s="51"/>
      <c r="J41" s="32"/>
      <c r="K41" s="29">
        <f t="shared" si="5"/>
        <v>1</v>
      </c>
      <c r="L41" s="30">
        <f t="shared" si="7"/>
        <v>0</v>
      </c>
      <c r="M41" s="52"/>
      <c r="N41" s="34">
        <f t="shared" si="8"/>
        <v>0</v>
      </c>
      <c r="O41" s="35" t="str">
        <f t="shared" si="9"/>
        <v/>
      </c>
    </row>
    <row r="42" spans="2:15" x14ac:dyDescent="0.25">
      <c r="B42" s="50"/>
      <c r="C42" s="25"/>
      <c r="D42" s="26"/>
      <c r="E42" s="27"/>
      <c r="F42" s="28"/>
      <c r="G42" s="29">
        <f t="shared" si="4"/>
        <v>1</v>
      </c>
      <c r="H42" s="30">
        <f t="shared" si="6"/>
        <v>0</v>
      </c>
      <c r="I42" s="51"/>
      <c r="J42" s="32"/>
      <c r="K42" s="29">
        <f t="shared" si="5"/>
        <v>1</v>
      </c>
      <c r="L42" s="30">
        <f t="shared" si="7"/>
        <v>0</v>
      </c>
      <c r="M42" s="52"/>
      <c r="N42" s="34">
        <f t="shared" si="8"/>
        <v>0</v>
      </c>
      <c r="O42" s="35" t="str">
        <f t="shared" si="9"/>
        <v/>
      </c>
    </row>
    <row r="43" spans="2:15" x14ac:dyDescent="0.25">
      <c r="B43" s="53" t="s">
        <v>29</v>
      </c>
      <c r="C43" s="25"/>
      <c r="D43" s="26"/>
      <c r="E43" s="27"/>
      <c r="F43" s="28"/>
      <c r="G43" s="29">
        <f t="shared" si="4"/>
        <v>1</v>
      </c>
      <c r="H43" s="30">
        <f>G43*F43</f>
        <v>0</v>
      </c>
      <c r="I43" s="31"/>
      <c r="J43" s="32"/>
      <c r="K43" s="29">
        <f t="shared" si="5"/>
        <v>1</v>
      </c>
      <c r="L43" s="30">
        <f>K43*J43</f>
        <v>0</v>
      </c>
      <c r="M43" s="31"/>
      <c r="N43" s="34">
        <f>L43-H43</f>
        <v>0</v>
      </c>
      <c r="O43" s="35" t="str">
        <f>IF((H43)=0,"",(N43/H43))</f>
        <v/>
      </c>
    </row>
    <row r="44" spans="2:15" x14ac:dyDescent="0.25">
      <c r="B44" s="53" t="s">
        <v>30</v>
      </c>
      <c r="C44" s="25"/>
      <c r="D44" s="26" t="s">
        <v>81</v>
      </c>
      <c r="E44" s="27"/>
      <c r="F44" s="186">
        <f>Rates!D83</f>
        <v>8.949E-2</v>
      </c>
      <c r="G44" s="55">
        <f>$F$17*(1+$F$61)-$F$17</f>
        <v>12.960000000000008</v>
      </c>
      <c r="H44" s="30">
        <f t="shared" si="6"/>
        <v>1.1597904000000008</v>
      </c>
      <c r="I44" s="31"/>
      <c r="J44" s="188">
        <f>Rates!F83</f>
        <v>8.949E-2</v>
      </c>
      <c r="K44" s="55">
        <f>$F$17*(1+$J$61)-$F$17</f>
        <v>13.754999999999995</v>
      </c>
      <c r="L44" s="30">
        <f t="shared" si="7"/>
        <v>1.2309349499999995</v>
      </c>
      <c r="M44" s="31"/>
      <c r="N44" s="34">
        <f t="shared" si="8"/>
        <v>7.1144549999998752E-2</v>
      </c>
      <c r="O44" s="35">
        <f t="shared" si="9"/>
        <v>6.1342592592591477E-2</v>
      </c>
    </row>
    <row r="45" spans="2:15" x14ac:dyDescent="0.25">
      <c r="B45" s="53" t="s">
        <v>31</v>
      </c>
      <c r="C45" s="25"/>
      <c r="D45" s="26" t="s">
        <v>79</v>
      </c>
      <c r="E45" s="27"/>
      <c r="F45" s="54"/>
      <c r="G45" s="29">
        <v>1</v>
      </c>
      <c r="H45" s="30">
        <f>G45*F45</f>
        <v>0</v>
      </c>
      <c r="I45" s="31"/>
      <c r="J45" s="54"/>
      <c r="K45" s="29">
        <v>1</v>
      </c>
      <c r="L45" s="30">
        <f>K45*J45</f>
        <v>0</v>
      </c>
      <c r="M45" s="31"/>
      <c r="N45" s="34">
        <f>L45-H45</f>
        <v>0</v>
      </c>
      <c r="O45" s="35"/>
    </row>
    <row r="46" spans="2:15" ht="25.5" x14ac:dyDescent="0.25">
      <c r="B46" s="57" t="s">
        <v>32</v>
      </c>
      <c r="C46" s="58"/>
      <c r="D46" s="58"/>
      <c r="E46" s="58"/>
      <c r="F46" s="59"/>
      <c r="G46" s="60"/>
      <c r="H46" s="61">
        <f>SUM(H39:H45)+H38</f>
        <v>25.824790400000005</v>
      </c>
      <c r="I46" s="44"/>
      <c r="J46" s="60"/>
      <c r="K46" s="62"/>
      <c r="L46" s="61">
        <f>SUM(L39:L45)+L38</f>
        <v>30.200934950000004</v>
      </c>
      <c r="M46" s="44"/>
      <c r="N46" s="47">
        <f t="shared" ref="N46:N58" si="10">L46-H46</f>
        <v>4.3761445499999994</v>
      </c>
      <c r="O46" s="48">
        <f t="shared" ref="O46:O58" si="11">IF((H46)=0,"",(N46/H46))</f>
        <v>0.16945518171562773</v>
      </c>
    </row>
    <row r="47" spans="2:15" x14ac:dyDescent="0.25">
      <c r="B47" s="31" t="s">
        <v>33</v>
      </c>
      <c r="C47" s="31"/>
      <c r="D47" s="63" t="s">
        <v>88</v>
      </c>
      <c r="E47" s="64"/>
      <c r="F47" s="32">
        <f>Rates!D64</f>
        <v>1.9502999999999999</v>
      </c>
      <c r="G47" s="65">
        <f>K17*(1+F61)</f>
        <v>1.0864</v>
      </c>
      <c r="H47" s="30">
        <f>G47*F47</f>
        <v>2.1188059199999998</v>
      </c>
      <c r="I47" s="31"/>
      <c r="J47" s="32">
        <f>Rates!F64</f>
        <v>2.0108999999999999</v>
      </c>
      <c r="K47" s="66">
        <f>K17*(1+J61)</f>
        <v>1.0916999999999999</v>
      </c>
      <c r="L47" s="30">
        <f>K47*J47</f>
        <v>2.1952995299999998</v>
      </c>
      <c r="M47" s="31"/>
      <c r="N47" s="34">
        <f t="shared" si="10"/>
        <v>7.649360999999999E-2</v>
      </c>
      <c r="O47" s="35">
        <f t="shared" si="11"/>
        <v>3.610222591788869E-2</v>
      </c>
    </row>
    <row r="48" spans="2:15" ht="30" x14ac:dyDescent="0.25">
      <c r="B48" s="67" t="s">
        <v>34</v>
      </c>
      <c r="C48" s="31"/>
      <c r="D48" s="63" t="s">
        <v>88</v>
      </c>
      <c r="E48" s="64"/>
      <c r="F48" s="32">
        <f>Rates!D65</f>
        <v>1.3906000000000001</v>
      </c>
      <c r="G48" s="65">
        <f>G47</f>
        <v>1.0864</v>
      </c>
      <c r="H48" s="30">
        <f>G48*F48</f>
        <v>1.5107478400000001</v>
      </c>
      <c r="I48" s="31"/>
      <c r="J48" s="32">
        <f>Rates!F65</f>
        <v>1.4094</v>
      </c>
      <c r="K48" s="66">
        <f>K47</f>
        <v>1.0916999999999999</v>
      </c>
      <c r="L48" s="30">
        <f>K48*J48</f>
        <v>1.5386419799999997</v>
      </c>
      <c r="M48" s="31"/>
      <c r="N48" s="34">
        <f t="shared" si="10"/>
        <v>2.7894139999999679E-2</v>
      </c>
      <c r="O48" s="35">
        <f t="shared" si="11"/>
        <v>1.8463796049511264E-2</v>
      </c>
    </row>
    <row r="49" spans="1:19" ht="25.5" x14ac:dyDescent="0.25">
      <c r="B49" s="57" t="s">
        <v>35</v>
      </c>
      <c r="C49" s="39"/>
      <c r="D49" s="39"/>
      <c r="E49" s="39"/>
      <c r="F49" s="68"/>
      <c r="G49" s="60"/>
      <c r="H49" s="61">
        <f>SUM(H46:H48)</f>
        <v>29.454344160000005</v>
      </c>
      <c r="I49" s="69"/>
      <c r="J49" s="70"/>
      <c r="K49" s="71"/>
      <c r="L49" s="61">
        <f>SUM(L46:L48)</f>
        <v>33.934876460000005</v>
      </c>
      <c r="M49" s="69"/>
      <c r="N49" s="47">
        <f t="shared" si="10"/>
        <v>4.4805323000000001</v>
      </c>
      <c r="O49" s="48">
        <f t="shared" si="11"/>
        <v>0.15211787693051793</v>
      </c>
    </row>
    <row r="50" spans="1:19" ht="30" x14ac:dyDescent="0.25">
      <c r="B50" s="72" t="s">
        <v>36</v>
      </c>
      <c r="C50" s="25"/>
      <c r="D50" s="63" t="s">
        <v>81</v>
      </c>
      <c r="E50" s="27"/>
      <c r="F50" s="75">
        <f>Rates!D66</f>
        <v>4.4000000000000003E-3</v>
      </c>
      <c r="G50" s="65">
        <f>F17*(1+F61)</f>
        <v>162.96</v>
      </c>
      <c r="H50" s="74">
        <f t="shared" ref="H50:H54" si="12">G50*F50</f>
        <v>0.71702400000000011</v>
      </c>
      <c r="I50" s="31"/>
      <c r="J50" s="75">
        <f>Rates!F66</f>
        <v>4.4000000000000003E-3</v>
      </c>
      <c r="K50" s="66">
        <f>F17*(1+J61)</f>
        <v>163.755</v>
      </c>
      <c r="L50" s="74">
        <f t="shared" ref="L50:L54" si="13">K50*J50</f>
        <v>0.720522</v>
      </c>
      <c r="M50" s="31"/>
      <c r="N50" s="34">
        <f t="shared" si="10"/>
        <v>3.4979999999998901E-3</v>
      </c>
      <c r="O50" s="76">
        <f t="shared" si="11"/>
        <v>4.8784977908687705E-3</v>
      </c>
    </row>
    <row r="51" spans="1:19" ht="30" x14ac:dyDescent="0.25">
      <c r="B51" s="72" t="s">
        <v>37</v>
      </c>
      <c r="C51" s="25"/>
      <c r="D51" s="63" t="s">
        <v>81</v>
      </c>
      <c r="E51" s="27"/>
      <c r="F51" s="75">
        <f>Rates!D67</f>
        <v>1.2999999999999999E-3</v>
      </c>
      <c r="G51" s="65">
        <f>G50</f>
        <v>162.96</v>
      </c>
      <c r="H51" s="74">
        <f t="shared" si="12"/>
        <v>0.21184800000000001</v>
      </c>
      <c r="I51" s="31"/>
      <c r="J51" s="75">
        <f>Rates!F67</f>
        <v>1.2999999999999999E-3</v>
      </c>
      <c r="K51" s="66">
        <f>K50</f>
        <v>163.755</v>
      </c>
      <c r="L51" s="74">
        <f t="shared" si="13"/>
        <v>0.21288149999999997</v>
      </c>
      <c r="M51" s="31"/>
      <c r="N51" s="34">
        <f t="shared" si="10"/>
        <v>1.033499999999965E-3</v>
      </c>
      <c r="O51" s="76">
        <f t="shared" si="11"/>
        <v>4.8784977908687592E-3</v>
      </c>
    </row>
    <row r="52" spans="1:19" x14ac:dyDescent="0.25">
      <c r="B52" s="25" t="s">
        <v>38</v>
      </c>
      <c r="C52" s="25"/>
      <c r="D52" s="26" t="s">
        <v>79</v>
      </c>
      <c r="E52" s="27"/>
      <c r="F52" s="73">
        <f>Rates!D68</f>
        <v>0.25</v>
      </c>
      <c r="G52" s="29">
        <v>1</v>
      </c>
      <c r="H52" s="74">
        <f t="shared" si="12"/>
        <v>0.25</v>
      </c>
      <c r="I52" s="31"/>
      <c r="J52" s="75">
        <f>Rates!F68</f>
        <v>0.25</v>
      </c>
      <c r="K52" s="33">
        <v>1</v>
      </c>
      <c r="L52" s="74">
        <f t="shared" si="13"/>
        <v>0.25</v>
      </c>
      <c r="M52" s="31"/>
      <c r="N52" s="34">
        <f t="shared" si="10"/>
        <v>0</v>
      </c>
      <c r="O52" s="76">
        <f t="shared" si="11"/>
        <v>0</v>
      </c>
    </row>
    <row r="53" spans="1:19" x14ac:dyDescent="0.25">
      <c r="B53" s="25" t="s">
        <v>39</v>
      </c>
      <c r="C53" s="25"/>
      <c r="D53" s="26" t="s">
        <v>81</v>
      </c>
      <c r="E53" s="27"/>
      <c r="F53" s="73">
        <f>Rates!D71</f>
        <v>2E-3</v>
      </c>
      <c r="G53" s="77">
        <f>F17</f>
        <v>150</v>
      </c>
      <c r="H53" s="74">
        <f t="shared" si="12"/>
        <v>0.3</v>
      </c>
      <c r="I53" s="31"/>
      <c r="J53" s="75">
        <f>Rates!F71</f>
        <v>2E-3</v>
      </c>
      <c r="K53" s="78">
        <f>F17</f>
        <v>150</v>
      </c>
      <c r="L53" s="74">
        <f t="shared" si="13"/>
        <v>0.3</v>
      </c>
      <c r="M53" s="31"/>
      <c r="N53" s="34">
        <f t="shared" si="10"/>
        <v>0</v>
      </c>
      <c r="O53" s="76">
        <f t="shared" si="11"/>
        <v>0</v>
      </c>
    </row>
    <row r="54" spans="1:19" ht="15.75" thickBot="1" x14ac:dyDescent="0.3">
      <c r="B54" s="53" t="s">
        <v>91</v>
      </c>
      <c r="C54" s="25"/>
      <c r="D54" s="26" t="s">
        <v>81</v>
      </c>
      <c r="E54" s="27"/>
      <c r="F54" s="187">
        <f>Rates!D83</f>
        <v>8.949E-2</v>
      </c>
      <c r="G54" s="80">
        <f>$F$17</f>
        <v>150</v>
      </c>
      <c r="H54" s="74">
        <f t="shared" si="12"/>
        <v>13.423500000000001</v>
      </c>
      <c r="I54" s="31"/>
      <c r="J54" s="189">
        <f>Rates!F83</f>
        <v>8.949E-2</v>
      </c>
      <c r="K54" s="80">
        <f>F17</f>
        <v>150</v>
      </c>
      <c r="L54" s="74">
        <f t="shared" si="13"/>
        <v>13.423500000000001</v>
      </c>
      <c r="M54" s="31"/>
      <c r="N54" s="34">
        <f t="shared" si="10"/>
        <v>0</v>
      </c>
      <c r="O54" s="76">
        <f t="shared" si="11"/>
        <v>0</v>
      </c>
      <c r="S54" s="81"/>
    </row>
    <row r="55" spans="1:19" ht="15.75" thickBot="1" x14ac:dyDescent="0.3">
      <c r="B55" s="90"/>
      <c r="C55" s="91"/>
      <c r="D55" s="92"/>
      <c r="E55" s="91"/>
      <c r="F55" s="93"/>
      <c r="G55" s="94"/>
      <c r="H55" s="95"/>
      <c r="I55" s="96"/>
      <c r="J55" s="93"/>
      <c r="K55" s="97"/>
      <c r="L55" s="95"/>
      <c r="M55" s="96"/>
      <c r="N55" s="98"/>
      <c r="O55" s="99"/>
    </row>
    <row r="56" spans="1:19" x14ac:dyDescent="0.25">
      <c r="B56" s="100" t="s">
        <v>106</v>
      </c>
      <c r="C56" s="25"/>
      <c r="D56" s="25"/>
      <c r="E56" s="25"/>
      <c r="F56" s="101"/>
      <c r="G56" s="102"/>
      <c r="H56" s="103">
        <f>SUM(H50:H54,H49)</f>
        <v>44.356716160000005</v>
      </c>
      <c r="I56" s="104"/>
      <c r="J56" s="105"/>
      <c r="K56" s="105"/>
      <c r="L56" s="181">
        <f>SUM(L50:L54,L49)</f>
        <v>48.841779960000004</v>
      </c>
      <c r="M56" s="106"/>
      <c r="N56" s="107">
        <f t="shared" ref="N56" si="14">L56-H56</f>
        <v>4.4850637999999989</v>
      </c>
      <c r="O56" s="108">
        <f t="shared" ref="O56" si="15">IF((H56)=0,"",(N56/H56))</f>
        <v>0.10111352210614137</v>
      </c>
      <c r="S56" s="81"/>
    </row>
    <row r="57" spans="1:19" x14ac:dyDescent="0.25">
      <c r="B57" s="109" t="s">
        <v>46</v>
      </c>
      <c r="C57" s="25"/>
      <c r="D57" s="25"/>
      <c r="E57" s="25"/>
      <c r="F57" s="110">
        <v>0.13</v>
      </c>
      <c r="G57" s="111"/>
      <c r="H57" s="112">
        <f>H56*F57</f>
        <v>5.766373100800001</v>
      </c>
      <c r="I57" s="113"/>
      <c r="J57" s="114">
        <v>0.13</v>
      </c>
      <c r="K57" s="113"/>
      <c r="L57" s="115">
        <f>L56*J57</f>
        <v>6.3494313948000007</v>
      </c>
      <c r="M57" s="116"/>
      <c r="N57" s="117">
        <f t="shared" si="10"/>
        <v>0.58305829399999975</v>
      </c>
      <c r="O57" s="118">
        <f t="shared" si="11"/>
        <v>0.10111352210614136</v>
      </c>
      <c r="S57" s="81"/>
    </row>
    <row r="58" spans="1:19" ht="15.75" thickBot="1" x14ac:dyDescent="0.3">
      <c r="B58" s="119" t="s">
        <v>52</v>
      </c>
      <c r="C58" s="25"/>
      <c r="D58" s="25"/>
      <c r="E58" s="25"/>
      <c r="F58" s="120"/>
      <c r="G58" s="111"/>
      <c r="H58" s="112">
        <f>H56+H57</f>
        <v>50.123089260800008</v>
      </c>
      <c r="I58" s="113"/>
      <c r="J58" s="113"/>
      <c r="K58" s="113"/>
      <c r="L58" s="115">
        <f>L56+L57</f>
        <v>55.191211354800004</v>
      </c>
      <c r="M58" s="116"/>
      <c r="N58" s="117">
        <f t="shared" si="10"/>
        <v>5.068122093999996</v>
      </c>
      <c r="O58" s="118">
        <f t="shared" si="11"/>
        <v>0.10111352210614132</v>
      </c>
      <c r="S58" s="81"/>
    </row>
    <row r="59" spans="1:19" s="89" customFormat="1" ht="15.75" thickBot="1" x14ac:dyDescent="0.25">
      <c r="B59" s="134"/>
      <c r="C59" s="135"/>
      <c r="D59" s="136"/>
      <c r="E59" s="135"/>
      <c r="F59" s="93"/>
      <c r="G59" s="137"/>
      <c r="H59" s="95"/>
      <c r="I59" s="138"/>
      <c r="J59" s="93"/>
      <c r="K59" s="139"/>
      <c r="L59" s="95"/>
      <c r="M59" s="138"/>
      <c r="N59" s="140"/>
      <c r="O59" s="99"/>
    </row>
    <row r="60" spans="1:19" x14ac:dyDescent="0.25">
      <c r="L60" s="81"/>
    </row>
    <row r="61" spans="1:19" x14ac:dyDescent="0.25">
      <c r="B61" s="16" t="s">
        <v>50</v>
      </c>
      <c r="F61" s="179">
        <f>Rates!D76</f>
        <v>8.6400000000000005E-2</v>
      </c>
      <c r="J61" s="179">
        <f>Rates!F76</f>
        <v>9.1700000000000004E-2</v>
      </c>
    </row>
    <row r="63" spans="1:19" x14ac:dyDescent="0.25">
      <c r="A63" s="180"/>
      <c r="B63" s="10" t="s">
        <v>51</v>
      </c>
    </row>
  </sheetData>
  <mergeCells count="11">
    <mergeCell ref="D20:D21"/>
    <mergeCell ref="N20:N21"/>
    <mergeCell ref="O20:O21"/>
    <mergeCell ref="A3:K3"/>
    <mergeCell ref="B10:O10"/>
    <mergeCell ref="B11:O11"/>
    <mergeCell ref="D14:O14"/>
    <mergeCell ref="I17:J17"/>
    <mergeCell ref="F19:H19"/>
    <mergeCell ref="J19:L19"/>
    <mergeCell ref="N19:O19"/>
  </mergeCells>
  <dataValidations count="2">
    <dataValidation type="list" allowBlank="1" showInputMessage="1" showErrorMessage="1" prompt="Select Charge Unit - monthly, per kWh, per kW" sqref="D47:D48 D39:D45 D59 D22:D37 D50:D55">
      <formula1>"Monthly, per kWh, per kW"</formula1>
    </dataValidation>
    <dataValidation type="list" allowBlank="1" showInputMessage="1" showErrorMessage="1" sqref="E47:E48 E39:E45 E22:E37 E59 E50:E55">
      <formula1>#REF!</formula1>
    </dataValidation>
  </dataValidations>
  <pageMargins left="0.7" right="0.7" top="0.75" bottom="0.75" header="0.3" footer="0.3"/>
  <pageSetup scale="61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T63"/>
  <sheetViews>
    <sheetView showGridLines="0" zoomScaleNormal="100" workbookViewId="0">
      <selection activeCell="O64" sqref="O64"/>
    </sheetView>
  </sheetViews>
  <sheetFormatPr defaultRowHeight="15" x14ac:dyDescent="0.25"/>
  <cols>
    <col min="1" max="1" width="2.140625" style="10" customWidth="1"/>
    <col min="2" max="2" width="37.5703125" style="10" customWidth="1"/>
    <col min="3" max="3" width="1.28515625" style="10" customWidth="1"/>
    <col min="4" max="4" width="11.28515625" style="10" customWidth="1"/>
    <col min="5" max="5" width="1.28515625" style="10" customWidth="1"/>
    <col min="6" max="6" width="12.28515625" style="10" customWidth="1"/>
    <col min="7" max="7" width="8.5703125" style="10" customWidth="1"/>
    <col min="8" max="8" width="11.28515625" style="10" bestFit="1" customWidth="1"/>
    <col min="9" max="9" width="2.85546875" style="10" customWidth="1"/>
    <col min="10" max="10" width="12.140625" style="10" customWidth="1"/>
    <col min="11" max="11" width="8.5703125" style="10" customWidth="1"/>
    <col min="12" max="12" width="11.28515625" style="10" bestFit="1" customWidth="1"/>
    <col min="13" max="13" width="2.85546875" style="10" customWidth="1"/>
    <col min="14" max="14" width="12.7109375" style="10" bestFit="1" customWidth="1"/>
    <col min="15" max="15" width="10.85546875" style="10" bestFit="1" customWidth="1"/>
    <col min="16" max="16" width="3.85546875" style="10" customWidth="1"/>
    <col min="17" max="19" width="9.140625" style="10"/>
    <col min="20" max="20" width="9.140625" style="10" customWidth="1"/>
    <col min="21" max="16384" width="9.140625" style="10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O1" s="4">
        <f>EBNUMBER</f>
        <v>0</v>
      </c>
      <c r="P1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 t="s">
        <v>1</v>
      </c>
      <c r="O2" s="6"/>
      <c r="P2"/>
    </row>
    <row r="3" spans="1:20" s="2" customFormat="1" ht="15" customHeight="1" x14ac:dyDescent="0.25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N3" s="3" t="s">
        <v>2</v>
      </c>
      <c r="O3" s="6"/>
      <c r="P3"/>
    </row>
    <row r="4" spans="1:20" s="2" customFormat="1" ht="15" customHeight="1" x14ac:dyDescent="0.25">
      <c r="A4" s="5"/>
      <c r="B4" s="5"/>
      <c r="C4" s="5"/>
      <c r="D4" s="5"/>
      <c r="E4" s="5"/>
      <c r="F4" s="5"/>
      <c r="G4" s="5"/>
      <c r="H4" s="5"/>
      <c r="I4" s="7"/>
      <c r="J4" s="7"/>
      <c r="K4" s="7"/>
      <c r="N4" s="3" t="s">
        <v>3</v>
      </c>
      <c r="O4" s="6"/>
      <c r="P4"/>
    </row>
    <row r="5" spans="1:20" s="2" customFormat="1" ht="15" customHeight="1" x14ac:dyDescent="0.25">
      <c r="C5" s="8"/>
      <c r="D5" s="8"/>
      <c r="E5" s="8"/>
      <c r="N5" s="3" t="s">
        <v>4</v>
      </c>
      <c r="O5" s="9"/>
      <c r="P5"/>
    </row>
    <row r="6" spans="1:20" s="2" customFormat="1" ht="9" customHeight="1" x14ac:dyDescent="0.25">
      <c r="N6" s="3"/>
      <c r="O6" s="4"/>
      <c r="P6"/>
    </row>
    <row r="7" spans="1:20" s="2" customFormat="1" x14ac:dyDescent="0.25">
      <c r="N7" s="3" t="s">
        <v>5</v>
      </c>
      <c r="O7" s="9"/>
      <c r="P7"/>
    </row>
    <row r="8" spans="1:20" s="2" customFormat="1" ht="15" customHeight="1" x14ac:dyDescent="0.25">
      <c r="N8" s="10"/>
      <c r="O8"/>
      <c r="P8"/>
    </row>
    <row r="9" spans="1:20" ht="7.5" customHeight="1" x14ac:dyDescent="0.25">
      <c r="L9"/>
      <c r="M9"/>
      <c r="N9"/>
      <c r="O9"/>
      <c r="P9"/>
    </row>
    <row r="10" spans="1:20" ht="18.75" customHeight="1" x14ac:dyDescent="0.25">
      <c r="B10" s="214" t="s">
        <v>6</v>
      </c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/>
    </row>
    <row r="11" spans="1:20" ht="18.75" customHeight="1" x14ac:dyDescent="0.25">
      <c r="B11" s="214" t="s">
        <v>7</v>
      </c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/>
    </row>
    <row r="12" spans="1:20" ht="7.5" customHeight="1" x14ac:dyDescent="0.25">
      <c r="L12"/>
      <c r="M12"/>
      <c r="N12"/>
      <c r="O12"/>
      <c r="P12"/>
    </row>
    <row r="13" spans="1:20" ht="7.5" customHeight="1" x14ac:dyDescent="0.25">
      <c r="L13"/>
      <c r="M13"/>
      <c r="N13"/>
      <c r="O13"/>
      <c r="P13"/>
    </row>
    <row r="14" spans="1:20" ht="15.75" x14ac:dyDescent="0.25">
      <c r="B14" s="11" t="s">
        <v>8</v>
      </c>
      <c r="D14" s="215" t="s">
        <v>93</v>
      </c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</row>
    <row r="15" spans="1:20" ht="7.5" customHeight="1" x14ac:dyDescent="0.25">
      <c r="B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20" ht="15.75" x14ac:dyDescent="0.25">
      <c r="B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2:15" x14ac:dyDescent="0.25">
      <c r="B17" s="15"/>
      <c r="D17" s="16" t="s">
        <v>11</v>
      </c>
      <c r="E17" s="16"/>
      <c r="F17" s="17">
        <v>25000</v>
      </c>
      <c r="G17" s="16" t="s">
        <v>12</v>
      </c>
      <c r="I17" s="229" t="s">
        <v>86</v>
      </c>
      <c r="J17" s="229"/>
      <c r="K17" s="17">
        <v>71</v>
      </c>
      <c r="L17" s="184" t="s">
        <v>87</v>
      </c>
    </row>
    <row r="18" spans="2:15" x14ac:dyDescent="0.25">
      <c r="B18" s="15"/>
    </row>
    <row r="19" spans="2:15" x14ac:dyDescent="0.25">
      <c r="B19" s="15"/>
      <c r="D19" s="18"/>
      <c r="E19" s="18"/>
      <c r="F19" s="216" t="s">
        <v>13</v>
      </c>
      <c r="G19" s="217"/>
      <c r="H19" s="218"/>
      <c r="J19" s="216" t="s">
        <v>14</v>
      </c>
      <c r="K19" s="217"/>
      <c r="L19" s="218"/>
      <c r="N19" s="216" t="s">
        <v>15</v>
      </c>
      <c r="O19" s="218"/>
    </row>
    <row r="20" spans="2:15" x14ac:dyDescent="0.25">
      <c r="B20" s="15"/>
      <c r="D20" s="220" t="s">
        <v>16</v>
      </c>
      <c r="E20" s="19"/>
      <c r="F20" s="20" t="s">
        <v>17</v>
      </c>
      <c r="G20" s="20" t="s">
        <v>18</v>
      </c>
      <c r="H20" s="21" t="s">
        <v>19</v>
      </c>
      <c r="J20" s="20" t="s">
        <v>17</v>
      </c>
      <c r="K20" s="22" t="s">
        <v>18</v>
      </c>
      <c r="L20" s="21" t="s">
        <v>19</v>
      </c>
      <c r="N20" s="222" t="s">
        <v>20</v>
      </c>
      <c r="O20" s="224" t="s">
        <v>21</v>
      </c>
    </row>
    <row r="21" spans="2:15" x14ac:dyDescent="0.25">
      <c r="B21" s="15"/>
      <c r="D21" s="221"/>
      <c r="E21" s="19"/>
      <c r="F21" s="23" t="s">
        <v>22</v>
      </c>
      <c r="G21" s="23"/>
      <c r="H21" s="24" t="s">
        <v>22</v>
      </c>
      <c r="J21" s="23" t="s">
        <v>22</v>
      </c>
      <c r="K21" s="24"/>
      <c r="L21" s="24" t="s">
        <v>22</v>
      </c>
      <c r="N21" s="223"/>
      <c r="O21" s="225"/>
    </row>
    <row r="22" spans="2:15" x14ac:dyDescent="0.25">
      <c r="B22" s="25" t="s">
        <v>23</v>
      </c>
      <c r="C22" s="25"/>
      <c r="D22" s="26" t="s">
        <v>79</v>
      </c>
      <c r="E22" s="27"/>
      <c r="F22" s="28">
        <f>Rates!D56</f>
        <v>0.98</v>
      </c>
      <c r="G22" s="29">
        <v>428</v>
      </c>
      <c r="H22" s="30">
        <f>G22*F22</f>
        <v>419.44</v>
      </c>
      <c r="I22" s="31"/>
      <c r="J22" s="32">
        <f>Rates!F56</f>
        <v>0.98</v>
      </c>
      <c r="K22" s="33">
        <v>428</v>
      </c>
      <c r="L22" s="30">
        <f>K22*J22</f>
        <v>419.44</v>
      </c>
      <c r="M22" s="31"/>
      <c r="N22" s="34">
        <f>L22-H22</f>
        <v>0</v>
      </c>
      <c r="O22" s="35">
        <f>IF((H22)=0,"",(N22/H22))</f>
        <v>0</v>
      </c>
    </row>
    <row r="23" spans="2:15" x14ac:dyDescent="0.25">
      <c r="B23" s="25" t="s">
        <v>24</v>
      </c>
      <c r="C23" s="25"/>
      <c r="D23" s="26"/>
      <c r="E23" s="27"/>
      <c r="F23" s="28"/>
      <c r="G23" s="29">
        <v>1</v>
      </c>
      <c r="H23" s="30">
        <f t="shared" ref="H23:H37" si="0">G23*F23</f>
        <v>0</v>
      </c>
      <c r="I23" s="31"/>
      <c r="J23" s="32"/>
      <c r="K23" s="33">
        <v>1</v>
      </c>
      <c r="L23" s="30">
        <f>K23*J23</f>
        <v>0</v>
      </c>
      <c r="M23" s="31"/>
      <c r="N23" s="34">
        <f>L23-H23</f>
        <v>0</v>
      </c>
      <c r="O23" s="35" t="str">
        <f>IF((H23)=0,"",(N23/H23))</f>
        <v/>
      </c>
    </row>
    <row r="24" spans="2:15" x14ac:dyDescent="0.25">
      <c r="B24" s="36"/>
      <c r="C24" s="25"/>
      <c r="D24" s="26"/>
      <c r="E24" s="27"/>
      <c r="F24" s="28"/>
      <c r="G24" s="29">
        <v>1</v>
      </c>
      <c r="H24" s="30">
        <f t="shared" si="0"/>
        <v>0</v>
      </c>
      <c r="I24" s="31"/>
      <c r="J24" s="32"/>
      <c r="K24" s="33">
        <v>1</v>
      </c>
      <c r="L24" s="30">
        <f t="shared" ref="L24:L37" si="1">K24*J24</f>
        <v>0</v>
      </c>
      <c r="M24" s="31"/>
      <c r="N24" s="34">
        <f t="shared" ref="N24:N38" si="2">L24-H24</f>
        <v>0</v>
      </c>
      <c r="O24" s="35" t="str">
        <f t="shared" ref="O24:O38" si="3">IF((H24)=0,"",(N24/H24))</f>
        <v/>
      </c>
    </row>
    <row r="25" spans="2:15" x14ac:dyDescent="0.25">
      <c r="B25" s="36"/>
      <c r="C25" s="25"/>
      <c r="D25" s="26"/>
      <c r="E25" s="27"/>
      <c r="F25" s="28"/>
      <c r="G25" s="29">
        <v>1</v>
      </c>
      <c r="H25" s="30">
        <f t="shared" si="0"/>
        <v>0</v>
      </c>
      <c r="I25" s="31"/>
      <c r="J25" s="32"/>
      <c r="K25" s="33">
        <v>1</v>
      </c>
      <c r="L25" s="30">
        <f t="shared" si="1"/>
        <v>0</v>
      </c>
      <c r="M25" s="31"/>
      <c r="N25" s="34">
        <f t="shared" si="2"/>
        <v>0</v>
      </c>
      <c r="O25" s="35" t="str">
        <f t="shared" si="3"/>
        <v/>
      </c>
    </row>
    <row r="26" spans="2:15" x14ac:dyDescent="0.25">
      <c r="B26" s="36"/>
      <c r="C26" s="25"/>
      <c r="D26" s="26"/>
      <c r="E26" s="27"/>
      <c r="F26" s="28"/>
      <c r="G26" s="29">
        <v>1</v>
      </c>
      <c r="H26" s="30">
        <f t="shared" si="0"/>
        <v>0</v>
      </c>
      <c r="I26" s="31"/>
      <c r="J26" s="32"/>
      <c r="K26" s="33">
        <v>1</v>
      </c>
      <c r="L26" s="30">
        <f t="shared" si="1"/>
        <v>0</v>
      </c>
      <c r="M26" s="31"/>
      <c r="N26" s="34">
        <f t="shared" si="2"/>
        <v>0</v>
      </c>
      <c r="O26" s="35" t="str">
        <f t="shared" si="3"/>
        <v/>
      </c>
    </row>
    <row r="27" spans="2:15" x14ac:dyDescent="0.25">
      <c r="B27" s="36"/>
      <c r="C27" s="25"/>
      <c r="D27" s="26"/>
      <c r="E27" s="27"/>
      <c r="F27" s="28"/>
      <c r="G27" s="29">
        <v>1</v>
      </c>
      <c r="H27" s="30">
        <f t="shared" si="0"/>
        <v>0</v>
      </c>
      <c r="I27" s="31"/>
      <c r="J27" s="32"/>
      <c r="K27" s="33">
        <v>1</v>
      </c>
      <c r="L27" s="30">
        <f t="shared" si="1"/>
        <v>0</v>
      </c>
      <c r="M27" s="31"/>
      <c r="N27" s="34">
        <f t="shared" si="2"/>
        <v>0</v>
      </c>
      <c r="O27" s="35" t="str">
        <f t="shared" si="3"/>
        <v/>
      </c>
    </row>
    <row r="28" spans="2:15" x14ac:dyDescent="0.25">
      <c r="B28" s="25" t="s">
        <v>25</v>
      </c>
      <c r="C28" s="25"/>
      <c r="D28" s="26" t="s">
        <v>81</v>
      </c>
      <c r="E28" s="27"/>
      <c r="F28" s="28">
        <f>Rates!D57</f>
        <v>0.15790000000000001</v>
      </c>
      <c r="G28" s="185">
        <f>$F$17</f>
        <v>25000</v>
      </c>
      <c r="H28" s="30">
        <f t="shared" si="0"/>
        <v>3947.5000000000005</v>
      </c>
      <c r="I28" s="31"/>
      <c r="J28" s="32">
        <f>Rates!F57</f>
        <v>0.18490000000000001</v>
      </c>
      <c r="K28" s="185">
        <f>$F$17</f>
        <v>25000</v>
      </c>
      <c r="L28" s="30">
        <f t="shared" si="1"/>
        <v>4622.5</v>
      </c>
      <c r="M28" s="31"/>
      <c r="N28" s="34">
        <f t="shared" si="2"/>
        <v>674.99999999999955</v>
      </c>
      <c r="O28" s="35">
        <f t="shared" si="3"/>
        <v>0.17099430018999354</v>
      </c>
    </row>
    <row r="29" spans="2:15" x14ac:dyDescent="0.25">
      <c r="B29" s="25" t="s">
        <v>26</v>
      </c>
      <c r="C29" s="25"/>
      <c r="D29" s="26"/>
      <c r="E29" s="27"/>
      <c r="F29" s="28"/>
      <c r="G29" s="29">
        <f t="shared" ref="G29:G43" si="4">$K$17</f>
        <v>71</v>
      </c>
      <c r="H29" s="30">
        <f t="shared" si="0"/>
        <v>0</v>
      </c>
      <c r="I29" s="31"/>
      <c r="J29" s="32"/>
      <c r="K29" s="29">
        <f t="shared" ref="K29:K43" si="5">$K$17</f>
        <v>71</v>
      </c>
      <c r="L29" s="30">
        <f t="shared" si="1"/>
        <v>0</v>
      </c>
      <c r="M29" s="31"/>
      <c r="N29" s="34">
        <f t="shared" si="2"/>
        <v>0</v>
      </c>
      <c r="O29" s="35" t="str">
        <f t="shared" si="3"/>
        <v/>
      </c>
    </row>
    <row r="30" spans="2:15" x14ac:dyDescent="0.25">
      <c r="B30" s="25" t="s">
        <v>27</v>
      </c>
      <c r="C30" s="25"/>
      <c r="D30" s="26"/>
      <c r="E30" s="27"/>
      <c r="F30" s="28"/>
      <c r="G30" s="29">
        <f t="shared" si="4"/>
        <v>71</v>
      </c>
      <c r="H30" s="30">
        <f t="shared" si="0"/>
        <v>0</v>
      </c>
      <c r="I30" s="31"/>
      <c r="J30" s="32"/>
      <c r="K30" s="29">
        <f t="shared" si="5"/>
        <v>71</v>
      </c>
      <c r="L30" s="30">
        <f t="shared" si="1"/>
        <v>0</v>
      </c>
      <c r="M30" s="31"/>
      <c r="N30" s="34">
        <f t="shared" si="2"/>
        <v>0</v>
      </c>
      <c r="O30" s="35" t="str">
        <f t="shared" si="3"/>
        <v/>
      </c>
    </row>
    <row r="31" spans="2:15" ht="30" x14ac:dyDescent="0.25">
      <c r="B31" s="183" t="str">
        <f>Rates!A5</f>
        <v>Foregone Revenue Recovery - effective until December 31, 2014 (2014)</v>
      </c>
      <c r="C31" s="25"/>
      <c r="D31" s="63" t="s">
        <v>81</v>
      </c>
      <c r="E31" s="27"/>
      <c r="F31" s="32">
        <f>Rates!D58</f>
        <v>5.0000000000000001E-4</v>
      </c>
      <c r="G31" s="185">
        <f>$F$17</f>
        <v>25000</v>
      </c>
      <c r="H31" s="30">
        <f t="shared" si="0"/>
        <v>12.5</v>
      </c>
      <c r="I31" s="31"/>
      <c r="J31" s="32">
        <f>Rates!F58</f>
        <v>0</v>
      </c>
      <c r="K31" s="185">
        <f>$F$17</f>
        <v>25000</v>
      </c>
      <c r="L31" s="30">
        <f t="shared" si="1"/>
        <v>0</v>
      </c>
      <c r="M31" s="31"/>
      <c r="N31" s="34">
        <f t="shared" si="2"/>
        <v>-12.5</v>
      </c>
      <c r="O31" s="35">
        <f t="shared" si="3"/>
        <v>-1</v>
      </c>
    </row>
    <row r="32" spans="2:15" ht="30" x14ac:dyDescent="0.25">
      <c r="B32" s="183" t="str">
        <f>Rates!A6</f>
        <v>Tax Changes - effective until December 31, 2014</v>
      </c>
      <c r="C32" s="25"/>
      <c r="D32" s="63" t="s">
        <v>81</v>
      </c>
      <c r="E32" s="27"/>
      <c r="F32" s="32">
        <f>Rates!D59</f>
        <v>-5.0000000000000001E-4</v>
      </c>
      <c r="G32" s="185">
        <f>$F$17</f>
        <v>25000</v>
      </c>
      <c r="H32" s="30">
        <f t="shared" si="0"/>
        <v>-12.5</v>
      </c>
      <c r="I32" s="31"/>
      <c r="J32" s="32">
        <f>Rates!F59</f>
        <v>0</v>
      </c>
      <c r="K32" s="185">
        <f>$F$17</f>
        <v>25000</v>
      </c>
      <c r="L32" s="30">
        <f t="shared" si="1"/>
        <v>0</v>
      </c>
      <c r="M32" s="31"/>
      <c r="N32" s="34">
        <f t="shared" si="2"/>
        <v>12.5</v>
      </c>
      <c r="O32" s="35">
        <f t="shared" si="3"/>
        <v>-1</v>
      </c>
    </row>
    <row r="33" spans="2:15" ht="45" x14ac:dyDescent="0.25">
      <c r="B33" s="183" t="str">
        <f>Rates!A63</f>
        <v>Rate Rider for the Disposition of Account 1575 &amp; 1576 - effective until December 31, 2019</v>
      </c>
      <c r="C33" s="25"/>
      <c r="D33" s="63" t="s">
        <v>81</v>
      </c>
      <c r="E33" s="27"/>
      <c r="F33" s="32">
        <f>Rates!D63</f>
        <v>0</v>
      </c>
      <c r="G33" s="185">
        <f>$F$17</f>
        <v>25000</v>
      </c>
      <c r="H33" s="30">
        <f t="shared" si="0"/>
        <v>0</v>
      </c>
      <c r="I33" s="31"/>
      <c r="J33" s="32">
        <f>Rates!F63</f>
        <v>-1.9E-3</v>
      </c>
      <c r="K33" s="185">
        <f>$F$17</f>
        <v>25000</v>
      </c>
      <c r="L33" s="30">
        <f t="shared" si="1"/>
        <v>-47.5</v>
      </c>
      <c r="M33" s="31"/>
      <c r="N33" s="34">
        <f t="shared" si="2"/>
        <v>-47.5</v>
      </c>
      <c r="O33" s="35" t="str">
        <f t="shared" si="3"/>
        <v/>
      </c>
    </row>
    <row r="34" spans="2:15" x14ac:dyDescent="0.25">
      <c r="B34" s="37"/>
      <c r="C34" s="25"/>
      <c r="D34" s="26"/>
      <c r="E34" s="27"/>
      <c r="F34" s="28"/>
      <c r="G34" s="29">
        <f t="shared" si="4"/>
        <v>71</v>
      </c>
      <c r="H34" s="30">
        <f t="shared" si="0"/>
        <v>0</v>
      </c>
      <c r="I34" s="31"/>
      <c r="J34" s="32"/>
      <c r="K34" s="29">
        <f t="shared" si="5"/>
        <v>71</v>
      </c>
      <c r="L34" s="30">
        <f t="shared" si="1"/>
        <v>0</v>
      </c>
      <c r="M34" s="31"/>
      <c r="N34" s="34">
        <f t="shared" si="2"/>
        <v>0</v>
      </c>
      <c r="O34" s="35" t="str">
        <f t="shared" si="3"/>
        <v/>
      </c>
    </row>
    <row r="35" spans="2:15" x14ac:dyDescent="0.25">
      <c r="B35" s="37"/>
      <c r="C35" s="25"/>
      <c r="D35" s="26"/>
      <c r="E35" s="27"/>
      <c r="F35" s="28"/>
      <c r="G35" s="29">
        <f t="shared" si="4"/>
        <v>71</v>
      </c>
      <c r="H35" s="30">
        <f t="shared" si="0"/>
        <v>0</v>
      </c>
      <c r="I35" s="31"/>
      <c r="J35" s="32"/>
      <c r="K35" s="29">
        <f t="shared" si="5"/>
        <v>71</v>
      </c>
      <c r="L35" s="30">
        <f t="shared" si="1"/>
        <v>0</v>
      </c>
      <c r="M35" s="31"/>
      <c r="N35" s="34">
        <f t="shared" si="2"/>
        <v>0</v>
      </c>
      <c r="O35" s="35" t="str">
        <f t="shared" si="3"/>
        <v/>
      </c>
    </row>
    <row r="36" spans="2:15" x14ac:dyDescent="0.25">
      <c r="B36" s="37"/>
      <c r="C36" s="25"/>
      <c r="D36" s="26"/>
      <c r="E36" s="27"/>
      <c r="F36" s="28"/>
      <c r="G36" s="29">
        <f t="shared" si="4"/>
        <v>71</v>
      </c>
      <c r="H36" s="30">
        <f t="shared" si="0"/>
        <v>0</v>
      </c>
      <c r="I36" s="31"/>
      <c r="J36" s="32"/>
      <c r="K36" s="29">
        <f t="shared" si="5"/>
        <v>71</v>
      </c>
      <c r="L36" s="30">
        <f t="shared" si="1"/>
        <v>0</v>
      </c>
      <c r="M36" s="31"/>
      <c r="N36" s="34">
        <f t="shared" si="2"/>
        <v>0</v>
      </c>
      <c r="O36" s="35" t="str">
        <f t="shared" si="3"/>
        <v/>
      </c>
    </row>
    <row r="37" spans="2:15" x14ac:dyDescent="0.25">
      <c r="B37" s="37"/>
      <c r="C37" s="25"/>
      <c r="D37" s="26"/>
      <c r="E37" s="27"/>
      <c r="F37" s="28"/>
      <c r="G37" s="29">
        <f t="shared" si="4"/>
        <v>71</v>
      </c>
      <c r="H37" s="30">
        <f t="shared" si="0"/>
        <v>0</v>
      </c>
      <c r="I37" s="31"/>
      <c r="J37" s="32"/>
      <c r="K37" s="29">
        <f t="shared" si="5"/>
        <v>71</v>
      </c>
      <c r="L37" s="30">
        <f t="shared" si="1"/>
        <v>0</v>
      </c>
      <c r="M37" s="31"/>
      <c r="N37" s="34">
        <f t="shared" si="2"/>
        <v>0</v>
      </c>
      <c r="O37" s="35" t="str">
        <f t="shared" si="3"/>
        <v/>
      </c>
    </row>
    <row r="38" spans="2:15" s="49" customFormat="1" x14ac:dyDescent="0.25">
      <c r="B38" s="38" t="s">
        <v>28</v>
      </c>
      <c r="C38" s="39"/>
      <c r="D38" s="40"/>
      <c r="E38" s="39"/>
      <c r="F38" s="41"/>
      <c r="G38" s="42"/>
      <c r="H38" s="43">
        <f>SUM(H22:H37)</f>
        <v>4366.9400000000005</v>
      </c>
      <c r="I38" s="44"/>
      <c r="J38" s="45"/>
      <c r="K38" s="46"/>
      <c r="L38" s="43">
        <f>SUM(L22:L37)</f>
        <v>4994.4399999999996</v>
      </c>
      <c r="M38" s="44"/>
      <c r="N38" s="47">
        <f t="shared" si="2"/>
        <v>627.49999999999909</v>
      </c>
      <c r="O38" s="48">
        <f t="shared" si="3"/>
        <v>0.14369329553417245</v>
      </c>
    </row>
    <row r="39" spans="2:15" ht="38.25" x14ac:dyDescent="0.25">
      <c r="B39" s="50" t="str">
        <f>Rates!A60</f>
        <v>Rate Rider for the Disposition of Deferral/Variance Accounts (2014) - effective until December 31, 2015</v>
      </c>
      <c r="C39" s="25"/>
      <c r="D39" s="63" t="s">
        <v>81</v>
      </c>
      <c r="E39" s="27"/>
      <c r="F39" s="32">
        <f>Rates!D60</f>
        <v>0</v>
      </c>
      <c r="G39" s="185">
        <f>$F$17</f>
        <v>25000</v>
      </c>
      <c r="H39" s="30">
        <f>G39*F39</f>
        <v>0</v>
      </c>
      <c r="I39" s="31"/>
      <c r="J39" s="32">
        <f>Rates!F60</f>
        <v>-6.45E-3</v>
      </c>
      <c r="K39" s="185">
        <f>$F$17</f>
        <v>25000</v>
      </c>
      <c r="L39" s="30">
        <f>K39*J39</f>
        <v>-161.25</v>
      </c>
      <c r="M39" s="31"/>
      <c r="N39" s="34">
        <f>L39-H39</f>
        <v>-161.25</v>
      </c>
      <c r="O39" s="35" t="str">
        <f>IF((H39)=0,"",(N39/H39))</f>
        <v/>
      </c>
    </row>
    <row r="40" spans="2:15" ht="38.25" x14ac:dyDescent="0.25">
      <c r="B40" s="50" t="str">
        <f>Rates!A61</f>
        <v>Rate Rider for the Disposition of Global Adjustment Sub-Account (2014) - effective until December 31, 2015</v>
      </c>
      <c r="C40" s="25"/>
      <c r="D40" s="63" t="s">
        <v>81</v>
      </c>
      <c r="E40" s="27"/>
      <c r="F40" s="28">
        <f>Rates!D61</f>
        <v>0</v>
      </c>
      <c r="G40" s="185">
        <f>$F$17</f>
        <v>25000</v>
      </c>
      <c r="H40" s="30">
        <f t="shared" ref="H40:H44" si="6">G40*F40</f>
        <v>0</v>
      </c>
      <c r="I40" s="51"/>
      <c r="J40" s="32">
        <f>Rates!F61</f>
        <v>1.005E-2</v>
      </c>
      <c r="K40" s="185">
        <f>$F$17</f>
        <v>25000</v>
      </c>
      <c r="L40" s="30">
        <f t="shared" ref="L40:L44" si="7">K40*J40</f>
        <v>251.25</v>
      </c>
      <c r="M40" s="52"/>
      <c r="N40" s="34">
        <f t="shared" ref="N40:N44" si="8">L40-H40</f>
        <v>251.25</v>
      </c>
      <c r="O40" s="35" t="str">
        <f t="shared" ref="O40:O44" si="9">IF((H40)=0,"",(N40/H40))</f>
        <v/>
      </c>
    </row>
    <row r="41" spans="2:15" x14ac:dyDescent="0.25">
      <c r="B41" s="50"/>
      <c r="C41" s="25"/>
      <c r="D41" s="26"/>
      <c r="E41" s="27"/>
      <c r="F41" s="28"/>
      <c r="G41" s="29">
        <f t="shared" si="4"/>
        <v>71</v>
      </c>
      <c r="H41" s="30">
        <f t="shared" si="6"/>
        <v>0</v>
      </c>
      <c r="I41" s="51"/>
      <c r="J41" s="32"/>
      <c r="K41" s="29">
        <f t="shared" si="5"/>
        <v>71</v>
      </c>
      <c r="L41" s="30">
        <f t="shared" si="7"/>
        <v>0</v>
      </c>
      <c r="M41" s="52"/>
      <c r="N41" s="34">
        <f t="shared" si="8"/>
        <v>0</v>
      </c>
      <c r="O41" s="35" t="str">
        <f t="shared" si="9"/>
        <v/>
      </c>
    </row>
    <row r="42" spans="2:15" x14ac:dyDescent="0.25">
      <c r="B42" s="50"/>
      <c r="C42" s="25"/>
      <c r="D42" s="26"/>
      <c r="E42" s="27"/>
      <c r="F42" s="28"/>
      <c r="G42" s="29">
        <f t="shared" si="4"/>
        <v>71</v>
      </c>
      <c r="H42" s="30">
        <f t="shared" si="6"/>
        <v>0</v>
      </c>
      <c r="I42" s="51"/>
      <c r="J42" s="32"/>
      <c r="K42" s="29">
        <f t="shared" si="5"/>
        <v>71</v>
      </c>
      <c r="L42" s="30">
        <f t="shared" si="7"/>
        <v>0</v>
      </c>
      <c r="M42" s="52"/>
      <c r="N42" s="34">
        <f t="shared" si="8"/>
        <v>0</v>
      </c>
      <c r="O42" s="35" t="str">
        <f t="shared" si="9"/>
        <v/>
      </c>
    </row>
    <row r="43" spans="2:15" x14ac:dyDescent="0.25">
      <c r="B43" s="53" t="s">
        <v>29</v>
      </c>
      <c r="C43" s="25"/>
      <c r="D43" s="26"/>
      <c r="E43" s="27"/>
      <c r="F43" s="28"/>
      <c r="G43" s="29">
        <f t="shared" si="4"/>
        <v>71</v>
      </c>
      <c r="H43" s="30">
        <f>G43*F43</f>
        <v>0</v>
      </c>
      <c r="I43" s="31"/>
      <c r="J43" s="32"/>
      <c r="K43" s="29">
        <f t="shared" si="5"/>
        <v>71</v>
      </c>
      <c r="L43" s="30">
        <f>K43*J43</f>
        <v>0</v>
      </c>
      <c r="M43" s="31"/>
      <c r="N43" s="34">
        <f>L43-H43</f>
        <v>0</v>
      </c>
      <c r="O43" s="35" t="str">
        <f>IF((H43)=0,"",(N43/H43))</f>
        <v/>
      </c>
    </row>
    <row r="44" spans="2:15" x14ac:dyDescent="0.25">
      <c r="B44" s="53" t="s">
        <v>30</v>
      </c>
      <c r="C44" s="25"/>
      <c r="D44" s="26" t="s">
        <v>81</v>
      </c>
      <c r="E44" s="27"/>
      <c r="F44" s="186">
        <f>Rates!D83</f>
        <v>8.949E-2</v>
      </c>
      <c r="G44" s="55">
        <f>$F$17*(1+$F$61)-$F$17</f>
        <v>2160</v>
      </c>
      <c r="H44" s="30">
        <f t="shared" si="6"/>
        <v>193.29839999999999</v>
      </c>
      <c r="I44" s="31"/>
      <c r="J44" s="188">
        <f>Rates!F83</f>
        <v>8.949E-2</v>
      </c>
      <c r="K44" s="55">
        <f>$F$17*(1+$J$61)-$F$17</f>
        <v>2292.4999999999964</v>
      </c>
      <c r="L44" s="30">
        <f t="shared" si="7"/>
        <v>205.15582499999968</v>
      </c>
      <c r="M44" s="31"/>
      <c r="N44" s="34">
        <f t="shared" si="8"/>
        <v>11.857424999999694</v>
      </c>
      <c r="O44" s="35">
        <f t="shared" si="9"/>
        <v>6.1342592592591012E-2</v>
      </c>
    </row>
    <row r="45" spans="2:15" x14ac:dyDescent="0.25">
      <c r="B45" s="53" t="s">
        <v>31</v>
      </c>
      <c r="C45" s="25"/>
      <c r="D45" s="26" t="s">
        <v>79</v>
      </c>
      <c r="E45" s="27"/>
      <c r="F45" s="54"/>
      <c r="G45" s="29">
        <v>1</v>
      </c>
      <c r="H45" s="30">
        <f>G45*F45</f>
        <v>0</v>
      </c>
      <c r="I45" s="31"/>
      <c r="J45" s="54"/>
      <c r="K45" s="29">
        <v>1</v>
      </c>
      <c r="L45" s="30">
        <f>K45*J45</f>
        <v>0</v>
      </c>
      <c r="M45" s="31"/>
      <c r="N45" s="34">
        <f>L45-H45</f>
        <v>0</v>
      </c>
      <c r="O45" s="35"/>
    </row>
    <row r="46" spans="2:15" ht="25.5" x14ac:dyDescent="0.25">
      <c r="B46" s="57" t="s">
        <v>32</v>
      </c>
      <c r="C46" s="58"/>
      <c r="D46" s="58"/>
      <c r="E46" s="58"/>
      <c r="F46" s="59"/>
      <c r="G46" s="60"/>
      <c r="H46" s="61">
        <f>SUM(H39:H45)+H38</f>
        <v>4560.2384000000002</v>
      </c>
      <c r="I46" s="44"/>
      <c r="J46" s="60"/>
      <c r="K46" s="62"/>
      <c r="L46" s="61">
        <f>SUM(L39:L45)+L38</f>
        <v>5289.5958249999994</v>
      </c>
      <c r="M46" s="44"/>
      <c r="N46" s="47">
        <f t="shared" ref="N46:N58" si="10">L46-H46</f>
        <v>729.35742499999924</v>
      </c>
      <c r="O46" s="48">
        <f t="shared" ref="O46:O58" si="11">IF((H46)=0,"",(N46/H46))</f>
        <v>0.15993844203408294</v>
      </c>
    </row>
    <row r="47" spans="2:15" x14ac:dyDescent="0.25">
      <c r="B47" s="31" t="s">
        <v>33</v>
      </c>
      <c r="C47" s="31"/>
      <c r="D47" s="63" t="s">
        <v>88</v>
      </c>
      <c r="E47" s="64"/>
      <c r="F47" s="32">
        <f>Rates!D64</f>
        <v>1.9502999999999999</v>
      </c>
      <c r="G47" s="65">
        <f>K17*(1+F61)</f>
        <v>77.134399999999999</v>
      </c>
      <c r="H47" s="30">
        <f>G47*F47</f>
        <v>150.43522031999998</v>
      </c>
      <c r="I47" s="31"/>
      <c r="J47" s="32">
        <f>Rates!F64</f>
        <v>2.0108999999999999</v>
      </c>
      <c r="K47" s="66">
        <f>K17*(1+J61)</f>
        <v>77.510699999999986</v>
      </c>
      <c r="L47" s="30">
        <f>K47*J47</f>
        <v>155.86626662999996</v>
      </c>
      <c r="M47" s="31"/>
      <c r="N47" s="34">
        <f t="shared" si="10"/>
        <v>5.4310463099999708</v>
      </c>
      <c r="O47" s="35">
        <f t="shared" si="11"/>
        <v>3.6102225917888503E-2</v>
      </c>
    </row>
    <row r="48" spans="2:15" ht="30" x14ac:dyDescent="0.25">
      <c r="B48" s="67" t="s">
        <v>34</v>
      </c>
      <c r="C48" s="31"/>
      <c r="D48" s="63" t="s">
        <v>88</v>
      </c>
      <c r="E48" s="64"/>
      <c r="F48" s="32">
        <f>Rates!D65</f>
        <v>1.3906000000000001</v>
      </c>
      <c r="G48" s="65">
        <f>G47</f>
        <v>77.134399999999999</v>
      </c>
      <c r="H48" s="30">
        <f>G48*F48</f>
        <v>107.26309664</v>
      </c>
      <c r="I48" s="31"/>
      <c r="J48" s="32">
        <f>Rates!F65</f>
        <v>1.4094</v>
      </c>
      <c r="K48" s="66">
        <f>K47</f>
        <v>77.510699999999986</v>
      </c>
      <c r="L48" s="30">
        <f>K48*J48</f>
        <v>109.24358057999999</v>
      </c>
      <c r="M48" s="31"/>
      <c r="N48" s="34">
        <f t="shared" si="10"/>
        <v>1.980483939999985</v>
      </c>
      <c r="O48" s="35">
        <f t="shared" si="11"/>
        <v>1.8463796049511337E-2</v>
      </c>
    </row>
    <row r="49" spans="1:19" ht="25.5" x14ac:dyDescent="0.25">
      <c r="B49" s="57" t="s">
        <v>35</v>
      </c>
      <c r="C49" s="39"/>
      <c r="D49" s="39"/>
      <c r="E49" s="39"/>
      <c r="F49" s="68"/>
      <c r="G49" s="60"/>
      <c r="H49" s="61">
        <f>SUM(H46:H48)</f>
        <v>4817.93671696</v>
      </c>
      <c r="I49" s="69"/>
      <c r="J49" s="70"/>
      <c r="K49" s="71"/>
      <c r="L49" s="61">
        <f>SUM(L46:L48)</f>
        <v>5554.7056722099987</v>
      </c>
      <c r="M49" s="69"/>
      <c r="N49" s="47">
        <f t="shared" si="10"/>
        <v>736.76895524999873</v>
      </c>
      <c r="O49" s="48">
        <f t="shared" si="11"/>
        <v>0.15292209062365641</v>
      </c>
    </row>
    <row r="50" spans="1:19" ht="30" x14ac:dyDescent="0.25">
      <c r="B50" s="72" t="s">
        <v>36</v>
      </c>
      <c r="C50" s="25"/>
      <c r="D50" s="63" t="s">
        <v>81</v>
      </c>
      <c r="E50" s="27"/>
      <c r="F50" s="75">
        <f>Rates!D66</f>
        <v>4.4000000000000003E-3</v>
      </c>
      <c r="G50" s="65">
        <f>F17*(1+F61)</f>
        <v>27160</v>
      </c>
      <c r="H50" s="74">
        <f t="shared" ref="H50:H54" si="12">G50*F50</f>
        <v>119.504</v>
      </c>
      <c r="I50" s="31"/>
      <c r="J50" s="75">
        <f>Rates!F66</f>
        <v>4.4000000000000003E-3</v>
      </c>
      <c r="K50" s="66">
        <f>F17*(1+J61)</f>
        <v>27292.499999999996</v>
      </c>
      <c r="L50" s="74">
        <f t="shared" ref="L50:L54" si="13">K50*J50</f>
        <v>120.08699999999999</v>
      </c>
      <c r="M50" s="31"/>
      <c r="N50" s="34">
        <f t="shared" si="10"/>
        <v>0.5829999999999842</v>
      </c>
      <c r="O50" s="76">
        <f t="shared" si="11"/>
        <v>4.8784977908687922E-3</v>
      </c>
    </row>
    <row r="51" spans="1:19" ht="30" x14ac:dyDescent="0.25">
      <c r="B51" s="72" t="s">
        <v>37</v>
      </c>
      <c r="C51" s="25"/>
      <c r="D51" s="63" t="s">
        <v>81</v>
      </c>
      <c r="E51" s="27"/>
      <c r="F51" s="75">
        <f>Rates!D67</f>
        <v>1.2999999999999999E-3</v>
      </c>
      <c r="G51" s="65">
        <f>G50</f>
        <v>27160</v>
      </c>
      <c r="H51" s="74">
        <f t="shared" si="12"/>
        <v>35.308</v>
      </c>
      <c r="I51" s="31"/>
      <c r="J51" s="75">
        <f>Rates!F67</f>
        <v>1.2999999999999999E-3</v>
      </c>
      <c r="K51" s="66">
        <f>K50</f>
        <v>27292.499999999996</v>
      </c>
      <c r="L51" s="74">
        <f t="shared" si="13"/>
        <v>35.480249999999991</v>
      </c>
      <c r="M51" s="31"/>
      <c r="N51" s="34">
        <f t="shared" si="10"/>
        <v>0.17224999999999113</v>
      </c>
      <c r="O51" s="76">
        <f t="shared" si="11"/>
        <v>4.8784977908686734E-3</v>
      </c>
    </row>
    <row r="52" spans="1:19" x14ac:dyDescent="0.25">
      <c r="B52" s="25" t="s">
        <v>38</v>
      </c>
      <c r="C52" s="25"/>
      <c r="D52" s="26" t="s">
        <v>79</v>
      </c>
      <c r="E52" s="27"/>
      <c r="F52" s="73">
        <f>Rates!D68</f>
        <v>0.25</v>
      </c>
      <c r="G52" s="29">
        <v>1</v>
      </c>
      <c r="H52" s="74">
        <f t="shared" si="12"/>
        <v>0.25</v>
      </c>
      <c r="I52" s="31"/>
      <c r="J52" s="75">
        <f>Rates!F68</f>
        <v>0.25</v>
      </c>
      <c r="K52" s="33">
        <v>1</v>
      </c>
      <c r="L52" s="74">
        <f t="shared" si="13"/>
        <v>0.25</v>
      </c>
      <c r="M52" s="31"/>
      <c r="N52" s="34">
        <f t="shared" si="10"/>
        <v>0</v>
      </c>
      <c r="O52" s="76">
        <f t="shared" si="11"/>
        <v>0</v>
      </c>
    </row>
    <row r="53" spans="1:19" x14ac:dyDescent="0.25">
      <c r="B53" s="25" t="s">
        <v>39</v>
      </c>
      <c r="C53" s="25"/>
      <c r="D53" s="26" t="s">
        <v>81</v>
      </c>
      <c r="E53" s="27"/>
      <c r="F53" s="73">
        <f>Rates!D71</f>
        <v>2E-3</v>
      </c>
      <c r="G53" s="77">
        <f>F17</f>
        <v>25000</v>
      </c>
      <c r="H53" s="74">
        <f t="shared" si="12"/>
        <v>50</v>
      </c>
      <c r="I53" s="31"/>
      <c r="J53" s="75">
        <f>Rates!F71</f>
        <v>2E-3</v>
      </c>
      <c r="K53" s="78">
        <f>F17</f>
        <v>25000</v>
      </c>
      <c r="L53" s="74">
        <f t="shared" si="13"/>
        <v>50</v>
      </c>
      <c r="M53" s="31"/>
      <c r="N53" s="34">
        <f t="shared" si="10"/>
        <v>0</v>
      </c>
      <c r="O53" s="76">
        <f t="shared" si="11"/>
        <v>0</v>
      </c>
    </row>
    <row r="54" spans="1:19" ht="15.75" thickBot="1" x14ac:dyDescent="0.3">
      <c r="B54" s="53" t="s">
        <v>91</v>
      </c>
      <c r="C54" s="25"/>
      <c r="D54" s="26" t="s">
        <v>81</v>
      </c>
      <c r="E54" s="27"/>
      <c r="F54" s="187">
        <f>Rates!D83</f>
        <v>8.949E-2</v>
      </c>
      <c r="G54" s="80">
        <f>$F$17</f>
        <v>25000</v>
      </c>
      <c r="H54" s="74">
        <f t="shared" si="12"/>
        <v>2237.25</v>
      </c>
      <c r="I54" s="31"/>
      <c r="J54" s="189">
        <f>Rates!F83</f>
        <v>8.949E-2</v>
      </c>
      <c r="K54" s="80">
        <f>F17</f>
        <v>25000</v>
      </c>
      <c r="L54" s="74">
        <f t="shared" si="13"/>
        <v>2237.25</v>
      </c>
      <c r="M54" s="31"/>
      <c r="N54" s="34">
        <f t="shared" si="10"/>
        <v>0</v>
      </c>
      <c r="O54" s="76">
        <f t="shared" si="11"/>
        <v>0</v>
      </c>
      <c r="S54" s="81"/>
    </row>
    <row r="55" spans="1:19" ht="15.75" thickBot="1" x14ac:dyDescent="0.3">
      <c r="B55" s="90"/>
      <c r="C55" s="91"/>
      <c r="D55" s="92"/>
      <c r="E55" s="91"/>
      <c r="F55" s="93"/>
      <c r="G55" s="94"/>
      <c r="H55" s="95"/>
      <c r="I55" s="96"/>
      <c r="J55" s="93"/>
      <c r="K55" s="97"/>
      <c r="L55" s="95"/>
      <c r="M55" s="96"/>
      <c r="N55" s="98"/>
      <c r="O55" s="99"/>
    </row>
    <row r="56" spans="1:19" x14ac:dyDescent="0.25">
      <c r="B56" s="100" t="s">
        <v>106</v>
      </c>
      <c r="C56" s="25"/>
      <c r="D56" s="25"/>
      <c r="E56" s="25"/>
      <c r="F56" s="101"/>
      <c r="G56" s="102"/>
      <c r="H56" s="103">
        <f>SUM(H50:H54,H49)</f>
        <v>7260.2487169599999</v>
      </c>
      <c r="I56" s="104"/>
      <c r="J56" s="105"/>
      <c r="K56" s="105"/>
      <c r="L56" s="181">
        <f>SUM(L50:L54,L49)</f>
        <v>7997.7729222099988</v>
      </c>
      <c r="M56" s="106"/>
      <c r="N56" s="107">
        <f t="shared" ref="N56" si="14">L56-H56</f>
        <v>737.52420524999889</v>
      </c>
      <c r="O56" s="108">
        <f t="shared" ref="O56" si="15">IF((H56)=0,"",(N56/H56))</f>
        <v>0.10158387598032784</v>
      </c>
      <c r="S56" s="81"/>
    </row>
    <row r="57" spans="1:19" x14ac:dyDescent="0.25">
      <c r="B57" s="109" t="s">
        <v>46</v>
      </c>
      <c r="C57" s="25"/>
      <c r="D57" s="25"/>
      <c r="E57" s="25"/>
      <c r="F57" s="110">
        <v>0.13</v>
      </c>
      <c r="G57" s="111"/>
      <c r="H57" s="112">
        <f>H56*F57</f>
        <v>943.83233320479997</v>
      </c>
      <c r="I57" s="113"/>
      <c r="J57" s="114">
        <v>0.13</v>
      </c>
      <c r="K57" s="113"/>
      <c r="L57" s="115">
        <f>L56*J57</f>
        <v>1039.7104798872999</v>
      </c>
      <c r="M57" s="116"/>
      <c r="N57" s="117">
        <f t="shared" si="10"/>
        <v>95.87814668249996</v>
      </c>
      <c r="O57" s="118">
        <f t="shared" si="11"/>
        <v>0.10158387598032795</v>
      </c>
      <c r="S57" s="81"/>
    </row>
    <row r="58" spans="1:19" ht="15.75" thickBot="1" x14ac:dyDescent="0.3">
      <c r="B58" s="119" t="s">
        <v>52</v>
      </c>
      <c r="C58" s="25"/>
      <c r="D58" s="25"/>
      <c r="E58" s="25"/>
      <c r="F58" s="120"/>
      <c r="G58" s="111"/>
      <c r="H58" s="112">
        <f>H56+H57</f>
        <v>8204.0810501647993</v>
      </c>
      <c r="I58" s="113"/>
      <c r="J58" s="113"/>
      <c r="K58" s="113"/>
      <c r="L58" s="115">
        <f>L56+L57</f>
        <v>9037.4834020972994</v>
      </c>
      <c r="M58" s="116"/>
      <c r="N58" s="117">
        <f t="shared" si="10"/>
        <v>833.4023519325001</v>
      </c>
      <c r="O58" s="118">
        <f t="shared" si="11"/>
        <v>0.101583875980328</v>
      </c>
      <c r="S58" s="81"/>
    </row>
    <row r="59" spans="1:19" s="89" customFormat="1" ht="15.75" thickBot="1" x14ac:dyDescent="0.25">
      <c r="B59" s="134"/>
      <c r="C59" s="135"/>
      <c r="D59" s="136"/>
      <c r="E59" s="135"/>
      <c r="F59" s="93"/>
      <c r="G59" s="137"/>
      <c r="H59" s="95"/>
      <c r="I59" s="138"/>
      <c r="J59" s="93"/>
      <c r="K59" s="139"/>
      <c r="L59" s="95"/>
      <c r="M59" s="138"/>
      <c r="N59" s="140"/>
      <c r="O59" s="99"/>
    </row>
    <row r="60" spans="1:19" x14ac:dyDescent="0.25">
      <c r="L60" s="81"/>
    </row>
    <row r="61" spans="1:19" x14ac:dyDescent="0.25">
      <c r="B61" s="16" t="s">
        <v>50</v>
      </c>
      <c r="F61" s="179">
        <f>Rates!D76</f>
        <v>8.6400000000000005E-2</v>
      </c>
      <c r="J61" s="179">
        <f>Rates!F76</f>
        <v>9.1700000000000004E-2</v>
      </c>
    </row>
    <row r="63" spans="1:19" x14ac:dyDescent="0.25">
      <c r="A63" s="180"/>
      <c r="B63" s="10" t="s">
        <v>51</v>
      </c>
    </row>
  </sheetData>
  <mergeCells count="11">
    <mergeCell ref="D20:D21"/>
    <mergeCell ref="N20:N21"/>
    <mergeCell ref="O20:O21"/>
    <mergeCell ref="A3:K3"/>
    <mergeCell ref="B10:O10"/>
    <mergeCell ref="B11:O11"/>
    <mergeCell ref="D14:O14"/>
    <mergeCell ref="I17:J17"/>
    <mergeCell ref="F19:H19"/>
    <mergeCell ref="J19:L19"/>
    <mergeCell ref="N19:O19"/>
  </mergeCells>
  <dataValidations count="2">
    <dataValidation type="list" allowBlank="1" showInputMessage="1" showErrorMessage="1" sqref="E47:E48 E39:E45 E22:E37 E59 E50:E55">
      <formula1>#REF!</formula1>
    </dataValidation>
    <dataValidation type="list" allowBlank="1" showInputMessage="1" showErrorMessage="1" prompt="Select Charge Unit - monthly, per kWh, per kW" sqref="D47:D48 D39:D45 D59 D22:D37 D50:D55">
      <formula1>"Monthly, per kWh, per kW"</formula1>
    </dataValidation>
  </dataValidations>
  <pageMargins left="0.7" right="0.7" top="0.75" bottom="0.75" header="0.3" footer="0.3"/>
  <pageSetup scale="6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Cover</vt:lpstr>
      <vt:lpstr>Rates</vt:lpstr>
      <vt:lpstr>Residential - R1 RPP</vt:lpstr>
      <vt:lpstr>Residential - R1 Non-RPP</vt:lpstr>
      <vt:lpstr>Residential - R2 Non-RPP</vt:lpstr>
      <vt:lpstr>Residential - R2 Non-RPP Int.</vt:lpstr>
      <vt:lpstr>Residential - R2 RPP</vt:lpstr>
      <vt:lpstr>Seasonal RPP</vt:lpstr>
      <vt:lpstr>Seasonal Non-RPP</vt:lpstr>
      <vt:lpstr>Street Lighting Non-RPP</vt:lpstr>
      <vt:lpstr>Street Lighting_2 Non-RPP</vt:lpstr>
      <vt:lpstr>'Residential - R1 Non-RPP'!Print_Area</vt:lpstr>
      <vt:lpstr>'Residential - R1 RPP'!Print_Area</vt:lpstr>
      <vt:lpstr>'Residential - R2 Non-RPP'!Print_Area</vt:lpstr>
      <vt:lpstr>'Residential - R2 Non-RPP Int.'!Print_Area</vt:lpstr>
      <vt:lpstr>'Residential - R2 RPP'!Print_Area</vt:lpstr>
      <vt:lpstr>'Seasonal Non-RPP'!Print_Area</vt:lpstr>
      <vt:lpstr>'Seasonal RPP'!Print_Area</vt:lpstr>
      <vt:lpstr>'Street Lighting Non-RPP'!Print_Area</vt:lpstr>
      <vt:lpstr>'Street Lighting_2 Non-RPP'!Print_Area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Bradbury, Doug</dc:creator>
  <cp:lastModifiedBy>Bradbury, Doug</cp:lastModifiedBy>
  <cp:lastPrinted>2014-04-25T12:49:41Z</cp:lastPrinted>
  <dcterms:created xsi:type="dcterms:W3CDTF">2014-04-09T13:49:52Z</dcterms:created>
  <dcterms:modified xsi:type="dcterms:W3CDTF">2014-07-24T17:09:22Z</dcterms:modified>
</cp:coreProperties>
</file>