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2465" firstSheet="5" activeTab="10"/>
  </bookViews>
  <sheets>
    <sheet name="Cover" sheetId="12" r:id="rId1"/>
    <sheet name="Rates" sheetId="3" r:id="rId2"/>
    <sheet name="Residential - R1 RPP" sheetId="2" r:id="rId3"/>
    <sheet name="Residential - R1 Non-RPP" sheetId="17" r:id="rId4"/>
    <sheet name="Residential - R2 Non-RPP" sheetId="7" r:id="rId5"/>
    <sheet name="Residential - R2 Non-RPP Int." sheetId="13" r:id="rId6"/>
    <sheet name="Residential - R2 RPP" sheetId="14" r:id="rId7"/>
    <sheet name="Seasonal RPP" sheetId="4" r:id="rId8"/>
    <sheet name="Seasonal Non-RPP" sheetId="18" r:id="rId9"/>
    <sheet name="Street Lighting Non-RPP" sheetId="10" r:id="rId10"/>
    <sheet name="Street Lighting_2 Non-RPP" sheetId="16" r:id="rId11"/>
  </sheets>
  <externalReferences>
    <externalReference r:id="rId12"/>
  </externalReferences>
  <definedNames>
    <definedName name="EBNUMBER">'[1]LDC Info'!$E$16</definedName>
    <definedName name="_xlnm.Print_Area" localSheetId="3">'Residential - R1 Non-RPP'!$A$1:$O$64</definedName>
    <definedName name="_xlnm.Print_Area" localSheetId="2">'Residential - R1 RPP'!$A$1:$O$75</definedName>
    <definedName name="_xlnm.Print_Area" localSheetId="4">'Residential - R2 Non-RPP'!$A$1:$O$62</definedName>
    <definedName name="_xlnm.Print_Area" localSheetId="5">'Residential - R2 Non-RPP Int.'!$A$1:$O$62</definedName>
    <definedName name="_xlnm.Print_Area" localSheetId="6">'Residential - R2 RPP'!$A$1:$O$62</definedName>
    <definedName name="_xlnm.Print_Area" localSheetId="8">'Seasonal Non-RPP'!$A$1:$O$65</definedName>
    <definedName name="_xlnm.Print_Area" localSheetId="7">'Seasonal RPP'!$A$1:$O$75</definedName>
    <definedName name="_xlnm.Print_Area" localSheetId="9">'Street Lighting Non-RPP'!$A$1:$O$62</definedName>
    <definedName name="_xlnm.Print_Area" localSheetId="10">'Street Lighting_2 Non-RPP'!$A$1:$O$62</definedName>
  </definedNames>
  <calcPr calcId="144525"/>
</workbook>
</file>

<file path=xl/calcChain.xml><?xml version="1.0" encoding="utf-8"?>
<calcChain xmlns="http://schemas.openxmlformats.org/spreadsheetml/2006/main">
  <c r="N32" i="16" l="1"/>
  <c r="O32" i="16"/>
  <c r="J32" i="16"/>
  <c r="L32" i="16" s="1"/>
  <c r="K32" i="16"/>
  <c r="J31" i="16"/>
  <c r="F32" i="16"/>
  <c r="G32" i="16"/>
  <c r="H32" i="16"/>
  <c r="F31" i="16"/>
  <c r="B32" i="16"/>
  <c r="B31" i="16"/>
  <c r="N32" i="10"/>
  <c r="O32" i="10"/>
  <c r="J32" i="10"/>
  <c r="L32" i="10" s="1"/>
  <c r="K32" i="10"/>
  <c r="J31" i="10"/>
  <c r="F32" i="10"/>
  <c r="H32" i="10" s="1"/>
  <c r="G32" i="10"/>
  <c r="F31" i="10"/>
  <c r="B32" i="10"/>
  <c r="B31" i="10"/>
  <c r="N33" i="18"/>
  <c r="O33" i="18" s="1"/>
  <c r="J33" i="18"/>
  <c r="K33" i="18"/>
  <c r="L33" i="18"/>
  <c r="J32" i="18"/>
  <c r="G33" i="18"/>
  <c r="H33" i="18"/>
  <c r="F33" i="18"/>
  <c r="F32" i="18"/>
  <c r="B33" i="18"/>
  <c r="B32" i="18"/>
  <c r="N33" i="4"/>
  <c r="O33" i="4" s="1"/>
  <c r="J33" i="4"/>
  <c r="K33" i="4"/>
  <c r="L33" i="4" s="1"/>
  <c r="J32" i="4"/>
  <c r="G33" i="4"/>
  <c r="H33" i="4" s="1"/>
  <c r="F33" i="4"/>
  <c r="F32" i="4"/>
  <c r="B33" i="4"/>
  <c r="B32" i="4"/>
  <c r="N32" i="14" l="1"/>
  <c r="O32" i="14"/>
  <c r="K32" i="14"/>
  <c r="L32" i="14"/>
  <c r="J32" i="14"/>
  <c r="J31" i="14"/>
  <c r="G32" i="14"/>
  <c r="H32" i="14"/>
  <c r="F32" i="14"/>
  <c r="F31" i="14"/>
  <c r="B32" i="14"/>
  <c r="B31" i="14"/>
  <c r="N32" i="13"/>
  <c r="O32" i="13"/>
  <c r="K32" i="13"/>
  <c r="L32" i="13" s="1"/>
  <c r="J32" i="13"/>
  <c r="J31" i="13"/>
  <c r="G32" i="13"/>
  <c r="H32" i="13" s="1"/>
  <c r="F32" i="13"/>
  <c r="F31" i="13"/>
  <c r="B32" i="13"/>
  <c r="B31" i="13"/>
  <c r="N32" i="7"/>
  <c r="O32" i="7"/>
  <c r="H32" i="7"/>
  <c r="L32" i="7"/>
  <c r="K32" i="7"/>
  <c r="J32" i="7"/>
  <c r="J31" i="7"/>
  <c r="G32" i="7"/>
  <c r="F32" i="7"/>
  <c r="F31" i="7"/>
  <c r="B32" i="7"/>
  <c r="B31" i="7"/>
  <c r="N33" i="17"/>
  <c r="O33" i="17" s="1"/>
  <c r="L33" i="17"/>
  <c r="H33" i="17"/>
  <c r="K33" i="17"/>
  <c r="G33" i="17"/>
  <c r="J33" i="17"/>
  <c r="J32" i="17"/>
  <c r="F33" i="17"/>
  <c r="F32" i="17"/>
  <c r="B33" i="17"/>
  <c r="B32" i="17"/>
  <c r="N33" i="2" l="1"/>
  <c r="O33" i="2"/>
  <c r="L33" i="2"/>
  <c r="K33" i="2"/>
  <c r="J33" i="2"/>
  <c r="J32" i="2"/>
  <c r="H33" i="2"/>
  <c r="G33" i="2"/>
  <c r="F33" i="2"/>
  <c r="F32" i="2"/>
  <c r="B33" i="2"/>
  <c r="B32" i="2"/>
  <c r="G56" i="18" l="1"/>
  <c r="K56" i="18" s="1"/>
  <c r="J46" i="18"/>
  <c r="F46" i="18"/>
  <c r="J56" i="18"/>
  <c r="F56" i="18"/>
  <c r="J65" i="18"/>
  <c r="K49" i="18" s="1"/>
  <c r="K50" i="18" s="1"/>
  <c r="F65" i="18"/>
  <c r="G49" i="18" s="1"/>
  <c r="K55" i="18"/>
  <c r="J55" i="18"/>
  <c r="G55" i="18"/>
  <c r="F55" i="18"/>
  <c r="J54" i="18"/>
  <c r="L54" i="18" s="1"/>
  <c r="F54" i="18"/>
  <c r="H54" i="18" s="1"/>
  <c r="J53" i="18"/>
  <c r="F53" i="18"/>
  <c r="J52" i="18"/>
  <c r="F52" i="18"/>
  <c r="J50" i="18"/>
  <c r="F50" i="18"/>
  <c r="J49" i="18"/>
  <c r="F49" i="18"/>
  <c r="J47" i="18"/>
  <c r="L47" i="18" s="1"/>
  <c r="F47" i="18"/>
  <c r="H47" i="18" s="1"/>
  <c r="K45" i="18"/>
  <c r="L45" i="18" s="1"/>
  <c r="G45" i="18"/>
  <c r="H45" i="18" s="1"/>
  <c r="O45" i="18" s="1"/>
  <c r="K44" i="18"/>
  <c r="L44" i="18" s="1"/>
  <c r="N44" i="18" s="1"/>
  <c r="G44" i="18"/>
  <c r="H44" i="18" s="1"/>
  <c r="O44" i="18" s="1"/>
  <c r="K43" i="18"/>
  <c r="L43" i="18" s="1"/>
  <c r="G43" i="18"/>
  <c r="H43" i="18" s="1"/>
  <c r="O43" i="18" s="1"/>
  <c r="K42" i="18"/>
  <c r="J42" i="18"/>
  <c r="G42" i="18"/>
  <c r="F42" i="18"/>
  <c r="B42" i="18"/>
  <c r="K41" i="18"/>
  <c r="J41" i="18"/>
  <c r="G41" i="18"/>
  <c r="F41" i="18"/>
  <c r="B41" i="18"/>
  <c r="K39" i="18"/>
  <c r="L39" i="18" s="1"/>
  <c r="G39" i="18"/>
  <c r="H39" i="18" s="1"/>
  <c r="O39" i="18" s="1"/>
  <c r="K38" i="18"/>
  <c r="L38" i="18" s="1"/>
  <c r="G38" i="18"/>
  <c r="H38" i="18" s="1"/>
  <c r="O38" i="18" s="1"/>
  <c r="K37" i="18"/>
  <c r="L37" i="18" s="1"/>
  <c r="G37" i="18"/>
  <c r="H37" i="18" s="1"/>
  <c r="O37" i="18" s="1"/>
  <c r="K36" i="18"/>
  <c r="J36" i="18"/>
  <c r="G36" i="18"/>
  <c r="F36" i="18"/>
  <c r="B36" i="18"/>
  <c r="K35" i="18"/>
  <c r="J35" i="18"/>
  <c r="G35" i="18"/>
  <c r="F35" i="18"/>
  <c r="B35" i="18"/>
  <c r="K34" i="18"/>
  <c r="J34" i="18"/>
  <c r="G34" i="18"/>
  <c r="F34" i="18"/>
  <c r="B34" i="18"/>
  <c r="K32" i="18"/>
  <c r="G32" i="18"/>
  <c r="K31" i="18"/>
  <c r="L31" i="18" s="1"/>
  <c r="G31" i="18"/>
  <c r="H31" i="18" s="1"/>
  <c r="O31" i="18" s="1"/>
  <c r="K30" i="18"/>
  <c r="L30" i="18" s="1"/>
  <c r="G30" i="18"/>
  <c r="H30" i="18" s="1"/>
  <c r="O30" i="18" s="1"/>
  <c r="K29" i="18"/>
  <c r="J29" i="18"/>
  <c r="G29" i="18"/>
  <c r="F29" i="18"/>
  <c r="L28" i="18"/>
  <c r="N28" i="18" s="1"/>
  <c r="H28" i="18"/>
  <c r="O28" i="18" s="1"/>
  <c r="J27" i="18"/>
  <c r="L27" i="18" s="1"/>
  <c r="F27" i="18"/>
  <c r="H27" i="18" s="1"/>
  <c r="O27" i="18" s="1"/>
  <c r="B27" i="18"/>
  <c r="J26" i="18"/>
  <c r="L26" i="18" s="1"/>
  <c r="F26" i="18"/>
  <c r="H26" i="18" s="1"/>
  <c r="B26" i="18"/>
  <c r="J25" i="18"/>
  <c r="L25" i="18" s="1"/>
  <c r="F25" i="18"/>
  <c r="H25" i="18" s="1"/>
  <c r="B25" i="18"/>
  <c r="L24" i="18"/>
  <c r="H24" i="18"/>
  <c r="O24" i="18" s="1"/>
  <c r="J23" i="18"/>
  <c r="L23" i="18" s="1"/>
  <c r="F23" i="18"/>
  <c r="H23" i="18" s="1"/>
  <c r="O1" i="18"/>
  <c r="G56" i="17"/>
  <c r="K56" i="17" s="1"/>
  <c r="J46" i="17"/>
  <c r="F46" i="17"/>
  <c r="J56" i="17"/>
  <c r="F56" i="17"/>
  <c r="J64" i="17"/>
  <c r="K46" i="17" s="1"/>
  <c r="F64" i="17"/>
  <c r="G46" i="17" s="1"/>
  <c r="K55" i="17"/>
  <c r="J55" i="17"/>
  <c r="G55" i="17"/>
  <c r="F55" i="17"/>
  <c r="J54" i="17"/>
  <c r="L54" i="17" s="1"/>
  <c r="F54" i="17"/>
  <c r="H54" i="17" s="1"/>
  <c r="J53" i="17"/>
  <c r="F53" i="17"/>
  <c r="J52" i="17"/>
  <c r="F52" i="17"/>
  <c r="J50" i="17"/>
  <c r="F50" i="17"/>
  <c r="J49" i="17"/>
  <c r="F49" i="17"/>
  <c r="J47" i="17"/>
  <c r="L47" i="17" s="1"/>
  <c r="F47" i="17"/>
  <c r="H47" i="17" s="1"/>
  <c r="K45" i="17"/>
  <c r="L45" i="17" s="1"/>
  <c r="G45" i="17"/>
  <c r="H45" i="17" s="1"/>
  <c r="O45" i="17" s="1"/>
  <c r="K44" i="17"/>
  <c r="L44" i="17" s="1"/>
  <c r="G44" i="17"/>
  <c r="H44" i="17" s="1"/>
  <c r="O44" i="17" s="1"/>
  <c r="K43" i="17"/>
  <c r="L43" i="17" s="1"/>
  <c r="G43" i="17"/>
  <c r="H43" i="17" s="1"/>
  <c r="O43" i="17" s="1"/>
  <c r="K42" i="17"/>
  <c r="J42" i="17"/>
  <c r="G42" i="17"/>
  <c r="F42" i="17"/>
  <c r="B42" i="17"/>
  <c r="K41" i="17"/>
  <c r="J41" i="17"/>
  <c r="G41" i="17"/>
  <c r="F41" i="17"/>
  <c r="B41" i="17"/>
  <c r="K39" i="17"/>
  <c r="L39" i="17" s="1"/>
  <c r="G39" i="17"/>
  <c r="H39" i="17" s="1"/>
  <c r="O39" i="17" s="1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J35" i="17"/>
  <c r="G35" i="17"/>
  <c r="F35" i="17"/>
  <c r="B35" i="17"/>
  <c r="K34" i="17"/>
  <c r="J34" i="17"/>
  <c r="G34" i="17"/>
  <c r="F34" i="17"/>
  <c r="B34" i="17"/>
  <c r="K32" i="17"/>
  <c r="G32" i="17"/>
  <c r="K31" i="17"/>
  <c r="J31" i="17"/>
  <c r="G31" i="17"/>
  <c r="F31" i="17"/>
  <c r="B31" i="17"/>
  <c r="K30" i="17"/>
  <c r="L30" i="17" s="1"/>
  <c r="G30" i="17"/>
  <c r="H30" i="17" s="1"/>
  <c r="O30" i="17" s="1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27" i="18" l="1"/>
  <c r="K46" i="18"/>
  <c r="L46" i="18" s="1"/>
  <c r="L35" i="18"/>
  <c r="N35" i="18" s="1"/>
  <c r="O35" i="18" s="1"/>
  <c r="L41" i="18"/>
  <c r="L32" i="18"/>
  <c r="H35" i="18"/>
  <c r="H41" i="18"/>
  <c r="O41" i="18" s="1"/>
  <c r="N30" i="18"/>
  <c r="N37" i="18"/>
  <c r="H34" i="18"/>
  <c r="L36" i="18"/>
  <c r="H42" i="18"/>
  <c r="O42" i="18" s="1"/>
  <c r="L55" i="18"/>
  <c r="N24" i="18"/>
  <c r="L29" i="18"/>
  <c r="L42" i="18"/>
  <c r="N42" i="18" s="1"/>
  <c r="L34" i="18"/>
  <c r="N43" i="18"/>
  <c r="L49" i="18"/>
  <c r="H55" i="18"/>
  <c r="N25" i="18"/>
  <c r="O25" i="18" s="1"/>
  <c r="H29" i="18"/>
  <c r="H32" i="18"/>
  <c r="H36" i="18"/>
  <c r="O36" i="18" s="1"/>
  <c r="N39" i="18"/>
  <c r="N45" i="18"/>
  <c r="N47" i="18"/>
  <c r="N54" i="18"/>
  <c r="O54" i="18" s="1"/>
  <c r="L56" i="18"/>
  <c r="H56" i="18"/>
  <c r="N23" i="18"/>
  <c r="O23" i="18" s="1"/>
  <c r="N31" i="18"/>
  <c r="N38" i="18"/>
  <c r="L50" i="18"/>
  <c r="K53" i="18"/>
  <c r="L53" i="18" s="1"/>
  <c r="K52" i="18"/>
  <c r="L52" i="18" s="1"/>
  <c r="N26" i="18"/>
  <c r="O26" i="18" s="1"/>
  <c r="G50" i="18"/>
  <c r="H49" i="18"/>
  <c r="G46" i="18"/>
  <c r="H46" i="18" s="1"/>
  <c r="H56" i="17"/>
  <c r="N45" i="17"/>
  <c r="G49" i="17"/>
  <c r="H49" i="17" s="1"/>
  <c r="L56" i="17"/>
  <c r="L31" i="17"/>
  <c r="L41" i="17"/>
  <c r="L46" i="17"/>
  <c r="H46" i="17"/>
  <c r="N39" i="17"/>
  <c r="H35" i="17"/>
  <c r="O35" i="17" s="1"/>
  <c r="L29" i="17"/>
  <c r="H34" i="17"/>
  <c r="L35" i="17"/>
  <c r="N37" i="17"/>
  <c r="H41" i="17"/>
  <c r="O41" i="17" s="1"/>
  <c r="L42" i="17"/>
  <c r="N54" i="17"/>
  <c r="O54" i="17" s="1"/>
  <c r="L55" i="17"/>
  <c r="H31" i="17"/>
  <c r="O31" i="17" s="1"/>
  <c r="L32" i="17"/>
  <c r="K49" i="17"/>
  <c r="N30" i="17"/>
  <c r="N36" i="17"/>
  <c r="N43" i="17"/>
  <c r="H55" i="17"/>
  <c r="N23" i="17"/>
  <c r="O23" i="17" s="1"/>
  <c r="N27" i="17"/>
  <c r="H29" i="17"/>
  <c r="N38" i="17"/>
  <c r="N44" i="17"/>
  <c r="L34" i="17"/>
  <c r="H42" i="17"/>
  <c r="O42" i="17" s="1"/>
  <c r="N47" i="17"/>
  <c r="N24" i="17"/>
  <c r="N26" i="17"/>
  <c r="N28" i="17"/>
  <c r="H32" i="17"/>
  <c r="N25" i="17"/>
  <c r="J62" i="16"/>
  <c r="K45" i="16" s="1"/>
  <c r="F62" i="16"/>
  <c r="G45" i="16" s="1"/>
  <c r="K55" i="16"/>
  <c r="J55" i="16"/>
  <c r="G55" i="16"/>
  <c r="F55" i="16"/>
  <c r="K54" i="16"/>
  <c r="J54" i="16"/>
  <c r="G54" i="16"/>
  <c r="F54" i="16"/>
  <c r="J53" i="16"/>
  <c r="L53" i="16" s="1"/>
  <c r="F53" i="16"/>
  <c r="H53" i="16" s="1"/>
  <c r="J52" i="16"/>
  <c r="F52" i="16"/>
  <c r="J51" i="16"/>
  <c r="F51" i="16"/>
  <c r="J49" i="16"/>
  <c r="F49" i="16"/>
  <c r="J48" i="16"/>
  <c r="F48" i="16"/>
  <c r="L46" i="16"/>
  <c r="N46" i="16" s="1"/>
  <c r="H46" i="16"/>
  <c r="J45" i="16"/>
  <c r="F45" i="16"/>
  <c r="L44" i="16"/>
  <c r="K44" i="16"/>
  <c r="G44" i="16"/>
  <c r="H44" i="16" s="1"/>
  <c r="O44" i="16" s="1"/>
  <c r="K43" i="16"/>
  <c r="L43" i="16" s="1"/>
  <c r="H43" i="16"/>
  <c r="O43" i="16" s="1"/>
  <c r="G43" i="16"/>
  <c r="K42" i="16"/>
  <c r="L42" i="16" s="1"/>
  <c r="N42" i="16" s="1"/>
  <c r="G42" i="16"/>
  <c r="H42" i="16" s="1"/>
  <c r="O42" i="16" s="1"/>
  <c r="K41" i="16"/>
  <c r="J41" i="16"/>
  <c r="G41" i="16"/>
  <c r="F41" i="16"/>
  <c r="B41" i="16"/>
  <c r="K40" i="16"/>
  <c r="J40" i="16"/>
  <c r="L40" i="16" s="1"/>
  <c r="G40" i="16"/>
  <c r="F40" i="16"/>
  <c r="B40" i="16"/>
  <c r="K38" i="16"/>
  <c r="L38" i="16" s="1"/>
  <c r="N38" i="16" s="1"/>
  <c r="G38" i="16"/>
  <c r="H38" i="16" s="1"/>
  <c r="O38" i="16" s="1"/>
  <c r="K37" i="16"/>
  <c r="L37" i="16" s="1"/>
  <c r="G37" i="16"/>
  <c r="H37" i="16" s="1"/>
  <c r="O37" i="16" s="1"/>
  <c r="K36" i="16"/>
  <c r="L36" i="16" s="1"/>
  <c r="N36" i="16" s="1"/>
  <c r="G36" i="16"/>
  <c r="H36" i="16" s="1"/>
  <c r="O36" i="16" s="1"/>
  <c r="K35" i="16"/>
  <c r="L35" i="16" s="1"/>
  <c r="G35" i="16"/>
  <c r="H35" i="16" s="1"/>
  <c r="O35" i="16" s="1"/>
  <c r="K34" i="16"/>
  <c r="J34" i="16"/>
  <c r="G34" i="16"/>
  <c r="F34" i="16"/>
  <c r="H34" i="16" s="1"/>
  <c r="O34" i="16" s="1"/>
  <c r="B34" i="16"/>
  <c r="K33" i="16"/>
  <c r="J33" i="16"/>
  <c r="G33" i="16"/>
  <c r="F33" i="16"/>
  <c r="B33" i="16"/>
  <c r="K31" i="16"/>
  <c r="G31" i="16"/>
  <c r="K30" i="16"/>
  <c r="L30" i="16" s="1"/>
  <c r="N30" i="16" s="1"/>
  <c r="G30" i="16"/>
  <c r="H30" i="16" s="1"/>
  <c r="O30" i="16" s="1"/>
  <c r="K29" i="16"/>
  <c r="L29" i="16" s="1"/>
  <c r="H29" i="16"/>
  <c r="O29" i="16" s="1"/>
  <c r="G29" i="16"/>
  <c r="K28" i="16"/>
  <c r="J28" i="16"/>
  <c r="G28" i="16"/>
  <c r="F28" i="16"/>
  <c r="L27" i="16"/>
  <c r="H27" i="16"/>
  <c r="O27" i="16" s="1"/>
  <c r="L26" i="16"/>
  <c r="H26" i="16"/>
  <c r="O26" i="16" s="1"/>
  <c r="L25" i="16"/>
  <c r="H25" i="16"/>
  <c r="O25" i="16" s="1"/>
  <c r="L24" i="16"/>
  <c r="H24" i="16"/>
  <c r="O24" i="16" s="1"/>
  <c r="L23" i="16"/>
  <c r="H23" i="16"/>
  <c r="O23" i="16" s="1"/>
  <c r="J22" i="16"/>
  <c r="L22" i="16" s="1"/>
  <c r="F22" i="16"/>
  <c r="H22" i="16" s="1"/>
  <c r="O1" i="16"/>
  <c r="K41" i="10"/>
  <c r="K40" i="10"/>
  <c r="G41" i="10"/>
  <c r="G40" i="10"/>
  <c r="K34" i="10"/>
  <c r="G34" i="10"/>
  <c r="J34" i="10"/>
  <c r="F34" i="10"/>
  <c r="B34" i="10"/>
  <c r="J41" i="10"/>
  <c r="F41" i="10"/>
  <c r="B41" i="10"/>
  <c r="J40" i="10"/>
  <c r="F40" i="10"/>
  <c r="B40" i="10"/>
  <c r="J36" i="4"/>
  <c r="F36" i="4"/>
  <c r="B36" i="4"/>
  <c r="F42" i="4"/>
  <c r="B42" i="4"/>
  <c r="J41" i="4"/>
  <c r="F41" i="4"/>
  <c r="B41" i="4"/>
  <c r="J27" i="4"/>
  <c r="F27" i="4"/>
  <c r="B27" i="4"/>
  <c r="J45" i="14"/>
  <c r="F45" i="14"/>
  <c r="J62" i="14"/>
  <c r="K45" i="14" s="1"/>
  <c r="F62" i="14"/>
  <c r="K55" i="14"/>
  <c r="J55" i="14"/>
  <c r="G55" i="14"/>
  <c r="F55" i="14"/>
  <c r="K54" i="14"/>
  <c r="J54" i="14"/>
  <c r="G54" i="14"/>
  <c r="F54" i="14"/>
  <c r="J53" i="14"/>
  <c r="L53" i="14" s="1"/>
  <c r="F53" i="14"/>
  <c r="H53" i="14" s="1"/>
  <c r="J52" i="14"/>
  <c r="F52" i="14"/>
  <c r="J51" i="14"/>
  <c r="F51" i="14"/>
  <c r="J49" i="14"/>
  <c r="F49" i="14"/>
  <c r="J48" i="14"/>
  <c r="F48" i="14"/>
  <c r="L46" i="14"/>
  <c r="N46" i="14" s="1"/>
  <c r="H46" i="14"/>
  <c r="L44" i="14"/>
  <c r="N44" i="14" s="1"/>
  <c r="K44" i="14"/>
  <c r="G44" i="14"/>
  <c r="H44" i="14" s="1"/>
  <c r="O44" i="14" s="1"/>
  <c r="O43" i="14"/>
  <c r="K43" i="14"/>
  <c r="L43" i="14" s="1"/>
  <c r="N43" i="14" s="1"/>
  <c r="H43" i="14"/>
  <c r="G43" i="14"/>
  <c r="L42" i="14"/>
  <c r="N42" i="14" s="1"/>
  <c r="K42" i="14"/>
  <c r="G42" i="14"/>
  <c r="H42" i="14" s="1"/>
  <c r="O42" i="14" s="1"/>
  <c r="K41" i="14"/>
  <c r="L41" i="14" s="1"/>
  <c r="G41" i="14"/>
  <c r="F41" i="14"/>
  <c r="B41" i="14"/>
  <c r="K40" i="14"/>
  <c r="J40" i="14"/>
  <c r="G40" i="14"/>
  <c r="F40" i="14"/>
  <c r="B40" i="14"/>
  <c r="L38" i="14"/>
  <c r="N38" i="14" s="1"/>
  <c r="K38" i="14"/>
  <c r="G38" i="14"/>
  <c r="H38" i="14" s="1"/>
  <c r="O38" i="14" s="1"/>
  <c r="K37" i="14"/>
  <c r="L37" i="14" s="1"/>
  <c r="H37" i="14"/>
  <c r="O37" i="14" s="1"/>
  <c r="G37" i="14"/>
  <c r="L36" i="14"/>
  <c r="N36" i="14" s="1"/>
  <c r="K36" i="14"/>
  <c r="G36" i="14"/>
  <c r="H36" i="14" s="1"/>
  <c r="O36" i="14" s="1"/>
  <c r="K35" i="14"/>
  <c r="L35" i="14" s="1"/>
  <c r="H35" i="14"/>
  <c r="O35" i="14" s="1"/>
  <c r="G35" i="14"/>
  <c r="K34" i="14"/>
  <c r="J34" i="14"/>
  <c r="L34" i="14" s="1"/>
  <c r="G34" i="14"/>
  <c r="F34" i="14"/>
  <c r="B34" i="14"/>
  <c r="K33" i="14"/>
  <c r="J33" i="14"/>
  <c r="G33" i="14"/>
  <c r="F33" i="14"/>
  <c r="H33" i="14" s="1"/>
  <c r="B33" i="14"/>
  <c r="K31" i="14"/>
  <c r="G31" i="14"/>
  <c r="K30" i="14"/>
  <c r="J30" i="14"/>
  <c r="G30" i="14"/>
  <c r="F30" i="14"/>
  <c r="B30" i="14"/>
  <c r="L29" i="14"/>
  <c r="N29" i="14" s="1"/>
  <c r="K29" i="14"/>
  <c r="G29" i="14"/>
  <c r="H29" i="14" s="1"/>
  <c r="O29" i="14" s="1"/>
  <c r="K28" i="14"/>
  <c r="J28" i="14"/>
  <c r="G28" i="14"/>
  <c r="F28" i="14"/>
  <c r="L27" i="14"/>
  <c r="H27" i="14"/>
  <c r="O27" i="14" s="1"/>
  <c r="L26" i="14"/>
  <c r="H26" i="14"/>
  <c r="O26" i="14" s="1"/>
  <c r="O25" i="14"/>
  <c r="L25" i="14"/>
  <c r="H25" i="14"/>
  <c r="O24" i="14"/>
  <c r="L24" i="14"/>
  <c r="N24" i="14" s="1"/>
  <c r="H24" i="14"/>
  <c r="L23" i="14"/>
  <c r="H23" i="14"/>
  <c r="O23" i="14" s="1"/>
  <c r="J22" i="14"/>
  <c r="L22" i="14" s="1"/>
  <c r="F22" i="14"/>
  <c r="H22" i="14" s="1"/>
  <c r="O1" i="14"/>
  <c r="J49" i="13"/>
  <c r="J48" i="13"/>
  <c r="F49" i="13"/>
  <c r="F48" i="13"/>
  <c r="J62" i="13"/>
  <c r="K45" i="13" s="1"/>
  <c r="F62" i="13"/>
  <c r="G51" i="13" s="1"/>
  <c r="K55" i="13"/>
  <c r="J55" i="13"/>
  <c r="L55" i="13" s="1"/>
  <c r="G55" i="13"/>
  <c r="F55" i="13"/>
  <c r="K54" i="13"/>
  <c r="J54" i="13"/>
  <c r="L54" i="13" s="1"/>
  <c r="G54" i="13"/>
  <c r="F54" i="13"/>
  <c r="J53" i="13"/>
  <c r="L53" i="13" s="1"/>
  <c r="F53" i="13"/>
  <c r="H53" i="13" s="1"/>
  <c r="J52" i="13"/>
  <c r="F52" i="13"/>
  <c r="J51" i="13"/>
  <c r="F51" i="13"/>
  <c r="N46" i="13"/>
  <c r="L46" i="13"/>
  <c r="H46" i="13"/>
  <c r="J45" i="13"/>
  <c r="F45" i="13"/>
  <c r="K44" i="13"/>
  <c r="L44" i="13" s="1"/>
  <c r="N44" i="13" s="1"/>
  <c r="G44" i="13"/>
  <c r="H44" i="13" s="1"/>
  <c r="O44" i="13" s="1"/>
  <c r="K43" i="13"/>
  <c r="L43" i="13" s="1"/>
  <c r="G43" i="13"/>
  <c r="H43" i="13" s="1"/>
  <c r="O43" i="13" s="1"/>
  <c r="K42" i="13"/>
  <c r="L42" i="13" s="1"/>
  <c r="N42" i="13" s="1"/>
  <c r="G42" i="13"/>
  <c r="H42" i="13" s="1"/>
  <c r="O42" i="13" s="1"/>
  <c r="K41" i="13"/>
  <c r="J41" i="13"/>
  <c r="G41" i="13"/>
  <c r="F41" i="13"/>
  <c r="H41" i="13" s="1"/>
  <c r="O41" i="13" s="1"/>
  <c r="B41" i="13"/>
  <c r="K40" i="13"/>
  <c r="J40" i="13"/>
  <c r="L40" i="13" s="1"/>
  <c r="G40" i="13"/>
  <c r="F40" i="13"/>
  <c r="B40" i="13"/>
  <c r="K38" i="13"/>
  <c r="L38" i="13" s="1"/>
  <c r="G38" i="13"/>
  <c r="H38" i="13" s="1"/>
  <c r="O38" i="13" s="1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L35" i="13" s="1"/>
  <c r="G35" i="13"/>
  <c r="H35" i="13" s="1"/>
  <c r="O35" i="13" s="1"/>
  <c r="K34" i="13"/>
  <c r="J34" i="13"/>
  <c r="G34" i="13"/>
  <c r="F34" i="13"/>
  <c r="H34" i="13" s="1"/>
  <c r="O34" i="13" s="1"/>
  <c r="B34" i="13"/>
  <c r="K33" i="13"/>
  <c r="J33" i="13"/>
  <c r="L33" i="13" s="1"/>
  <c r="G33" i="13"/>
  <c r="H33" i="13" s="1"/>
  <c r="F33" i="13"/>
  <c r="B33" i="13"/>
  <c r="K31" i="13"/>
  <c r="G31" i="13"/>
  <c r="H31" i="13"/>
  <c r="K30" i="13"/>
  <c r="J30" i="13"/>
  <c r="L30" i="13" s="1"/>
  <c r="G30" i="13"/>
  <c r="F30" i="13"/>
  <c r="B30" i="13"/>
  <c r="K29" i="13"/>
  <c r="L29" i="13" s="1"/>
  <c r="G29" i="13"/>
  <c r="H29" i="13" s="1"/>
  <c r="O29" i="13" s="1"/>
  <c r="K28" i="13"/>
  <c r="J28" i="13"/>
  <c r="G28" i="13"/>
  <c r="F28" i="13"/>
  <c r="H28" i="13" s="1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L23" i="13"/>
  <c r="H23" i="13"/>
  <c r="O23" i="13" s="1"/>
  <c r="J22" i="13"/>
  <c r="L22" i="13" s="1"/>
  <c r="F22" i="13"/>
  <c r="H22" i="13" s="1"/>
  <c r="O1" i="13"/>
  <c r="J34" i="7"/>
  <c r="F34" i="7"/>
  <c r="B34" i="7"/>
  <c r="J41" i="7"/>
  <c r="F41" i="7"/>
  <c r="B41" i="7"/>
  <c r="J40" i="7"/>
  <c r="F40" i="7"/>
  <c r="B40" i="7"/>
  <c r="J30" i="7"/>
  <c r="F30" i="7"/>
  <c r="B30" i="7"/>
  <c r="J35" i="2"/>
  <c r="F35" i="2"/>
  <c r="B35" i="2"/>
  <c r="J31" i="2"/>
  <c r="F31" i="2"/>
  <c r="B31" i="2"/>
  <c r="F42" i="2"/>
  <c r="B42" i="2"/>
  <c r="J41" i="2"/>
  <c r="F41" i="2"/>
  <c r="B41" i="2"/>
  <c r="L28" i="13" l="1"/>
  <c r="N28" i="13" s="1"/>
  <c r="O28" i="13" s="1"/>
  <c r="H54" i="16"/>
  <c r="H55" i="16"/>
  <c r="N41" i="18"/>
  <c r="G48" i="13"/>
  <c r="H48" i="13" s="1"/>
  <c r="L45" i="13"/>
  <c r="H34" i="14"/>
  <c r="O34" i="14" s="1"/>
  <c r="N29" i="18"/>
  <c r="O29" i="18" s="1"/>
  <c r="H28" i="14"/>
  <c r="H40" i="14"/>
  <c r="O40" i="14" s="1"/>
  <c r="N53" i="14"/>
  <c r="O53" i="14" s="1"/>
  <c r="L54" i="14"/>
  <c r="L55" i="14"/>
  <c r="H33" i="16"/>
  <c r="L34" i="16"/>
  <c r="N34" i="16" s="1"/>
  <c r="N34" i="18"/>
  <c r="O34" i="18" s="1"/>
  <c r="N53" i="16"/>
  <c r="O53" i="16" s="1"/>
  <c r="L54" i="16"/>
  <c r="L55" i="16"/>
  <c r="N55" i="16" s="1"/>
  <c r="O55" i="16" s="1"/>
  <c r="L34" i="13"/>
  <c r="N34" i="13" s="1"/>
  <c r="H54" i="13"/>
  <c r="H51" i="13"/>
  <c r="L30" i="14"/>
  <c r="L40" i="14"/>
  <c r="H45" i="16"/>
  <c r="N53" i="13"/>
  <c r="O53" i="13" s="1"/>
  <c r="L45" i="16"/>
  <c r="N49" i="18"/>
  <c r="O49" i="18" s="1"/>
  <c r="H40" i="13"/>
  <c r="O40" i="13" s="1"/>
  <c r="L41" i="13"/>
  <c r="N41" i="13" s="1"/>
  <c r="G45" i="13"/>
  <c r="H45" i="13" s="1"/>
  <c r="H30" i="13"/>
  <c r="O30" i="13" s="1"/>
  <c r="L31" i="13"/>
  <c r="N31" i="13" s="1"/>
  <c r="O31" i="13" s="1"/>
  <c r="N33" i="13"/>
  <c r="O33" i="13" s="1"/>
  <c r="H55" i="13"/>
  <c r="N55" i="13" s="1"/>
  <c r="O55" i="13" s="1"/>
  <c r="H31" i="14"/>
  <c r="L28" i="16"/>
  <c r="N55" i="18"/>
  <c r="O55" i="18" s="1"/>
  <c r="N32" i="18"/>
  <c r="O32" i="18" s="1"/>
  <c r="L40" i="18"/>
  <c r="L48" i="18" s="1"/>
  <c r="N36" i="18"/>
  <c r="H40" i="18"/>
  <c r="H48" i="18" s="1"/>
  <c r="N56" i="18"/>
  <c r="O56" i="18" s="1"/>
  <c r="N46" i="18"/>
  <c r="O46" i="18" s="1"/>
  <c r="G53" i="18"/>
  <c r="H53" i="18" s="1"/>
  <c r="N53" i="18" s="1"/>
  <c r="G52" i="18"/>
  <c r="H52" i="18" s="1"/>
  <c r="H50" i="18"/>
  <c r="G50" i="17"/>
  <c r="H50" i="17" s="1"/>
  <c r="N29" i="17"/>
  <c r="O29" i="17" s="1"/>
  <c r="N56" i="17"/>
  <c r="O56" i="17" s="1"/>
  <c r="N35" i="17"/>
  <c r="N46" i="17"/>
  <c r="O46" i="17" s="1"/>
  <c r="N41" i="17"/>
  <c r="N55" i="17"/>
  <c r="O55" i="17" s="1"/>
  <c r="N31" i="17"/>
  <c r="L40" i="17"/>
  <c r="L48" i="17" s="1"/>
  <c r="K50" i="17"/>
  <c r="L49" i="17"/>
  <c r="N49" i="17" s="1"/>
  <c r="O49" i="17" s="1"/>
  <c r="N34" i="17"/>
  <c r="O34" i="17" s="1"/>
  <c r="N32" i="17"/>
  <c r="O32" i="17" s="1"/>
  <c r="N42" i="17"/>
  <c r="H40" i="17"/>
  <c r="N29" i="16"/>
  <c r="N44" i="16"/>
  <c r="N22" i="16"/>
  <c r="O22" i="16" s="1"/>
  <c r="N23" i="16"/>
  <c r="N27" i="16"/>
  <c r="H31" i="16"/>
  <c r="H40" i="16"/>
  <c r="O40" i="16" s="1"/>
  <c r="G51" i="16"/>
  <c r="G48" i="16"/>
  <c r="N25" i="16"/>
  <c r="L41" i="16"/>
  <c r="N43" i="16"/>
  <c r="L33" i="16"/>
  <c r="N33" i="16" s="1"/>
  <c r="O33" i="16" s="1"/>
  <c r="N54" i="16"/>
  <c r="O54" i="16" s="1"/>
  <c r="N24" i="16"/>
  <c r="N26" i="16"/>
  <c r="H28" i="16"/>
  <c r="L31" i="16"/>
  <c r="N35" i="16"/>
  <c r="N37" i="16"/>
  <c r="H41" i="16"/>
  <c r="O41" i="16" s="1"/>
  <c r="K48" i="16"/>
  <c r="K51" i="16"/>
  <c r="L45" i="14"/>
  <c r="G51" i="14"/>
  <c r="G48" i="14"/>
  <c r="N23" i="14"/>
  <c r="N27" i="14"/>
  <c r="L33" i="14"/>
  <c r="N33" i="14" s="1"/>
  <c r="O33" i="14" s="1"/>
  <c r="N22" i="14"/>
  <c r="O22" i="14" s="1"/>
  <c r="N26" i="14"/>
  <c r="L28" i="14"/>
  <c r="H30" i="14"/>
  <c r="O30" i="14" s="1"/>
  <c r="L31" i="14"/>
  <c r="N31" i="14" s="1"/>
  <c r="O31" i="14" s="1"/>
  <c r="N35" i="14"/>
  <c r="N37" i="14"/>
  <c r="H41" i="14"/>
  <c r="O41" i="14" s="1"/>
  <c r="H54" i="14"/>
  <c r="H55" i="14"/>
  <c r="N25" i="14"/>
  <c r="G45" i="14"/>
  <c r="H45" i="14" s="1"/>
  <c r="K48" i="14"/>
  <c r="K51" i="14"/>
  <c r="O22" i="13"/>
  <c r="N22" i="13"/>
  <c r="N29" i="13"/>
  <c r="N35" i="13"/>
  <c r="N37" i="13"/>
  <c r="N43" i="13"/>
  <c r="N36" i="13"/>
  <c r="N38" i="13"/>
  <c r="K48" i="13"/>
  <c r="K51" i="13"/>
  <c r="N23" i="13"/>
  <c r="N24" i="13"/>
  <c r="N25" i="13"/>
  <c r="N26" i="13"/>
  <c r="N27" i="13"/>
  <c r="G49" i="13"/>
  <c r="H49" i="13" s="1"/>
  <c r="G52" i="13"/>
  <c r="H52" i="13" s="1"/>
  <c r="L39" i="13" l="1"/>
  <c r="L47" i="13" s="1"/>
  <c r="N34" i="14"/>
  <c r="N40" i="14"/>
  <c r="N30" i="13"/>
  <c r="H39" i="13"/>
  <c r="H47" i="13" s="1"/>
  <c r="N45" i="13"/>
  <c r="O45" i="13" s="1"/>
  <c r="N45" i="16"/>
  <c r="O45" i="16" s="1"/>
  <c r="N40" i="16"/>
  <c r="N54" i="13"/>
  <c r="O54" i="13" s="1"/>
  <c r="N28" i="16"/>
  <c r="O28" i="16" s="1"/>
  <c r="N40" i="13"/>
  <c r="G52" i="17"/>
  <c r="H52" i="17" s="1"/>
  <c r="N40" i="18"/>
  <c r="O40" i="18" s="1"/>
  <c r="L51" i="18"/>
  <c r="N48" i="18"/>
  <c r="O48" i="18" s="1"/>
  <c r="N50" i="18"/>
  <c r="O50" i="18" s="1"/>
  <c r="H58" i="18"/>
  <c r="N52" i="18"/>
  <c r="O52" i="18" s="1"/>
  <c r="H51" i="18"/>
  <c r="O53" i="18"/>
  <c r="G53" i="17"/>
  <c r="H53" i="17" s="1"/>
  <c r="L50" i="17"/>
  <c r="N50" i="17" s="1"/>
  <c r="O50" i="17" s="1"/>
  <c r="K52" i="17"/>
  <c r="L52" i="17" s="1"/>
  <c r="K53" i="17"/>
  <c r="L53" i="17" s="1"/>
  <c r="H48" i="17"/>
  <c r="N40" i="17"/>
  <c r="O40" i="17" s="1"/>
  <c r="H39" i="16"/>
  <c r="G49" i="16"/>
  <c r="H49" i="16" s="1"/>
  <c r="H48" i="16"/>
  <c r="L51" i="16"/>
  <c r="K52" i="16"/>
  <c r="L52" i="16" s="1"/>
  <c r="N41" i="16"/>
  <c r="G52" i="16"/>
  <c r="H52" i="16" s="1"/>
  <c r="H51" i="16"/>
  <c r="L39" i="16"/>
  <c r="L48" i="16"/>
  <c r="K49" i="16"/>
  <c r="L49" i="16" s="1"/>
  <c r="N31" i="16"/>
  <c r="O31" i="16" s="1"/>
  <c r="L51" i="14"/>
  <c r="K52" i="14"/>
  <c r="L52" i="14" s="1"/>
  <c r="G49" i="14"/>
  <c r="H49" i="14" s="1"/>
  <c r="H48" i="14"/>
  <c r="N41" i="14"/>
  <c r="L48" i="14"/>
  <c r="K49" i="14"/>
  <c r="L49" i="14" s="1"/>
  <c r="N28" i="14"/>
  <c r="O28" i="14" s="1"/>
  <c r="L39" i="14"/>
  <c r="G52" i="14"/>
  <c r="H52" i="14" s="1"/>
  <c r="H51" i="14"/>
  <c r="N30" i="14"/>
  <c r="N55" i="14"/>
  <c r="O55" i="14" s="1"/>
  <c r="H39" i="14"/>
  <c r="N54" i="14"/>
  <c r="O54" i="14" s="1"/>
  <c r="N45" i="14"/>
  <c r="O45" i="14" s="1"/>
  <c r="L51" i="13"/>
  <c r="K52" i="13"/>
  <c r="L52" i="13" s="1"/>
  <c r="N52" i="13" s="1"/>
  <c r="O52" i="13" s="1"/>
  <c r="L48" i="13"/>
  <c r="N48" i="13" s="1"/>
  <c r="O48" i="13" s="1"/>
  <c r="K49" i="13"/>
  <c r="L49" i="13" s="1"/>
  <c r="N49" i="13" s="1"/>
  <c r="O49" i="13" s="1"/>
  <c r="N39" i="13" l="1"/>
  <c r="O39" i="13" s="1"/>
  <c r="N49" i="14"/>
  <c r="N48" i="14"/>
  <c r="O48" i="14" s="1"/>
  <c r="N48" i="16"/>
  <c r="O48" i="16" s="1"/>
  <c r="N52" i="17"/>
  <c r="O52" i="17" s="1"/>
  <c r="H59" i="18"/>
  <c r="N51" i="18"/>
  <c r="O51" i="18" s="1"/>
  <c r="L58" i="18"/>
  <c r="N53" i="17"/>
  <c r="O53" i="17" s="1"/>
  <c r="L51" i="17"/>
  <c r="H51" i="17"/>
  <c r="N48" i="17"/>
  <c r="O48" i="17" s="1"/>
  <c r="N49" i="16"/>
  <c r="N51" i="16"/>
  <c r="O51" i="16" s="1"/>
  <c r="L47" i="16"/>
  <c r="N39" i="16"/>
  <c r="O39" i="16" s="1"/>
  <c r="O49" i="16"/>
  <c r="N52" i="16"/>
  <c r="O52" i="16" s="1"/>
  <c r="H47" i="16"/>
  <c r="N52" i="14"/>
  <c r="O52" i="14" s="1"/>
  <c r="H47" i="14"/>
  <c r="L47" i="14"/>
  <c r="N39" i="14"/>
  <c r="O39" i="14" s="1"/>
  <c r="N51" i="14"/>
  <c r="O51" i="14" s="1"/>
  <c r="O49" i="14"/>
  <c r="N51" i="13"/>
  <c r="O51" i="13" s="1"/>
  <c r="N47" i="13"/>
  <c r="O47" i="13" s="1"/>
  <c r="L50" i="13"/>
  <c r="H50" i="13"/>
  <c r="J53" i="10"/>
  <c r="L53" i="10" s="1"/>
  <c r="F53" i="10"/>
  <c r="H53" i="10" s="1"/>
  <c r="J52" i="10"/>
  <c r="F52" i="10"/>
  <c r="J51" i="10"/>
  <c r="F51" i="10"/>
  <c r="J49" i="10"/>
  <c r="J48" i="10"/>
  <c r="F49" i="10"/>
  <c r="F48" i="10"/>
  <c r="K31" i="10"/>
  <c r="G31" i="10"/>
  <c r="J33" i="10"/>
  <c r="F33" i="10"/>
  <c r="K33" i="10"/>
  <c r="G33" i="10"/>
  <c r="K28" i="10"/>
  <c r="G28" i="10"/>
  <c r="J28" i="10"/>
  <c r="F28" i="10"/>
  <c r="J22" i="10"/>
  <c r="L22" i="10" s="1"/>
  <c r="F22" i="10"/>
  <c r="H22" i="10" s="1"/>
  <c r="J62" i="10"/>
  <c r="K45" i="10" s="1"/>
  <c r="F62" i="10"/>
  <c r="G51" i="10" s="1"/>
  <c r="K55" i="10"/>
  <c r="J55" i="10"/>
  <c r="G55" i="10"/>
  <c r="F55" i="10"/>
  <c r="K54" i="10"/>
  <c r="J54" i="10"/>
  <c r="G54" i="10"/>
  <c r="F54" i="10"/>
  <c r="N46" i="10"/>
  <c r="L46" i="10"/>
  <c r="H46" i="10"/>
  <c r="J45" i="10"/>
  <c r="F45" i="10"/>
  <c r="K44" i="10"/>
  <c r="L44" i="10" s="1"/>
  <c r="G44" i="10"/>
  <c r="H44" i="10" s="1"/>
  <c r="O44" i="10" s="1"/>
  <c r="K43" i="10"/>
  <c r="L43" i="10" s="1"/>
  <c r="N43" i="10" s="1"/>
  <c r="G43" i="10"/>
  <c r="H43" i="10" s="1"/>
  <c r="O43" i="10" s="1"/>
  <c r="K42" i="10"/>
  <c r="L42" i="10" s="1"/>
  <c r="G42" i="10"/>
  <c r="H42" i="10" s="1"/>
  <c r="O42" i="10" s="1"/>
  <c r="L41" i="10"/>
  <c r="H41" i="10"/>
  <c r="O41" i="10" s="1"/>
  <c r="L40" i="10"/>
  <c r="H40" i="10"/>
  <c r="O40" i="10" s="1"/>
  <c r="K38" i="10"/>
  <c r="L38" i="10" s="1"/>
  <c r="N38" i="10" s="1"/>
  <c r="G38" i="10"/>
  <c r="H38" i="10" s="1"/>
  <c r="O38" i="10" s="1"/>
  <c r="K37" i="10"/>
  <c r="L37" i="10" s="1"/>
  <c r="G37" i="10"/>
  <c r="H37" i="10" s="1"/>
  <c r="O37" i="10" s="1"/>
  <c r="K36" i="10"/>
  <c r="L36" i="10" s="1"/>
  <c r="N36" i="10" s="1"/>
  <c r="G36" i="10"/>
  <c r="H36" i="10" s="1"/>
  <c r="O36" i="10" s="1"/>
  <c r="K35" i="10"/>
  <c r="L35" i="10" s="1"/>
  <c r="G35" i="10"/>
  <c r="H35" i="10" s="1"/>
  <c r="O35" i="10" s="1"/>
  <c r="L34" i="10"/>
  <c r="H34" i="10"/>
  <c r="O34" i="10" s="1"/>
  <c r="B33" i="10"/>
  <c r="L30" i="10"/>
  <c r="K30" i="10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L59" i="18" l="1"/>
  <c r="N59" i="18" s="1"/>
  <c r="O59" i="18" s="1"/>
  <c r="N58" i="18"/>
  <c r="O58" i="18" s="1"/>
  <c r="H60" i="18"/>
  <c r="N51" i="17"/>
  <c r="O51" i="17" s="1"/>
  <c r="L58" i="17"/>
  <c r="L59" i="17" s="1"/>
  <c r="L60" i="17" s="1"/>
  <c r="H58" i="17"/>
  <c r="L50" i="16"/>
  <c r="N47" i="16"/>
  <c r="O47" i="16" s="1"/>
  <c r="H50" i="16"/>
  <c r="N34" i="10"/>
  <c r="N41" i="10"/>
  <c r="L50" i="14"/>
  <c r="N47" i="14"/>
  <c r="O47" i="14" s="1"/>
  <c r="H50" i="14"/>
  <c r="H57" i="13"/>
  <c r="N50" i="13"/>
  <c r="O50" i="13" s="1"/>
  <c r="L57" i="13"/>
  <c r="G48" i="10"/>
  <c r="H48" i="10" s="1"/>
  <c r="G45" i="10"/>
  <c r="H45" i="10" s="1"/>
  <c r="H54" i="10"/>
  <c r="H55" i="10"/>
  <c r="L54" i="10"/>
  <c r="L55" i="10"/>
  <c r="N53" i="10"/>
  <c r="O53" i="10" s="1"/>
  <c r="H51" i="10"/>
  <c r="L33" i="10"/>
  <c r="H33" i="10"/>
  <c r="L28" i="10"/>
  <c r="N35" i="10"/>
  <c r="N37" i="10"/>
  <c r="N40" i="10"/>
  <c r="N42" i="10"/>
  <c r="N44" i="10"/>
  <c r="N30" i="10"/>
  <c r="N22" i="10"/>
  <c r="O22" i="10" s="1"/>
  <c r="N29" i="10"/>
  <c r="O29" i="10"/>
  <c r="N24" i="10"/>
  <c r="N26" i="10"/>
  <c r="H28" i="10"/>
  <c r="L31" i="10"/>
  <c r="K51" i="10"/>
  <c r="N23" i="10"/>
  <c r="N25" i="10"/>
  <c r="N27" i="10"/>
  <c r="H31" i="10"/>
  <c r="K48" i="10"/>
  <c r="L45" i="10"/>
  <c r="G52" i="10"/>
  <c r="H52" i="10" s="1"/>
  <c r="K55" i="7"/>
  <c r="G55" i="7"/>
  <c r="J55" i="7"/>
  <c r="F55" i="7"/>
  <c r="J45" i="7"/>
  <c r="F45" i="7"/>
  <c r="J62" i="7"/>
  <c r="F62" i="7"/>
  <c r="G51" i="7" s="1"/>
  <c r="K54" i="7"/>
  <c r="J54" i="7"/>
  <c r="G54" i="7"/>
  <c r="F54" i="7"/>
  <c r="J53" i="7"/>
  <c r="L53" i="7" s="1"/>
  <c r="F53" i="7"/>
  <c r="H53" i="7" s="1"/>
  <c r="J52" i="7"/>
  <c r="F52" i="7"/>
  <c r="J51" i="7"/>
  <c r="F51" i="7"/>
  <c r="J49" i="7"/>
  <c r="F49" i="7"/>
  <c r="J48" i="7"/>
  <c r="F48" i="7"/>
  <c r="L46" i="7"/>
  <c r="H46" i="7"/>
  <c r="K44" i="7"/>
  <c r="L44" i="7" s="1"/>
  <c r="G44" i="7"/>
  <c r="H44" i="7" s="1"/>
  <c r="O44" i="7" s="1"/>
  <c r="K43" i="7"/>
  <c r="L43" i="7" s="1"/>
  <c r="G43" i="7"/>
  <c r="H43" i="7" s="1"/>
  <c r="O43" i="7" s="1"/>
  <c r="K42" i="7"/>
  <c r="L42" i="7" s="1"/>
  <c r="G42" i="7"/>
  <c r="H42" i="7" s="1"/>
  <c r="O42" i="7" s="1"/>
  <c r="K41" i="7"/>
  <c r="L41" i="7" s="1"/>
  <c r="G41" i="7"/>
  <c r="H41" i="7" s="1"/>
  <c r="O41" i="7" s="1"/>
  <c r="K40" i="7"/>
  <c r="L40" i="7" s="1"/>
  <c r="G40" i="7"/>
  <c r="H40" i="7" s="1"/>
  <c r="O40" i="7" s="1"/>
  <c r="K38" i="7"/>
  <c r="L38" i="7" s="1"/>
  <c r="G38" i="7"/>
  <c r="H38" i="7" s="1"/>
  <c r="O38" i="7" s="1"/>
  <c r="K37" i="7"/>
  <c r="L37" i="7" s="1"/>
  <c r="G37" i="7"/>
  <c r="H37" i="7" s="1"/>
  <c r="K36" i="7"/>
  <c r="L36" i="7" s="1"/>
  <c r="G36" i="7"/>
  <c r="H36" i="7" s="1"/>
  <c r="O36" i="7" s="1"/>
  <c r="K35" i="7"/>
  <c r="L35" i="7" s="1"/>
  <c r="G35" i="7"/>
  <c r="H35" i="7" s="1"/>
  <c r="K34" i="7"/>
  <c r="L34" i="7" s="1"/>
  <c r="G34" i="7"/>
  <c r="H34" i="7" s="1"/>
  <c r="O34" i="7" s="1"/>
  <c r="K33" i="7"/>
  <c r="J33" i="7"/>
  <c r="G33" i="7"/>
  <c r="F33" i="7"/>
  <c r="B33" i="7"/>
  <c r="K31" i="7"/>
  <c r="G31" i="7"/>
  <c r="K30" i="7"/>
  <c r="L30" i="7" s="1"/>
  <c r="G30" i="7"/>
  <c r="H30" i="7" s="1"/>
  <c r="O30" i="7" s="1"/>
  <c r="K29" i="7"/>
  <c r="L29" i="7" s="1"/>
  <c r="G29" i="7"/>
  <c r="H29" i="7" s="1"/>
  <c r="O29" i="7" s="1"/>
  <c r="K28" i="7"/>
  <c r="J28" i="7"/>
  <c r="G28" i="7"/>
  <c r="F28" i="7"/>
  <c r="L27" i="7"/>
  <c r="H27" i="7"/>
  <c r="O27" i="7" s="1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J22" i="7"/>
  <c r="L22" i="7" s="1"/>
  <c r="F22" i="7"/>
  <c r="H22" i="7" s="1"/>
  <c r="O1" i="7"/>
  <c r="H61" i="18" l="1"/>
  <c r="L60" i="18"/>
  <c r="L61" i="17"/>
  <c r="H59" i="17"/>
  <c r="N59" i="17" s="1"/>
  <c r="N58" i="17"/>
  <c r="O58" i="17" s="1"/>
  <c r="N50" i="16"/>
  <c r="O50" i="16" s="1"/>
  <c r="L57" i="16"/>
  <c r="H57" i="16"/>
  <c r="N50" i="14"/>
  <c r="O50" i="14" s="1"/>
  <c r="L57" i="14"/>
  <c r="H57" i="14"/>
  <c r="N57" i="13"/>
  <c r="O57" i="13" s="1"/>
  <c r="L58" i="13"/>
  <c r="H58" i="13"/>
  <c r="G49" i="10"/>
  <c r="H49" i="10" s="1"/>
  <c r="N45" i="10"/>
  <c r="O45" i="10" s="1"/>
  <c r="N54" i="10"/>
  <c r="O54" i="10" s="1"/>
  <c r="H51" i="7"/>
  <c r="N55" i="10"/>
  <c r="O55" i="10" s="1"/>
  <c r="N28" i="10"/>
  <c r="O28" i="10" s="1"/>
  <c r="N33" i="10"/>
  <c r="O33" i="10" s="1"/>
  <c r="L48" i="10"/>
  <c r="N48" i="10" s="1"/>
  <c r="O48" i="10" s="1"/>
  <c r="K49" i="10"/>
  <c r="L49" i="10" s="1"/>
  <c r="N31" i="10"/>
  <c r="O31" i="10" s="1"/>
  <c r="L51" i="10"/>
  <c r="K52" i="10"/>
  <c r="L52" i="10" s="1"/>
  <c r="N52" i="10" s="1"/>
  <c r="O52" i="10" s="1"/>
  <c r="L39" i="10"/>
  <c r="H39" i="10"/>
  <c r="H33" i="7"/>
  <c r="L54" i="7"/>
  <c r="N46" i="7"/>
  <c r="N42" i="7"/>
  <c r="N40" i="7"/>
  <c r="N44" i="7"/>
  <c r="G45" i="7"/>
  <c r="H45" i="7" s="1"/>
  <c r="G48" i="7"/>
  <c r="G49" i="7" s="1"/>
  <c r="H49" i="7" s="1"/>
  <c r="N36" i="7"/>
  <c r="L31" i="7"/>
  <c r="N41" i="7"/>
  <c r="H54" i="7"/>
  <c r="N34" i="7"/>
  <c r="L28" i="7"/>
  <c r="N30" i="7"/>
  <c r="N24" i="7"/>
  <c r="N26" i="7"/>
  <c r="H28" i="7"/>
  <c r="N29" i="7"/>
  <c r="O37" i="7"/>
  <c r="N37" i="7"/>
  <c r="O35" i="7"/>
  <c r="N35" i="7"/>
  <c r="N43" i="7"/>
  <c r="N38" i="7"/>
  <c r="N22" i="7"/>
  <c r="O22" i="7" s="1"/>
  <c r="K45" i="7"/>
  <c r="L45" i="7" s="1"/>
  <c r="K51" i="7"/>
  <c r="K48" i="7"/>
  <c r="N23" i="7"/>
  <c r="N25" i="7"/>
  <c r="N27" i="7"/>
  <c r="H31" i="7"/>
  <c r="L55" i="7"/>
  <c r="H55" i="7"/>
  <c r="L33" i="7"/>
  <c r="N53" i="7"/>
  <c r="O53" i="7" s="1"/>
  <c r="G52" i="7"/>
  <c r="H52" i="7" s="1"/>
  <c r="L61" i="18" l="1"/>
  <c r="N61" i="18" s="1"/>
  <c r="O61" i="18" s="1"/>
  <c r="N60" i="18"/>
  <c r="O60" i="18" s="1"/>
  <c r="H62" i="18"/>
  <c r="O59" i="17"/>
  <c r="L62" i="17"/>
  <c r="H60" i="17"/>
  <c r="H58" i="16"/>
  <c r="N57" i="16"/>
  <c r="O57" i="16" s="1"/>
  <c r="L58" i="16"/>
  <c r="L59" i="16" s="1"/>
  <c r="N57" i="14"/>
  <c r="O57" i="14" s="1"/>
  <c r="L58" i="14"/>
  <c r="L59" i="14" s="1"/>
  <c r="H58" i="14"/>
  <c r="H59" i="13"/>
  <c r="N58" i="13"/>
  <c r="O58" i="13" s="1"/>
  <c r="L59" i="13"/>
  <c r="N49" i="10"/>
  <c r="O49" i="10" s="1"/>
  <c r="N54" i="7"/>
  <c r="O54" i="7" s="1"/>
  <c r="H47" i="10"/>
  <c r="N51" i="10"/>
  <c r="O51" i="10" s="1"/>
  <c r="L47" i="10"/>
  <c r="N39" i="10"/>
  <c r="O39" i="10" s="1"/>
  <c r="N33" i="7"/>
  <c r="O33" i="7" s="1"/>
  <c r="H48" i="7"/>
  <c r="N45" i="7"/>
  <c r="O45" i="7" s="1"/>
  <c r="N55" i="7"/>
  <c r="O55" i="7" s="1"/>
  <c r="N28" i="7"/>
  <c r="O28" i="7" s="1"/>
  <c r="H39" i="7"/>
  <c r="H47" i="7" s="1"/>
  <c r="L48" i="7"/>
  <c r="K49" i="7"/>
  <c r="L49" i="7" s="1"/>
  <c r="N49" i="7" s="1"/>
  <c r="O49" i="7" s="1"/>
  <c r="L39" i="7"/>
  <c r="K52" i="7"/>
  <c r="L52" i="7" s="1"/>
  <c r="N52" i="7" s="1"/>
  <c r="O52" i="7" s="1"/>
  <c r="L51" i="7"/>
  <c r="N31" i="7"/>
  <c r="O31" i="7" s="1"/>
  <c r="L62" i="18" l="1"/>
  <c r="N62" i="18" s="1"/>
  <c r="O62" i="18" s="1"/>
  <c r="H61" i="17"/>
  <c r="N60" i="17"/>
  <c r="O60" i="17" s="1"/>
  <c r="N58" i="16"/>
  <c r="O58" i="16" s="1"/>
  <c r="H59" i="16"/>
  <c r="H59" i="14"/>
  <c r="N59" i="14" s="1"/>
  <c r="N58" i="14"/>
  <c r="O58" i="14" s="1"/>
  <c r="N59" i="13"/>
  <c r="O59" i="13" s="1"/>
  <c r="H50" i="10"/>
  <c r="N47" i="10"/>
  <c r="O47" i="10" s="1"/>
  <c r="L50" i="10"/>
  <c r="N48" i="7"/>
  <c r="O48" i="7" s="1"/>
  <c r="N51" i="7"/>
  <c r="O51" i="7" s="1"/>
  <c r="L47" i="7"/>
  <c r="N39" i="7"/>
  <c r="O39" i="7" s="1"/>
  <c r="H50" i="7"/>
  <c r="N61" i="17" l="1"/>
  <c r="O61" i="17" s="1"/>
  <c r="H62" i="17"/>
  <c r="N59" i="16"/>
  <c r="O59" i="16" s="1"/>
  <c r="O59" i="14"/>
  <c r="H57" i="10"/>
  <c r="N50" i="10"/>
  <c r="O50" i="10" s="1"/>
  <c r="L57" i="10"/>
  <c r="H57" i="7"/>
  <c r="N47" i="7"/>
  <c r="O47" i="7" s="1"/>
  <c r="L50" i="7"/>
  <c r="N62" i="17" l="1"/>
  <c r="O62" i="17" s="1"/>
  <c r="H58" i="10"/>
  <c r="N57" i="10"/>
  <c r="O57" i="10" s="1"/>
  <c r="L58" i="10"/>
  <c r="N50" i="7"/>
  <c r="O50" i="7" s="1"/>
  <c r="L57" i="7"/>
  <c r="H58" i="7"/>
  <c r="N58" i="10" l="1"/>
  <c r="O58" i="10" s="1"/>
  <c r="L59" i="10"/>
  <c r="H59" i="10"/>
  <c r="N57" i="7"/>
  <c r="O57" i="7" s="1"/>
  <c r="L58" i="7"/>
  <c r="N58" i="7" s="1"/>
  <c r="O58" i="7" s="1"/>
  <c r="H59" i="7"/>
  <c r="N59" i="10" l="1"/>
  <c r="O59" i="10" s="1"/>
  <c r="L59" i="7"/>
  <c r="N59" i="7" l="1"/>
  <c r="O59" i="7" s="1"/>
  <c r="J54" i="4" l="1"/>
  <c r="L54" i="4" s="1"/>
  <c r="F54" i="4"/>
  <c r="H54" i="4" s="1"/>
  <c r="J53" i="4"/>
  <c r="J52" i="4"/>
  <c r="F53" i="4"/>
  <c r="F52" i="4"/>
  <c r="J50" i="4"/>
  <c r="J49" i="4"/>
  <c r="F49" i="4"/>
  <c r="F50" i="4"/>
  <c r="J47" i="4"/>
  <c r="L47" i="4" s="1"/>
  <c r="F47" i="4"/>
  <c r="H47" i="4" s="1"/>
  <c r="J35" i="4"/>
  <c r="F35" i="4"/>
  <c r="B35" i="4"/>
  <c r="J34" i="4"/>
  <c r="F34" i="4"/>
  <c r="J29" i="4"/>
  <c r="F29" i="4"/>
  <c r="J26" i="4"/>
  <c r="L26" i="4" s="1"/>
  <c r="F26" i="4"/>
  <c r="H26" i="4" s="1"/>
  <c r="J25" i="4"/>
  <c r="L25" i="4" s="1"/>
  <c r="F25" i="4"/>
  <c r="H25" i="4" s="1"/>
  <c r="B26" i="4"/>
  <c r="B25" i="4"/>
  <c r="J23" i="4"/>
  <c r="L23" i="4" s="1"/>
  <c r="F23" i="4"/>
  <c r="H23" i="4" s="1"/>
  <c r="J75" i="4"/>
  <c r="K49" i="4" s="1"/>
  <c r="F75" i="4"/>
  <c r="G49" i="4" s="1"/>
  <c r="J60" i="4"/>
  <c r="G60" i="4"/>
  <c r="K60" i="4" s="1"/>
  <c r="F60" i="4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J56" i="4"/>
  <c r="G56" i="4"/>
  <c r="K56" i="4" s="1"/>
  <c r="F56" i="4"/>
  <c r="K55" i="4"/>
  <c r="J55" i="4"/>
  <c r="L55" i="4" s="1"/>
  <c r="G55" i="4"/>
  <c r="F55" i="4"/>
  <c r="K45" i="4"/>
  <c r="L45" i="4" s="1"/>
  <c r="G45" i="4"/>
  <c r="H45" i="4" s="1"/>
  <c r="O45" i="4" s="1"/>
  <c r="K44" i="4"/>
  <c r="L44" i="4" s="1"/>
  <c r="G44" i="4"/>
  <c r="H44" i="4" s="1"/>
  <c r="O44" i="4" s="1"/>
  <c r="K43" i="4"/>
  <c r="L43" i="4" s="1"/>
  <c r="G43" i="4"/>
  <c r="H43" i="4" s="1"/>
  <c r="O43" i="4" s="1"/>
  <c r="K42" i="4"/>
  <c r="L42" i="4" s="1"/>
  <c r="G42" i="4"/>
  <c r="H42" i="4" s="1"/>
  <c r="O42" i="4" s="1"/>
  <c r="K41" i="4"/>
  <c r="L41" i="4" s="1"/>
  <c r="G41" i="4"/>
  <c r="H41" i="4" s="1"/>
  <c r="O41" i="4" s="1"/>
  <c r="K39" i="4"/>
  <c r="L39" i="4" s="1"/>
  <c r="G39" i="4"/>
  <c r="H39" i="4" s="1"/>
  <c r="O39" i="4" s="1"/>
  <c r="K38" i="4"/>
  <c r="L38" i="4" s="1"/>
  <c r="G38" i="4"/>
  <c r="H38" i="4" s="1"/>
  <c r="O38" i="4" s="1"/>
  <c r="K37" i="4"/>
  <c r="L37" i="4" s="1"/>
  <c r="G37" i="4"/>
  <c r="H37" i="4" s="1"/>
  <c r="O37" i="4" s="1"/>
  <c r="K36" i="4"/>
  <c r="L36" i="4" s="1"/>
  <c r="G36" i="4"/>
  <c r="H36" i="4" s="1"/>
  <c r="O36" i="4" s="1"/>
  <c r="K35" i="4"/>
  <c r="G35" i="4"/>
  <c r="K34" i="4"/>
  <c r="G34" i="4"/>
  <c r="B34" i="4"/>
  <c r="K32" i="4"/>
  <c r="G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O27" i="4" s="1"/>
  <c r="L24" i="4"/>
  <c r="H24" i="4"/>
  <c r="O24" i="4" s="1"/>
  <c r="O1" i="4"/>
  <c r="J58" i="2"/>
  <c r="F58" i="2"/>
  <c r="N42" i="4" l="1"/>
  <c r="L56" i="4"/>
  <c r="L60" i="4"/>
  <c r="H29" i="4"/>
  <c r="H34" i="4"/>
  <c r="N44" i="4"/>
  <c r="L32" i="4"/>
  <c r="H35" i="4"/>
  <c r="K46" i="4"/>
  <c r="L58" i="4"/>
  <c r="F46" i="4"/>
  <c r="J46" i="4"/>
  <c r="L35" i="4"/>
  <c r="H49" i="4"/>
  <c r="N54" i="4"/>
  <c r="O54" i="4" s="1"/>
  <c r="N25" i="4"/>
  <c r="O25" i="4" s="1"/>
  <c r="N31" i="4"/>
  <c r="N37" i="4"/>
  <c r="N39" i="4"/>
  <c r="H55" i="4"/>
  <c r="N55" i="4" s="1"/>
  <c r="O55" i="4" s="1"/>
  <c r="L57" i="4"/>
  <c r="N28" i="4"/>
  <c r="G46" i="4"/>
  <c r="N24" i="4"/>
  <c r="N30" i="4"/>
  <c r="L59" i="4"/>
  <c r="L34" i="4"/>
  <c r="H32" i="4"/>
  <c r="L29" i="4"/>
  <c r="N41" i="4"/>
  <c r="N47" i="4"/>
  <c r="N23" i="4"/>
  <c r="O23" i="4" s="1"/>
  <c r="N27" i="4"/>
  <c r="N36" i="4"/>
  <c r="N43" i="4"/>
  <c r="N26" i="4"/>
  <c r="O26" i="4" s="1"/>
  <c r="N38" i="4"/>
  <c r="N45" i="4"/>
  <c r="L49" i="4"/>
  <c r="K50" i="4"/>
  <c r="H56" i="4"/>
  <c r="H57" i="4"/>
  <c r="H58" i="4"/>
  <c r="H59" i="4"/>
  <c r="H60" i="4"/>
  <c r="G50" i="4"/>
  <c r="F56" i="2"/>
  <c r="F57" i="2"/>
  <c r="F59" i="2"/>
  <c r="F60" i="2"/>
  <c r="J56" i="2"/>
  <c r="J57" i="2"/>
  <c r="J59" i="2"/>
  <c r="J60" i="2"/>
  <c r="J55" i="2"/>
  <c r="F55" i="2"/>
  <c r="J54" i="2"/>
  <c r="F54" i="2"/>
  <c r="J53" i="2"/>
  <c r="F53" i="2"/>
  <c r="J52" i="2"/>
  <c r="F52" i="2"/>
  <c r="J50" i="2"/>
  <c r="J49" i="2"/>
  <c r="F50" i="2"/>
  <c r="F49" i="2"/>
  <c r="J75" i="2"/>
  <c r="F75" i="2"/>
  <c r="J34" i="2"/>
  <c r="F34" i="2"/>
  <c r="B34" i="2"/>
  <c r="J29" i="2"/>
  <c r="F29" i="2"/>
  <c r="J23" i="2"/>
  <c r="F23" i="2"/>
  <c r="J47" i="2"/>
  <c r="F47" i="2"/>
  <c r="N29" i="4" l="1"/>
  <c r="O29" i="4" s="1"/>
  <c r="N56" i="4"/>
  <c r="O56" i="4" s="1"/>
  <c r="N34" i="4"/>
  <c r="O34" i="4" s="1"/>
  <c r="N32" i="4"/>
  <c r="O32" i="4" s="1"/>
  <c r="N35" i="4"/>
  <c r="O35" i="4" s="1"/>
  <c r="H46" i="4"/>
  <c r="N49" i="4"/>
  <c r="O49" i="4" s="1"/>
  <c r="L46" i="4"/>
  <c r="H40" i="4"/>
  <c r="L40" i="4"/>
  <c r="L50" i="4"/>
  <c r="K53" i="4"/>
  <c r="L53" i="4" s="1"/>
  <c r="K52" i="4"/>
  <c r="L52" i="4" s="1"/>
  <c r="N58" i="4"/>
  <c r="O58" i="4" s="1"/>
  <c r="N59" i="4"/>
  <c r="O59" i="4" s="1"/>
  <c r="H50" i="4"/>
  <c r="G53" i="4"/>
  <c r="H53" i="4" s="1"/>
  <c r="G52" i="4"/>
  <c r="H52" i="4" s="1"/>
  <c r="N57" i="4"/>
  <c r="O57" i="4" s="1"/>
  <c r="N60" i="4"/>
  <c r="O60" i="4" s="1"/>
  <c r="G60" i="2"/>
  <c r="K60" i="2" s="1"/>
  <c r="L60" i="2" s="1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K55" i="2"/>
  <c r="L55" i="2" s="1"/>
  <c r="G55" i="2"/>
  <c r="H55" i="2" s="1"/>
  <c r="L54" i="2"/>
  <c r="H54" i="2"/>
  <c r="K49" i="2"/>
  <c r="K50" i="2" s="1"/>
  <c r="G49" i="2"/>
  <c r="G50" i="2" s="1"/>
  <c r="L47" i="2"/>
  <c r="H47" i="2"/>
  <c r="K46" i="2"/>
  <c r="J46" i="2"/>
  <c r="G46" i="2"/>
  <c r="F46" i="2"/>
  <c r="K45" i="2"/>
  <c r="L45" i="2" s="1"/>
  <c r="G45" i="2"/>
  <c r="H45" i="2" s="1"/>
  <c r="O45" i="2" s="1"/>
  <c r="K44" i="2"/>
  <c r="L44" i="2" s="1"/>
  <c r="G44" i="2"/>
  <c r="H44" i="2" s="1"/>
  <c r="O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39" i="2"/>
  <c r="L39" i="2" s="1"/>
  <c r="G39" i="2"/>
  <c r="H39" i="2" s="1"/>
  <c r="O39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K32" i="2"/>
  <c r="L32" i="2" s="1"/>
  <c r="G32" i="2"/>
  <c r="H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L29" i="2" s="1"/>
  <c r="G29" i="2"/>
  <c r="H29" i="2" s="1"/>
  <c r="L28" i="2"/>
  <c r="H28" i="2"/>
  <c r="O28" i="2" s="1"/>
  <c r="L27" i="2"/>
  <c r="H27" i="2"/>
  <c r="O27" i="2" s="1"/>
  <c r="L26" i="2"/>
  <c r="N26" i="2" s="1"/>
  <c r="H26" i="2"/>
  <c r="O26" i="2" s="1"/>
  <c r="L25" i="2"/>
  <c r="N25" i="2" s="1"/>
  <c r="H25" i="2"/>
  <c r="O25" i="2" s="1"/>
  <c r="L24" i="2"/>
  <c r="N24" i="2" s="1"/>
  <c r="H24" i="2"/>
  <c r="O24" i="2" s="1"/>
  <c r="L23" i="2"/>
  <c r="H23" i="2"/>
  <c r="O1" i="2"/>
  <c r="N28" i="2" l="1"/>
  <c r="N46" i="4"/>
  <c r="O46" i="4" s="1"/>
  <c r="N35" i="2"/>
  <c r="N37" i="2"/>
  <c r="N39" i="2"/>
  <c r="N44" i="2"/>
  <c r="N27" i="2"/>
  <c r="H48" i="4"/>
  <c r="N23" i="2"/>
  <c r="O23" i="2" s="1"/>
  <c r="L48" i="4"/>
  <c r="L51" i="4" s="1"/>
  <c r="L62" i="4" s="1"/>
  <c r="N54" i="2"/>
  <c r="O54" i="2" s="1"/>
  <c r="N50" i="4"/>
  <c r="O50" i="4" s="1"/>
  <c r="N40" i="4"/>
  <c r="O40" i="4" s="1"/>
  <c r="N52" i="4"/>
  <c r="O52" i="4" s="1"/>
  <c r="N53" i="4"/>
  <c r="O53" i="4" s="1"/>
  <c r="H58" i="2"/>
  <c r="N58" i="2" s="1"/>
  <c r="O58" i="2" s="1"/>
  <c r="H60" i="2"/>
  <c r="N60" i="2" s="1"/>
  <c r="O60" i="2" s="1"/>
  <c r="N32" i="2"/>
  <c r="O32" i="2" s="1"/>
  <c r="L49" i="2"/>
  <c r="N30" i="2"/>
  <c r="N42" i="2"/>
  <c r="N36" i="2"/>
  <c r="H56" i="2"/>
  <c r="N56" i="2" s="1"/>
  <c r="H57" i="2"/>
  <c r="N57" i="2" s="1"/>
  <c r="H59" i="2"/>
  <c r="N59" i="2" s="1"/>
  <c r="N43" i="2"/>
  <c r="H49" i="2"/>
  <c r="H46" i="2"/>
  <c r="N55" i="2"/>
  <c r="O55" i="2" s="1"/>
  <c r="N47" i="2"/>
  <c r="L46" i="2"/>
  <c r="G53" i="2"/>
  <c r="H53" i="2" s="1"/>
  <c r="G52" i="2"/>
  <c r="H52" i="2" s="1"/>
  <c r="H50" i="2"/>
  <c r="N29" i="2"/>
  <c r="O29" i="2" s="1"/>
  <c r="N38" i="2"/>
  <c r="N31" i="2"/>
  <c r="K52" i="2"/>
  <c r="L52" i="2" s="1"/>
  <c r="L50" i="2"/>
  <c r="K53" i="2"/>
  <c r="L53" i="2" s="1"/>
  <c r="N53" i="2" s="1"/>
  <c r="L40" i="2"/>
  <c r="N34" i="2"/>
  <c r="O34" i="2" s="1"/>
  <c r="N41" i="2"/>
  <c r="N45" i="2"/>
  <c r="H40" i="2"/>
  <c r="N48" i="4" l="1"/>
  <c r="O48" i="4" s="1"/>
  <c r="H51" i="4"/>
  <c r="H62" i="4" s="1"/>
  <c r="H63" i="4" s="1"/>
  <c r="L63" i="4"/>
  <c r="L68" i="4"/>
  <c r="O53" i="2"/>
  <c r="N49" i="2"/>
  <c r="O49" i="2" s="1"/>
  <c r="N46" i="2"/>
  <c r="O46" i="2" s="1"/>
  <c r="O59" i="2"/>
  <c r="O57" i="2"/>
  <c r="O56" i="2"/>
  <c r="N52" i="2"/>
  <c r="O52" i="2" s="1"/>
  <c r="L48" i="2"/>
  <c r="N40" i="2"/>
  <c r="O40" i="2" s="1"/>
  <c r="H48" i="2"/>
  <c r="N50" i="2"/>
  <c r="O50" i="2" s="1"/>
  <c r="H68" i="4" l="1"/>
  <c r="N68" i="4" s="1"/>
  <c r="O68" i="4" s="1"/>
  <c r="N62" i="4"/>
  <c r="O62" i="4" s="1"/>
  <c r="N51" i="4"/>
  <c r="O51" i="4" s="1"/>
  <c r="N63" i="4"/>
  <c r="O63" i="4" s="1"/>
  <c r="H64" i="4"/>
  <c r="L64" i="4"/>
  <c r="L69" i="4"/>
  <c r="H51" i="2"/>
  <c r="N48" i="2"/>
  <c r="O48" i="2" s="1"/>
  <c r="L51" i="2"/>
  <c r="H69" i="4" l="1"/>
  <c r="H70" i="4" s="1"/>
  <c r="H71" i="4" s="1"/>
  <c r="N64" i="4"/>
  <c r="O64" i="4" s="1"/>
  <c r="L65" i="4"/>
  <c r="H65" i="4"/>
  <c r="H66" i="4" s="1"/>
  <c r="L70" i="4"/>
  <c r="N51" i="2"/>
  <c r="O51" i="2" s="1"/>
  <c r="L68" i="2"/>
  <c r="L62" i="2"/>
  <c r="H68" i="2"/>
  <c r="H62" i="2"/>
  <c r="N69" i="4" l="1"/>
  <c r="O69" i="4" s="1"/>
  <c r="N65" i="4"/>
  <c r="O65" i="4" s="1"/>
  <c r="N70" i="4"/>
  <c r="O70" i="4" s="1"/>
  <c r="L71" i="4"/>
  <c r="N71" i="4" s="1"/>
  <c r="O71" i="4" s="1"/>
  <c r="L66" i="4"/>
  <c r="N66" i="4" s="1"/>
  <c r="O66" i="4" s="1"/>
  <c r="H72" i="4"/>
  <c r="N62" i="2"/>
  <c r="O62" i="2" s="1"/>
  <c r="L63" i="2"/>
  <c r="N68" i="2"/>
  <c r="O68" i="2" s="1"/>
  <c r="L69" i="2"/>
  <c r="H69" i="2"/>
  <c r="H70" i="2" s="1"/>
  <c r="H63" i="2"/>
  <c r="L72" i="4" l="1"/>
  <c r="N72" i="4" s="1"/>
  <c r="O72" i="4" s="1"/>
  <c r="N69" i="2"/>
  <c r="O69" i="2" s="1"/>
  <c r="N63" i="2"/>
  <c r="O63" i="2" s="1"/>
  <c r="L64" i="2"/>
  <c r="H71" i="2"/>
  <c r="H64" i="2"/>
  <c r="L70" i="2"/>
  <c r="N64" i="2" l="1"/>
  <c r="O64" i="2" s="1"/>
  <c r="L65" i="2"/>
  <c r="N70" i="2"/>
  <c r="O70" i="2" s="1"/>
  <c r="L71" i="2"/>
  <c r="N71" i="2" s="1"/>
  <c r="O71" i="2" s="1"/>
  <c r="H65" i="2"/>
  <c r="H66" i="2" s="1"/>
  <c r="H72" i="2"/>
  <c r="N65" i="2" l="1"/>
  <c r="O65" i="2" s="1"/>
  <c r="L66" i="2"/>
  <c r="N66" i="2" s="1"/>
  <c r="O66" i="2" s="1"/>
  <c r="L72" i="2"/>
  <c r="N72" i="2" s="1"/>
  <c r="O72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<sst xmlns="http://schemas.openxmlformats.org/spreadsheetml/2006/main" count="835" uniqueCount="114">
  <si>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</si>
  <si>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</si>
  <si>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</si>
  <si>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</si>
  <si>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</si>
  <si>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</si>
  <si>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</si>
  <si>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</si>
  <si>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</si>
  <si>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</si>
  <si>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</si>
  <si>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</si>
  <si>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</si>
  <si>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</si>
  <si>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</si>
  <si>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</si>
  <si>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</si>
  <si>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</si>
  <si>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</si>
  <si>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</si>
  <si>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</si>
  <si>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</si>
  <si>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</si>
  <si>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</si>
  <si>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</si>
  <si>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</si>
  <si>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</si>
  <si>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</si>
  <si>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</si>
  <si>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</si>
  <si>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</si>
  <si>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</si>
  <si>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</si>
  <si>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</si>
  <si>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</si>
  <si>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</si>
  <si>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</si>
  <si>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</si>
  <si>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</si>
  <si>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</si>
  <si>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</si>
  <si>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</si>
  <si>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</si>
  <si>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</si>
  <si>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</si>
  <si>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</si>
  <si>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</si>
  <si>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</si>
  <si>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Total Bill on RPP (before Taxes)</t>
  </si>
  <si>
    <t>Total Bill on RPP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</si>
  <si>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</si>
  <si>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</si>
  <si>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</si>
  <si>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</si>
  <si>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</si>
  <si>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</si>
  <si>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</si>
  <si>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</si>
  <si>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</si>
  <si>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</si>
  <si>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</si>
  <si>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</si>
  <si>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</si>
  <si>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</si>
  <si>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</si>
  <si>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</si>
  <si>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</si>
  <si>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</si>
  <si>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</si>
  <si>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</si>
  <si>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</si>
  <si>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</si>
  <si>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</si>
  <si>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</si>
  <si>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</si>
  <si>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</si>
  <si>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</si>
  <si>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</si>
  <si>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</si>
  <si>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</si>
  <si>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</si>
  <si>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</si>
  <si>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SME - Incremental Revenue Requirement, effective until December 31, 2014</t>
  </si>
  <si>
    <t>Tax Changes - effective until December 31, 2014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</si>
  <si>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</si>
  <si>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</si>
  <si>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</si>
  <si>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</si>
  <si>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</si>
  <si>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</si>
  <si>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</si>
  <si>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Residential - R2 (Non - RPP)</t>
  </si>
  <si>
    <t>Street Lighting (Non - RPP)</t>
  </si>
  <si>
    <t>Algoma Power Inc.</t>
  </si>
  <si>
    <t>2015 Electricity Distribution Rate Application</t>
  </si>
  <si>
    <t>Cost of Service</t>
  </si>
  <si>
    <t>Bill Impact Model</t>
  </si>
  <si>
    <t>EB-2014-0055</t>
  </si>
  <si>
    <t>April 24, 2014</t>
  </si>
  <si>
    <t>Rate Rider for the Disposition of Deferral/Variance Accounts (2014) - effective until December 31, 2015</t>
  </si>
  <si>
    <t>Rate Rider for Stranded Meter Assets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</si>
  <si>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</si>
  <si>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</si>
  <si>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</si>
  <si>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</si>
  <si>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</si>
  <si>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</si>
  <si>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</si>
  <si>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</si>
  <si>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</si>
  <si>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Seasonal [Non-RPP]</t>
  </si>
  <si>
    <t>Residential - R2 (formerly Interval) (Non - RPP)</t>
  </si>
  <si>
    <t>Foregone Revenue Recovery (2013) - effective until December 31, 2014 (2014)</t>
  </si>
  <si>
    <t>Foregone Revenue Recovery (2014) - effective until December 31, 2014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</si>
</sst>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29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9" fontId="8" fillId="0" borderId="9" xfId="4" applyNumberFormat="1" applyFill="1" applyBorder="1" applyAlignment="1" applyProtection="1">
      <alignment vertical="top"/>
    </xf>
    <xf numFmtId="9" fontId="8" fillId="0" borderId="0" xfId="4" applyNumberFormat="1" applyFill="1" applyBorder="1" applyAlignment="1" applyProtection="1">
      <alignment vertical="center"/>
    </xf>
    <xf numFmtId="44" fontId="3" fillId="0" borderId="12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0" fontId="8" fillId="0" borderId="0" xfId="4" applyFont="1" applyFill="1" applyAlignment="1" applyProtection="1">
      <alignment horizontal="left" vertical="top" indent="1"/>
    </xf>
    <xf numFmtId="9" fontId="8" fillId="0" borderId="9" xfId="4" applyNumberFormat="1" applyFill="1" applyBorder="1" applyAlignment="1" applyProtection="1">
      <alignment vertical="top"/>
      <protection locked="0"/>
    </xf>
    <xf numFmtId="44" fontId="8" fillId="0" borderId="12" xfId="4" applyNumberFormat="1" applyFont="1" applyFill="1" applyBorder="1" applyAlignment="1" applyProtection="1">
      <alignment vertical="center"/>
    </xf>
    <xf numFmtId="0" fontId="8" fillId="0" borderId="9" xfId="4" applyFont="1" applyFill="1" applyBorder="1" applyAlignment="1" applyProtection="1">
      <alignment vertical="center"/>
    </xf>
    <xf numFmtId="9" fontId="8" fillId="0" borderId="9" xfId="4" applyNumberFormat="1" applyFont="1" applyFill="1" applyBorder="1" applyAlignment="1" applyProtection="1">
      <alignment vertical="top"/>
      <protection locked="0"/>
    </xf>
    <xf numFmtId="9" fontId="8" fillId="0" borderId="9" xfId="4" applyNumberFormat="1" applyFont="1" applyFill="1" applyBorder="1" applyAlignment="1" applyProtection="1">
      <alignment vertical="center"/>
    </xf>
    <xf numFmtId="44" fontId="8" fillId="0" borderId="7" xfId="4" applyNumberFormat="1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vertical="center"/>
    </xf>
    <xf numFmtId="44" fontId="8" fillId="0" borderId="9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0" fontId="8" fillId="0" borderId="9" xfId="4" applyFill="1" applyBorder="1" applyAlignment="1" applyProtection="1">
      <alignment vertical="top"/>
    </xf>
    <xf numFmtId="0" fontId="8" fillId="0" borderId="0" xfId="4" applyFill="1" applyBorder="1" applyAlignment="1" applyProtection="1">
      <alignment vertical="center"/>
    </xf>
    <xf numFmtId="44" fontId="11" fillId="0" borderId="12" xfId="4" applyNumberFormat="1" applyFont="1" applyFill="1" applyBorder="1" applyAlignment="1" applyProtection="1">
      <alignment vertical="center"/>
    </xf>
    <xf numFmtId="44" fontId="11" fillId="0" borderId="7" xfId="4" applyNumberFormat="1" applyFont="1" applyFill="1" applyBorder="1" applyAlignment="1" applyProtection="1">
      <alignment vertical="center"/>
    </xf>
    <xf numFmtId="44" fontId="11" fillId="0" borderId="9" xfId="4" applyNumberFormat="1" applyFont="1" applyFill="1" applyBorder="1" applyAlignment="1" applyProtection="1">
      <alignment vertical="center"/>
    </xf>
    <xf numFmtId="0" fontId="8" fillId="9" borderId="0" xfId="4" applyFill="1" applyAlignment="1" applyProtection="1">
      <alignment vertical="top"/>
    </xf>
    <xf numFmtId="0" fontId="8" fillId="9" borderId="9" xfId="4" applyFill="1" applyBorder="1" applyAlignment="1" applyProtection="1">
      <alignment vertical="top"/>
    </xf>
    <xf numFmtId="0" fontId="8" fillId="9" borderId="0" xfId="4" applyFill="1" applyBorder="1" applyAlignment="1" applyProtection="1">
      <alignment vertical="center"/>
    </xf>
    <xf numFmtId="44" fontId="3" fillId="9" borderId="12" xfId="4" applyNumberFormat="1" applyFont="1" applyFill="1" applyBorder="1" applyAlignment="1" applyProtection="1">
      <alignment vertical="center"/>
    </xf>
    <xf numFmtId="0" fontId="3" fillId="9" borderId="9" xfId="4" applyFont="1" applyFill="1" applyBorder="1" applyAlignment="1" applyProtection="1">
      <alignment vertical="center"/>
    </xf>
    <xf numFmtId="44" fontId="3" fillId="9" borderId="7" xfId="4" applyNumberFormat="1" applyFont="1" applyFill="1" applyBorder="1" applyAlignment="1" applyProtection="1">
      <alignment vertical="center"/>
    </xf>
    <xf numFmtId="0" fontId="3" fillId="9" borderId="0" xfId="4" applyFont="1" applyFill="1" applyBorder="1" applyAlignment="1" applyProtection="1">
      <alignment vertical="center"/>
    </xf>
    <xf numFmtId="44" fontId="3" fillId="9" borderId="9" xfId="4" applyNumberFormat="1" applyFont="1" applyFill="1" applyBorder="1" applyAlignment="1" applyProtection="1">
      <alignment vertical="center"/>
    </xf>
    <xf numFmtId="10" fontId="3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8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8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8" fillId="8" borderId="16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1" xfId="0" applyNumberFormat="1" applyFont="1" applyFill="1" applyBorder="1" applyAlignment="1" applyProtection="1">
      <alignment vertical="center"/>
    </xf>
    <xf numFmtId="44" fontId="3" fillId="0" borderId="21" xfId="4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9" borderId="0" xfId="4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0" fillId="0" borderId="0" xfId="4" applyFont="1" applyAlignment="1" applyProtection="1">
      <alignment horizontal="left" vertical="top" wrapText="1" indent="1"/>
    </xf>
    <xf numFmtId="0" fontId="15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I%202015%20REG%20COS\Chap_2_App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19"/>
  <sheetViews>
    <sheetView showGridLines="0" zoomScaleNormal="100" workbookViewId="0">
      <selection activeCell="B31" sqref="B3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11" t="s">
        <v>93</v>
      </c>
      <c r="C12" s="211"/>
      <c r="D12" s="211"/>
      <c r="E12" s="211"/>
      <c r="F12" s="211"/>
      <c r="G12" s="211"/>
      <c r="H12" s="211"/>
    </row>
    <row r="13" spans="2:8" ht="23.25" x14ac:dyDescent="0.35">
      <c r="B13" s="211" t="s">
        <v>94</v>
      </c>
      <c r="C13" s="211"/>
      <c r="D13" s="211"/>
      <c r="E13" s="211"/>
      <c r="F13" s="211"/>
      <c r="G13" s="211"/>
      <c r="H13" s="211"/>
    </row>
    <row r="14" spans="2:8" ht="23.25" x14ac:dyDescent="0.35">
      <c r="B14" s="211" t="s">
        <v>95</v>
      </c>
      <c r="C14" s="211"/>
      <c r="D14" s="211"/>
      <c r="E14" s="211"/>
      <c r="F14" s="211"/>
      <c r="G14" s="211"/>
      <c r="H14" s="211"/>
    </row>
    <row r="15" spans="2:8" ht="23.25" x14ac:dyDescent="0.35">
      <c r="B15" s="197"/>
    </row>
    <row r="16" spans="2:8" ht="23.25" x14ac:dyDescent="0.35">
      <c r="B16" s="211" t="s">
        <v>96</v>
      </c>
      <c r="C16" s="211"/>
      <c r="D16" s="211"/>
      <c r="E16" s="211"/>
      <c r="F16" s="211"/>
      <c r="G16" s="211"/>
      <c r="H16" s="211"/>
    </row>
    <row r="17" spans="2:8" ht="23.25" x14ac:dyDescent="0.35">
      <c r="B17" s="211" t="s">
        <v>97</v>
      </c>
      <c r="C17" s="211"/>
      <c r="D17" s="211"/>
      <c r="E17" s="211"/>
      <c r="F17" s="211"/>
      <c r="G17" s="211"/>
      <c r="H17" s="211"/>
    </row>
    <row r="18" spans="2:8" ht="23.25" x14ac:dyDescent="0.35">
      <c r="B18" s="197"/>
    </row>
    <row r="19" spans="2:8" ht="23.25" x14ac:dyDescent="0.35">
      <c r="B19" s="209" t="s">
        <v>98</v>
      </c>
      <c r="C19" s="210"/>
      <c r="D19" s="210"/>
      <c r="E19" s="210"/>
      <c r="F19" s="210"/>
      <c r="G19" s="210"/>
      <c r="H19" s="210"/>
    </row>
  </sheetData>
  <mergeCells count="6">
    <mergeCell ref="B19:H19"/>
    <mergeCell ref="B12:H12"/>
    <mergeCell ref="B13:H13"/>
    <mergeCell ref="B14:H14"/>
    <mergeCell ref="B16:H16"/>
    <mergeCell ref="B17:H1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4"/>
  <sheetViews>
    <sheetView showGridLines="0" topLeftCell="A25" zoomScaleNormal="100" workbookViewId="0">
      <selection activeCell="N31" sqref="N31:O3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92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28" t="s">
        <v>85</v>
      </c>
      <c r="J17" s="228"/>
      <c r="K17" s="17">
        <v>1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5" t="s">
        <v>13</v>
      </c>
      <c r="G19" s="216"/>
      <c r="H19" s="217"/>
      <c r="J19" s="215" t="s">
        <v>14</v>
      </c>
      <c r="K19" s="216"/>
      <c r="L19" s="217"/>
      <c r="N19" s="215" t="s">
        <v>15</v>
      </c>
      <c r="O19" s="217"/>
    </row>
    <row r="20" spans="2:15" x14ac:dyDescent="0.25">
      <c r="B20" s="15"/>
      <c r="D20" s="219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1" t="s">
        <v>20</v>
      </c>
      <c r="O20" s="223" t="s">
        <v>21</v>
      </c>
    </row>
    <row r="21" spans="2:15" x14ac:dyDescent="0.25">
      <c r="B21" s="15"/>
      <c r="D21" s="220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2"/>
      <c r="O21" s="224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Rates!D59</f>
        <v>0.98</v>
      </c>
      <c r="G22" s="29">
        <v>1</v>
      </c>
      <c r="H22" s="30">
        <f>G22*F22</f>
        <v>0.98</v>
      </c>
      <c r="I22" s="31"/>
      <c r="J22" s="32">
        <f>Rates!F59</f>
        <v>0.98</v>
      </c>
      <c r="K22" s="33">
        <v>1</v>
      </c>
      <c r="L22" s="30">
        <f>K22*J22</f>
        <v>0.98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Rates!D60</f>
        <v>0.15790000000000001</v>
      </c>
      <c r="G28" s="185">
        <f>$F$17</f>
        <v>150</v>
      </c>
      <c r="H28" s="30">
        <f t="shared" si="0"/>
        <v>23.685000000000002</v>
      </c>
      <c r="I28" s="31"/>
      <c r="J28" s="32">
        <f>Rates!F60</f>
        <v>0.18490000000000001</v>
      </c>
      <c r="K28" s="185">
        <f>$F$17</f>
        <v>150</v>
      </c>
      <c r="L28" s="30">
        <f t="shared" si="1"/>
        <v>27.735000000000003</v>
      </c>
      <c r="M28" s="31"/>
      <c r="N28" s="34">
        <f t="shared" si="2"/>
        <v>4.0500000000000007</v>
      </c>
      <c r="O28" s="35">
        <f t="shared" si="3"/>
        <v>0.17099430018999368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1</v>
      </c>
      <c r="H29" s="30">
        <f t="shared" si="0"/>
        <v>0</v>
      </c>
      <c r="I29" s="31"/>
      <c r="J29" s="32"/>
      <c r="K29" s="29">
        <f t="shared" ref="K29:K44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Rates!A61</f>
        <v>Foregone Revenue Recovery (2013) - effective until December 31, 2014 (2014)</v>
      </c>
      <c r="C31" s="25"/>
      <c r="D31" s="63" t="s">
        <v>80</v>
      </c>
      <c r="E31" s="27"/>
      <c r="F31" s="32">
        <f>Rates!D61</f>
        <v>2.9999999999999997E-4</v>
      </c>
      <c r="G31" s="185">
        <f>$F$17</f>
        <v>150</v>
      </c>
      <c r="H31" s="30">
        <f t="shared" si="0"/>
        <v>4.4999999999999998E-2</v>
      </c>
      <c r="I31" s="31"/>
      <c r="J31" s="32">
        <f>Rates!F61</f>
        <v>0</v>
      </c>
      <c r="K31" s="185">
        <f>$F$17</f>
        <v>150</v>
      </c>
      <c r="L31" s="30">
        <f t="shared" si="1"/>
        <v>0</v>
      </c>
      <c r="M31" s="31"/>
      <c r="N31" s="34">
        <f t="shared" si="2"/>
        <v>-4.4999999999999998E-2</v>
      </c>
      <c r="O31" s="35">
        <f t="shared" si="3"/>
        <v>-1</v>
      </c>
    </row>
    <row r="32" spans="2:15" ht="30" x14ac:dyDescent="0.25">
      <c r="B32" s="183" t="str">
        <f>Rates!A62</f>
        <v>Foregone Revenue Recovery (2014) - effective until December 31, 2014 (2014)</v>
      </c>
      <c r="C32" s="25"/>
      <c r="D32" s="63" t="s">
        <v>80</v>
      </c>
      <c r="E32" s="27"/>
      <c r="F32" s="32">
        <f>Rates!D62</f>
        <v>5.0000000000000001E-4</v>
      </c>
      <c r="G32" s="185">
        <f>$F$17</f>
        <v>150</v>
      </c>
      <c r="H32" s="30">
        <f t="shared" ref="H32" si="6">G32*F32</f>
        <v>7.4999999999999997E-2</v>
      </c>
      <c r="I32" s="31"/>
      <c r="J32" s="32">
        <f>Rates!F62</f>
        <v>0</v>
      </c>
      <c r="K32" s="185">
        <f>$F$17</f>
        <v>150</v>
      </c>
      <c r="L32" s="30">
        <f t="shared" ref="L32" si="7">K32*J32</f>
        <v>0</v>
      </c>
      <c r="M32" s="31"/>
      <c r="N32" s="34">
        <f t="shared" ref="N32" si="8">L32-H32</f>
        <v>-7.4999999999999997E-2</v>
      </c>
      <c r="O32" s="35">
        <f t="shared" ref="O32" si="9">IF((H32)=0,"",(N32/H32))</f>
        <v>-1</v>
      </c>
    </row>
    <row r="33" spans="2:15" ht="30" x14ac:dyDescent="0.25">
      <c r="B33" s="183" t="str">
        <f>Rates!A7</f>
        <v>Tax Changes - effective until December 31, 2014</v>
      </c>
      <c r="C33" s="25"/>
      <c r="D33" s="63" t="s">
        <v>80</v>
      </c>
      <c r="E33" s="27"/>
      <c r="F33" s="32">
        <f>Rates!D63</f>
        <v>-5.0000000000000001E-4</v>
      </c>
      <c r="G33" s="185">
        <f>$F$17</f>
        <v>150</v>
      </c>
      <c r="H33" s="30">
        <f t="shared" si="0"/>
        <v>-7.4999999999999997E-2</v>
      </c>
      <c r="I33" s="31"/>
      <c r="J33" s="32">
        <f>Rates!F63</f>
        <v>0</v>
      </c>
      <c r="K33" s="185">
        <f>$F$17</f>
        <v>150</v>
      </c>
      <c r="L33" s="30">
        <f t="shared" si="1"/>
        <v>0</v>
      </c>
      <c r="M33" s="31"/>
      <c r="N33" s="34">
        <f t="shared" si="2"/>
        <v>7.4999999999999997E-2</v>
      </c>
      <c r="O33" s="35">
        <f t="shared" si="3"/>
        <v>-1</v>
      </c>
    </row>
    <row r="34" spans="2:15" ht="45" x14ac:dyDescent="0.25">
      <c r="B34" s="183" t="str">
        <f>Rates!A67</f>
        <v>Rate Rider for the Disposition of Account 1575 &amp; 1576 - effective until December 31, 2019</v>
      </c>
      <c r="C34" s="25"/>
      <c r="D34" s="63" t="s">
        <v>80</v>
      </c>
      <c r="E34" s="27"/>
      <c r="F34" s="32">
        <f>Rates!D67</f>
        <v>0</v>
      </c>
      <c r="G34" s="185">
        <f>$F$17</f>
        <v>150</v>
      </c>
      <c r="H34" s="30">
        <f t="shared" si="0"/>
        <v>0</v>
      </c>
      <c r="I34" s="31"/>
      <c r="J34" s="32">
        <f>Rates!F67</f>
        <v>-1.9E-3</v>
      </c>
      <c r="K34" s="185">
        <f>$F$17</f>
        <v>150</v>
      </c>
      <c r="L34" s="30">
        <f t="shared" si="1"/>
        <v>-0.28499999999999998</v>
      </c>
      <c r="M34" s="31"/>
      <c r="N34" s="34">
        <f t="shared" si="2"/>
        <v>-0.28499999999999998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1</v>
      </c>
      <c r="H35" s="30">
        <f t="shared" si="0"/>
        <v>0</v>
      </c>
      <c r="I35" s="31"/>
      <c r="J35" s="32"/>
      <c r="K35" s="29">
        <f t="shared" si="5"/>
        <v>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1</v>
      </c>
      <c r="H38" s="30">
        <f t="shared" si="0"/>
        <v>0</v>
      </c>
      <c r="I38" s="31"/>
      <c r="J38" s="32"/>
      <c r="K38" s="29">
        <f t="shared" si="5"/>
        <v>1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24.710000000000004</v>
      </c>
      <c r="I39" s="44"/>
      <c r="J39" s="45"/>
      <c r="K39" s="46"/>
      <c r="L39" s="43">
        <f>SUM(L22:L38)</f>
        <v>28.430000000000003</v>
      </c>
      <c r="M39" s="44"/>
      <c r="N39" s="47">
        <f t="shared" si="2"/>
        <v>3.7199999999999989</v>
      </c>
      <c r="O39" s="48">
        <f t="shared" si="3"/>
        <v>0.15054633751517596</v>
      </c>
    </row>
    <row r="40" spans="2:15" ht="38.25" x14ac:dyDescent="0.25">
      <c r="B40" s="50" t="str">
        <f>Rates!A64</f>
        <v>Rate Rider for the Disposition of Deferral/Variance Accounts (2014) - effective until December 31, 2015</v>
      </c>
      <c r="C40" s="25"/>
      <c r="D40" s="63" t="s">
        <v>80</v>
      </c>
      <c r="E40" s="27"/>
      <c r="F40" s="32">
        <f>Rates!D64</f>
        <v>0</v>
      </c>
      <c r="G40" s="185">
        <f>$F$17</f>
        <v>150</v>
      </c>
      <c r="H40" s="30">
        <f>G40*F40</f>
        <v>0</v>
      </c>
      <c r="I40" s="31"/>
      <c r="J40" s="32">
        <f>Rates!F64</f>
        <v>-1.29E-2</v>
      </c>
      <c r="K40" s="185">
        <f>$F$17</f>
        <v>150</v>
      </c>
      <c r="L40" s="30">
        <f>K40*J40</f>
        <v>-1.9350000000000001</v>
      </c>
      <c r="M40" s="31"/>
      <c r="N40" s="34">
        <f>L40-H40</f>
        <v>-1.9350000000000001</v>
      </c>
      <c r="O40" s="35" t="str">
        <f>IF((H40)=0,"",(N40/H40))</f>
        <v/>
      </c>
    </row>
    <row r="41" spans="2:15" ht="38.25" x14ac:dyDescent="0.25">
      <c r="B41" s="50" t="str">
        <f>Rates!A65</f>
        <v>Rate Rider for the Disposition of Global Adjustment Sub-Account (2014) - effective until December 31, 2015</v>
      </c>
      <c r="C41" s="25"/>
      <c r="D41" s="63" t="s">
        <v>80</v>
      </c>
      <c r="E41" s="27"/>
      <c r="F41" s="28">
        <f>Rates!D65</f>
        <v>0</v>
      </c>
      <c r="G41" s="185">
        <f>$F$17</f>
        <v>150</v>
      </c>
      <c r="H41" s="30">
        <f t="shared" ref="H41:H45" si="10">G41*F41</f>
        <v>0</v>
      </c>
      <c r="I41" s="51"/>
      <c r="J41" s="32">
        <f>Rates!F65</f>
        <v>2.01E-2</v>
      </c>
      <c r="K41" s="185">
        <f>$F$17</f>
        <v>150</v>
      </c>
      <c r="L41" s="30">
        <f t="shared" ref="L41:L45" si="11">K41*J41</f>
        <v>3.0150000000000001</v>
      </c>
      <c r="M41" s="52"/>
      <c r="N41" s="34">
        <f t="shared" ref="N41:N45" si="12">L41-H41</f>
        <v>3.0150000000000001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1</v>
      </c>
      <c r="H42" s="30">
        <f t="shared" si="10"/>
        <v>0</v>
      </c>
      <c r="I42" s="51"/>
      <c r="J42" s="32"/>
      <c r="K42" s="29">
        <f t="shared" si="5"/>
        <v>1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1</v>
      </c>
      <c r="H43" s="30">
        <f t="shared" si="10"/>
        <v>0</v>
      </c>
      <c r="I43" s="51"/>
      <c r="J43" s="32"/>
      <c r="K43" s="29">
        <f t="shared" si="5"/>
        <v>1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1</v>
      </c>
      <c r="H44" s="30">
        <f>G44*F44</f>
        <v>0</v>
      </c>
      <c r="I44" s="31"/>
      <c r="J44" s="32"/>
      <c r="K44" s="29">
        <f t="shared" si="5"/>
        <v>1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Rates!D87</f>
        <v>8.949E-2</v>
      </c>
      <c r="G45" s="55">
        <f>$F$17*(1+$F$62)-$F$17</f>
        <v>12.960000000000008</v>
      </c>
      <c r="H45" s="30">
        <f t="shared" si="10"/>
        <v>1.1597904000000008</v>
      </c>
      <c r="I45" s="31"/>
      <c r="J45" s="188">
        <f>Rates!F87</f>
        <v>8.949E-2</v>
      </c>
      <c r="K45" s="55">
        <f>$F$17*(1+$J$62)-$F$17</f>
        <v>13.754999999999995</v>
      </c>
      <c r="L45" s="30">
        <f t="shared" si="11"/>
        <v>1.2309349499999995</v>
      </c>
      <c r="M45" s="31"/>
      <c r="N45" s="34">
        <f t="shared" si="12"/>
        <v>7.1144549999998752E-2</v>
      </c>
      <c r="O45" s="35">
        <f t="shared" si="13"/>
        <v>6.1342592592591477E-2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25.869790400000007</v>
      </c>
      <c r="I47" s="44"/>
      <c r="J47" s="60"/>
      <c r="K47" s="62"/>
      <c r="L47" s="61">
        <f>SUM(L40:L46)+L39</f>
        <v>30.740934950000003</v>
      </c>
      <c r="M47" s="44"/>
      <c r="N47" s="47">
        <f t="shared" ref="N47:N59" si="14">L47-H47</f>
        <v>4.8711445499999968</v>
      </c>
      <c r="O47" s="48">
        <f t="shared" ref="O47:O59" si="15">IF((H47)=0,"",(N47/H47))</f>
        <v>0.18829470493120021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Rates!D68</f>
        <v>1.9502999999999999</v>
      </c>
      <c r="G48" s="65">
        <f>K17*(1+F62)</f>
        <v>1.0864</v>
      </c>
      <c r="H48" s="30">
        <f>G48*F48</f>
        <v>2.1188059199999998</v>
      </c>
      <c r="I48" s="31"/>
      <c r="J48" s="32">
        <f>Rates!F68</f>
        <v>2.0108999999999999</v>
      </c>
      <c r="K48" s="66">
        <f>K17*(1+J62)</f>
        <v>1.0916999999999999</v>
      </c>
      <c r="L48" s="30">
        <f>K48*J48</f>
        <v>2.1952995299999998</v>
      </c>
      <c r="M48" s="31"/>
      <c r="N48" s="34">
        <f t="shared" si="14"/>
        <v>7.649360999999999E-2</v>
      </c>
      <c r="O48" s="35">
        <f t="shared" si="15"/>
        <v>3.610222591788869E-2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Rates!D69</f>
        <v>1.3906000000000001</v>
      </c>
      <c r="G49" s="65">
        <f>G48</f>
        <v>1.0864</v>
      </c>
      <c r="H49" s="30">
        <f>G49*F49</f>
        <v>1.5107478400000001</v>
      </c>
      <c r="I49" s="31"/>
      <c r="J49" s="32">
        <f>Rates!F69</f>
        <v>1.4094</v>
      </c>
      <c r="K49" s="66">
        <f>K48</f>
        <v>1.0916999999999999</v>
      </c>
      <c r="L49" s="30">
        <f>K49*J49</f>
        <v>1.5386419799999997</v>
      </c>
      <c r="M49" s="31"/>
      <c r="N49" s="34">
        <f t="shared" si="14"/>
        <v>2.7894139999999679E-2</v>
      </c>
      <c r="O49" s="35">
        <f t="shared" si="15"/>
        <v>1.8463796049511264E-2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29.499344160000007</v>
      </c>
      <c r="I50" s="69"/>
      <c r="J50" s="70"/>
      <c r="K50" s="71"/>
      <c r="L50" s="61">
        <f>SUM(L47:L49)</f>
        <v>34.474876460000004</v>
      </c>
      <c r="M50" s="69"/>
      <c r="N50" s="47">
        <f t="shared" si="14"/>
        <v>4.9755322999999976</v>
      </c>
      <c r="O50" s="48">
        <f t="shared" si="15"/>
        <v>0.16866586162097227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Rates!D70</f>
        <v>4.4000000000000003E-3</v>
      </c>
      <c r="G51" s="65">
        <f>F17*(1+F62)</f>
        <v>162.96</v>
      </c>
      <c r="H51" s="74">
        <f t="shared" ref="H51:H55" si="16">G51*F51</f>
        <v>0.71702400000000011</v>
      </c>
      <c r="I51" s="31"/>
      <c r="J51" s="75">
        <f>Rates!F70</f>
        <v>4.4000000000000003E-3</v>
      </c>
      <c r="K51" s="66">
        <f>F17*(1+J62)</f>
        <v>163.755</v>
      </c>
      <c r="L51" s="74">
        <f t="shared" ref="L51:L55" si="17">K51*J51</f>
        <v>0.720522</v>
      </c>
      <c r="M51" s="31"/>
      <c r="N51" s="34">
        <f t="shared" si="14"/>
        <v>3.4979999999998901E-3</v>
      </c>
      <c r="O51" s="76">
        <f t="shared" si="15"/>
        <v>4.8784977908687705E-3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Rates!D71</f>
        <v>1.2999999999999999E-3</v>
      </c>
      <c r="G52" s="65">
        <f>G51</f>
        <v>162.96</v>
      </c>
      <c r="H52" s="74">
        <f t="shared" si="16"/>
        <v>0.21184800000000001</v>
      </c>
      <c r="I52" s="31"/>
      <c r="J52" s="75">
        <f>Rates!F71</f>
        <v>1.2999999999999999E-3</v>
      </c>
      <c r="K52" s="66">
        <f>K51</f>
        <v>163.755</v>
      </c>
      <c r="L52" s="74">
        <f t="shared" si="17"/>
        <v>0.21288149999999997</v>
      </c>
      <c r="M52" s="31"/>
      <c r="N52" s="34">
        <f t="shared" si="14"/>
        <v>1.033499999999965E-3</v>
      </c>
      <c r="O52" s="76">
        <f t="shared" si="15"/>
        <v>4.8784977908687592E-3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Rates!D72</f>
        <v>0.25</v>
      </c>
      <c r="G53" s="29">
        <v>1</v>
      </c>
      <c r="H53" s="74">
        <f t="shared" si="16"/>
        <v>0.25</v>
      </c>
      <c r="I53" s="31"/>
      <c r="J53" s="75">
        <f>Rates!F72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Rates!D75</f>
        <v>2E-3</v>
      </c>
      <c r="G54" s="77">
        <f>F17</f>
        <v>150</v>
      </c>
      <c r="H54" s="74">
        <f t="shared" si="16"/>
        <v>0.3</v>
      </c>
      <c r="I54" s="31"/>
      <c r="J54" s="75">
        <f>Rates!F75</f>
        <v>2E-3</v>
      </c>
      <c r="K54" s="78">
        <f>F17</f>
        <v>150</v>
      </c>
      <c r="L54" s="74">
        <f t="shared" si="17"/>
        <v>0.3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Rates!D87</f>
        <v>8.949E-2</v>
      </c>
      <c r="G55" s="80">
        <f>$F$17</f>
        <v>150</v>
      </c>
      <c r="H55" s="74">
        <f t="shared" si="16"/>
        <v>13.423500000000001</v>
      </c>
      <c r="I55" s="31"/>
      <c r="J55" s="189">
        <f>Rates!F87</f>
        <v>8.949E-2</v>
      </c>
      <c r="K55" s="80">
        <f>F17</f>
        <v>150</v>
      </c>
      <c r="L55" s="74">
        <f t="shared" si="17"/>
        <v>13.423500000000001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105</v>
      </c>
      <c r="C57" s="25"/>
      <c r="D57" s="25"/>
      <c r="E57" s="25"/>
      <c r="F57" s="101"/>
      <c r="G57" s="102"/>
      <c r="H57" s="103">
        <f>SUM(H51:H55,H50)</f>
        <v>44.401716160000007</v>
      </c>
      <c r="I57" s="104"/>
      <c r="J57" s="105"/>
      <c r="K57" s="105"/>
      <c r="L57" s="181">
        <f>SUM(L51:L55,L50)</f>
        <v>49.381779960000003</v>
      </c>
      <c r="M57" s="106"/>
      <c r="N57" s="107">
        <f t="shared" ref="N57" si="18">L57-H57</f>
        <v>4.9800637999999964</v>
      </c>
      <c r="O57" s="108">
        <f t="shared" ref="O57" si="19">IF((H57)=0,"",(N57/H57))</f>
        <v>0.11215926389093867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5.7722231008000007</v>
      </c>
      <c r="I58" s="113"/>
      <c r="J58" s="114">
        <v>0.13</v>
      </c>
      <c r="K58" s="113"/>
      <c r="L58" s="115">
        <f>L57*J58</f>
        <v>6.4196313948000006</v>
      </c>
      <c r="M58" s="116"/>
      <c r="N58" s="117">
        <f t="shared" si="14"/>
        <v>0.64740829399999988</v>
      </c>
      <c r="O58" s="118">
        <f t="shared" si="15"/>
        <v>0.11215926389093872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50.173939260800005</v>
      </c>
      <c r="I59" s="113"/>
      <c r="J59" s="113"/>
      <c r="K59" s="113"/>
      <c r="L59" s="115">
        <f>L57+L58</f>
        <v>55.801411354800003</v>
      </c>
      <c r="M59" s="116"/>
      <c r="N59" s="117">
        <f t="shared" si="14"/>
        <v>5.627472093999998</v>
      </c>
      <c r="O59" s="118">
        <f t="shared" si="15"/>
        <v>0.11215926389093871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Rates!D80</f>
        <v>8.6400000000000005E-2</v>
      </c>
      <c r="J62" s="179">
        <f>Rates!F80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8:D49 D40:D46 D60 D22:D38 D51:D56">
      <formula1>"Monthly, per kWh, per kW"</formula1>
    </dataValidation>
    <dataValidation type="list" allowBlank="1" showInputMessage="1" showErrorMessage="1" sqref="E48:E49 E40:E46 E22:E38 E60 E51:E56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4"/>
  <sheetViews>
    <sheetView showGridLines="0" tabSelected="1" topLeftCell="A22" zoomScaleNormal="100" workbookViewId="0">
      <selection activeCell="R37" sqref="R37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92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25000</v>
      </c>
      <c r="G17" s="16" t="s">
        <v>12</v>
      </c>
      <c r="I17" s="228" t="s">
        <v>85</v>
      </c>
      <c r="J17" s="228"/>
      <c r="K17" s="17">
        <v>71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5" t="s">
        <v>13</v>
      </c>
      <c r="G19" s="216"/>
      <c r="H19" s="217"/>
      <c r="J19" s="215" t="s">
        <v>14</v>
      </c>
      <c r="K19" s="216"/>
      <c r="L19" s="217"/>
      <c r="N19" s="215" t="s">
        <v>15</v>
      </c>
      <c r="O19" s="217"/>
    </row>
    <row r="20" spans="2:15" x14ac:dyDescent="0.25">
      <c r="B20" s="15"/>
      <c r="D20" s="219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1" t="s">
        <v>20</v>
      </c>
      <c r="O20" s="223" t="s">
        <v>21</v>
      </c>
    </row>
    <row r="21" spans="2:15" x14ac:dyDescent="0.25">
      <c r="B21" s="15"/>
      <c r="D21" s="220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2"/>
      <c r="O21" s="224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Rates!D59</f>
        <v>0.98</v>
      </c>
      <c r="G22" s="29">
        <v>428</v>
      </c>
      <c r="H22" s="30">
        <f>G22*F22</f>
        <v>419.44</v>
      </c>
      <c r="I22" s="31"/>
      <c r="J22" s="32">
        <f>Rates!F59</f>
        <v>0.98</v>
      </c>
      <c r="K22" s="33">
        <v>428</v>
      </c>
      <c r="L22" s="30">
        <f>K22*J22</f>
        <v>419.44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Rates!D60</f>
        <v>0.15790000000000001</v>
      </c>
      <c r="G28" s="185">
        <f>$F$17</f>
        <v>25000</v>
      </c>
      <c r="H28" s="30">
        <f t="shared" si="0"/>
        <v>3947.5000000000005</v>
      </c>
      <c r="I28" s="31"/>
      <c r="J28" s="32">
        <f>Rates!F60</f>
        <v>0.18490000000000001</v>
      </c>
      <c r="K28" s="185">
        <f>$F$17</f>
        <v>25000</v>
      </c>
      <c r="L28" s="30">
        <f t="shared" si="1"/>
        <v>4622.5</v>
      </c>
      <c r="M28" s="31"/>
      <c r="N28" s="34">
        <f t="shared" si="2"/>
        <v>674.99999999999955</v>
      </c>
      <c r="O28" s="35">
        <f t="shared" si="3"/>
        <v>0.17099430018999354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71</v>
      </c>
      <c r="H29" s="30">
        <f t="shared" si="0"/>
        <v>0</v>
      </c>
      <c r="I29" s="31"/>
      <c r="J29" s="32"/>
      <c r="K29" s="29">
        <f t="shared" ref="K29:K44" si="5">$K$17</f>
        <v>71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71</v>
      </c>
      <c r="H30" s="30">
        <f t="shared" si="0"/>
        <v>0</v>
      </c>
      <c r="I30" s="31"/>
      <c r="J30" s="32"/>
      <c r="K30" s="29">
        <f t="shared" si="5"/>
        <v>71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Rates!A61</f>
        <v>Foregone Revenue Recovery (2013) - effective until December 31, 2014 (2014)</v>
      </c>
      <c r="C31" s="25"/>
      <c r="D31" s="63" t="s">
        <v>80</v>
      </c>
      <c r="E31" s="27"/>
      <c r="F31" s="32">
        <f>Rates!D61</f>
        <v>2.9999999999999997E-4</v>
      </c>
      <c r="G31" s="185">
        <f>$F$17</f>
        <v>25000</v>
      </c>
      <c r="H31" s="30">
        <f t="shared" si="0"/>
        <v>7.4999999999999991</v>
      </c>
      <c r="I31" s="31"/>
      <c r="J31" s="32">
        <f>Rates!F61</f>
        <v>0</v>
      </c>
      <c r="K31" s="185">
        <f>$F$17</f>
        <v>25000</v>
      </c>
      <c r="L31" s="30">
        <f t="shared" si="1"/>
        <v>0</v>
      </c>
      <c r="M31" s="31"/>
      <c r="N31" s="34">
        <f t="shared" si="2"/>
        <v>-7.4999999999999991</v>
      </c>
      <c r="O31" s="35">
        <f t="shared" si="3"/>
        <v>-1</v>
      </c>
    </row>
    <row r="32" spans="2:15" ht="30" x14ac:dyDescent="0.25">
      <c r="B32" s="183" t="str">
        <f>Rates!A62</f>
        <v>Foregone Revenue Recovery (2014) - effective until December 31, 2014 (2014)</v>
      </c>
      <c r="C32" s="25"/>
      <c r="D32" s="63" t="s">
        <v>80</v>
      </c>
      <c r="E32" s="27"/>
      <c r="F32" s="32">
        <f>Rates!D62</f>
        <v>5.0000000000000001E-4</v>
      </c>
      <c r="G32" s="185">
        <f>$F$17</f>
        <v>25000</v>
      </c>
      <c r="H32" s="30">
        <f t="shared" ref="H32" si="6">G32*F32</f>
        <v>12.5</v>
      </c>
      <c r="I32" s="31"/>
      <c r="J32" s="32">
        <f>Rates!F62</f>
        <v>0</v>
      </c>
      <c r="K32" s="185">
        <f>$F$17</f>
        <v>25000</v>
      </c>
      <c r="L32" s="30">
        <f t="shared" ref="L32" si="7">K32*J32</f>
        <v>0</v>
      </c>
      <c r="M32" s="31"/>
      <c r="N32" s="34">
        <f t="shared" ref="N32" si="8">L32-H32</f>
        <v>-12.5</v>
      </c>
      <c r="O32" s="35">
        <f t="shared" ref="O32" si="9">IF((H32)=0,"",(N32/H32))</f>
        <v>-1</v>
      </c>
    </row>
    <row r="33" spans="2:15" ht="30" x14ac:dyDescent="0.25">
      <c r="B33" s="183" t="str">
        <f>Rates!A7</f>
        <v>Tax Changes - effective until December 31, 2014</v>
      </c>
      <c r="C33" s="25"/>
      <c r="D33" s="63" t="s">
        <v>80</v>
      </c>
      <c r="E33" s="27"/>
      <c r="F33" s="32">
        <f>Rates!D63</f>
        <v>-5.0000000000000001E-4</v>
      </c>
      <c r="G33" s="185">
        <f>$F$17</f>
        <v>25000</v>
      </c>
      <c r="H33" s="30">
        <f t="shared" si="0"/>
        <v>-12.5</v>
      </c>
      <c r="I33" s="31"/>
      <c r="J33" s="32">
        <f>Rates!F63</f>
        <v>0</v>
      </c>
      <c r="K33" s="185">
        <f>$F$17</f>
        <v>25000</v>
      </c>
      <c r="L33" s="30">
        <f t="shared" si="1"/>
        <v>0</v>
      </c>
      <c r="M33" s="31"/>
      <c r="N33" s="34">
        <f t="shared" si="2"/>
        <v>12.5</v>
      </c>
      <c r="O33" s="35">
        <f t="shared" si="3"/>
        <v>-1</v>
      </c>
    </row>
    <row r="34" spans="2:15" ht="45" x14ac:dyDescent="0.25">
      <c r="B34" s="183" t="str">
        <f>Rates!A67</f>
        <v>Rate Rider for the Disposition of Account 1575 &amp; 1576 - effective until December 31, 2019</v>
      </c>
      <c r="C34" s="25"/>
      <c r="D34" s="63" t="s">
        <v>80</v>
      </c>
      <c r="E34" s="27"/>
      <c r="F34" s="32">
        <f>Rates!D67</f>
        <v>0</v>
      </c>
      <c r="G34" s="185">
        <f>$F$17</f>
        <v>25000</v>
      </c>
      <c r="H34" s="30">
        <f t="shared" si="0"/>
        <v>0</v>
      </c>
      <c r="I34" s="31"/>
      <c r="J34" s="32">
        <f>Rates!F67</f>
        <v>-1.9E-3</v>
      </c>
      <c r="K34" s="185">
        <f>$F$17</f>
        <v>25000</v>
      </c>
      <c r="L34" s="30">
        <f t="shared" si="1"/>
        <v>-47.5</v>
      </c>
      <c r="M34" s="31"/>
      <c r="N34" s="34">
        <f t="shared" si="2"/>
        <v>-47.5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71</v>
      </c>
      <c r="H35" s="30">
        <f t="shared" si="0"/>
        <v>0</v>
      </c>
      <c r="I35" s="31"/>
      <c r="J35" s="32"/>
      <c r="K35" s="29">
        <f t="shared" si="5"/>
        <v>71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71</v>
      </c>
      <c r="H36" s="30">
        <f t="shared" si="0"/>
        <v>0</v>
      </c>
      <c r="I36" s="31"/>
      <c r="J36" s="32"/>
      <c r="K36" s="29">
        <f t="shared" si="5"/>
        <v>71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71</v>
      </c>
      <c r="H37" s="30">
        <f t="shared" si="0"/>
        <v>0</v>
      </c>
      <c r="I37" s="31"/>
      <c r="J37" s="32"/>
      <c r="K37" s="29">
        <f t="shared" si="5"/>
        <v>71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71</v>
      </c>
      <c r="H38" s="30">
        <f t="shared" si="0"/>
        <v>0</v>
      </c>
      <c r="I38" s="31"/>
      <c r="J38" s="32"/>
      <c r="K38" s="29">
        <f t="shared" si="5"/>
        <v>71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4374.4400000000005</v>
      </c>
      <c r="I39" s="44"/>
      <c r="J39" s="45"/>
      <c r="K39" s="46"/>
      <c r="L39" s="43">
        <f>SUM(L22:L38)</f>
        <v>4994.4399999999996</v>
      </c>
      <c r="M39" s="44"/>
      <c r="N39" s="47">
        <f t="shared" si="2"/>
        <v>619.99999999999909</v>
      </c>
      <c r="O39" s="48">
        <f t="shared" si="3"/>
        <v>0.141732427465001</v>
      </c>
    </row>
    <row r="40" spans="2:15" ht="38.25" x14ac:dyDescent="0.25">
      <c r="B40" s="50" t="str">
        <f>Rates!A64</f>
        <v>Rate Rider for the Disposition of Deferral/Variance Accounts (2014) - effective until December 31, 2015</v>
      </c>
      <c r="C40" s="25"/>
      <c r="D40" s="63" t="s">
        <v>80</v>
      </c>
      <c r="E40" s="27"/>
      <c r="F40" s="32">
        <f>Rates!D64</f>
        <v>0</v>
      </c>
      <c r="G40" s="185">
        <f>$F$17</f>
        <v>25000</v>
      </c>
      <c r="H40" s="30">
        <f>G40*F40</f>
        <v>0</v>
      </c>
      <c r="I40" s="31"/>
      <c r="J40" s="32">
        <f>Rates!F64</f>
        <v>-1.29E-2</v>
      </c>
      <c r="K40" s="185">
        <f>$F$17</f>
        <v>25000</v>
      </c>
      <c r="L40" s="30">
        <f>K40*J40</f>
        <v>-322.5</v>
      </c>
      <c r="M40" s="31"/>
      <c r="N40" s="34">
        <f>L40-H40</f>
        <v>-322.5</v>
      </c>
      <c r="O40" s="35" t="str">
        <f>IF((H40)=0,"",(N40/H40))</f>
        <v/>
      </c>
    </row>
    <row r="41" spans="2:15" ht="38.25" x14ac:dyDescent="0.25">
      <c r="B41" s="50" t="str">
        <f>Rates!A65</f>
        <v>Rate Rider for the Disposition of Global Adjustment Sub-Account (2014) - effective until December 31, 2015</v>
      </c>
      <c r="C41" s="25"/>
      <c r="D41" s="63" t="s">
        <v>80</v>
      </c>
      <c r="E41" s="27"/>
      <c r="F41" s="28">
        <f>Rates!D65</f>
        <v>0</v>
      </c>
      <c r="G41" s="185">
        <f>$F$17</f>
        <v>25000</v>
      </c>
      <c r="H41" s="30">
        <f t="shared" ref="H41:H45" si="10">G41*F41</f>
        <v>0</v>
      </c>
      <c r="I41" s="51"/>
      <c r="J41" s="32">
        <f>Rates!F65</f>
        <v>2.01E-2</v>
      </c>
      <c r="K41" s="185">
        <f>$F$17</f>
        <v>25000</v>
      </c>
      <c r="L41" s="30">
        <f t="shared" ref="L41:L45" si="11">K41*J41</f>
        <v>502.5</v>
      </c>
      <c r="M41" s="52"/>
      <c r="N41" s="34">
        <f t="shared" ref="N41:N45" si="12">L41-H41</f>
        <v>502.5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71</v>
      </c>
      <c r="H42" s="30">
        <f t="shared" si="10"/>
        <v>0</v>
      </c>
      <c r="I42" s="51"/>
      <c r="J42" s="32"/>
      <c r="K42" s="29">
        <f t="shared" si="5"/>
        <v>71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71</v>
      </c>
      <c r="H43" s="30">
        <f t="shared" si="10"/>
        <v>0</v>
      </c>
      <c r="I43" s="51"/>
      <c r="J43" s="32"/>
      <c r="K43" s="29">
        <f t="shared" si="5"/>
        <v>71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71</v>
      </c>
      <c r="H44" s="30">
        <f>G44*F44</f>
        <v>0</v>
      </c>
      <c r="I44" s="31"/>
      <c r="J44" s="32"/>
      <c r="K44" s="29">
        <f t="shared" si="5"/>
        <v>71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Rates!D87</f>
        <v>8.949E-2</v>
      </c>
      <c r="G45" s="55">
        <f>$F$17*(1+$F$62)-$F$17</f>
        <v>2160</v>
      </c>
      <c r="H45" s="30">
        <f t="shared" si="10"/>
        <v>193.29839999999999</v>
      </c>
      <c r="I45" s="31"/>
      <c r="J45" s="188">
        <f>Rates!F87</f>
        <v>8.949E-2</v>
      </c>
      <c r="K45" s="55">
        <f>$F$17*(1+$J$62)-$F$17</f>
        <v>2292.4999999999964</v>
      </c>
      <c r="L45" s="30">
        <f t="shared" si="11"/>
        <v>205.15582499999968</v>
      </c>
      <c r="M45" s="31"/>
      <c r="N45" s="34">
        <f t="shared" si="12"/>
        <v>11.857424999999694</v>
      </c>
      <c r="O45" s="35">
        <f t="shared" si="13"/>
        <v>6.1342592592591012E-2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4567.7384000000002</v>
      </c>
      <c r="I47" s="44"/>
      <c r="J47" s="60"/>
      <c r="K47" s="62"/>
      <c r="L47" s="61">
        <f>SUM(L40:L46)+L39</f>
        <v>5379.5958249999994</v>
      </c>
      <c r="M47" s="44"/>
      <c r="N47" s="47">
        <f t="shared" ref="N47:N59" si="14">L47-H47</f>
        <v>811.85742499999924</v>
      </c>
      <c r="O47" s="48">
        <f t="shared" ref="O47:O59" si="15">IF((H47)=0,"",(N47/H47))</f>
        <v>0.17773728569919836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Rates!D68</f>
        <v>1.9502999999999999</v>
      </c>
      <c r="G48" s="65">
        <f>K17*(1+F62)</f>
        <v>77.134399999999999</v>
      </c>
      <c r="H48" s="30">
        <f>G48*F48</f>
        <v>150.43522031999998</v>
      </c>
      <c r="I48" s="31"/>
      <c r="J48" s="32">
        <f>Rates!F68</f>
        <v>2.0108999999999999</v>
      </c>
      <c r="K48" s="66">
        <f>K17*(1+J62)</f>
        <v>77.510699999999986</v>
      </c>
      <c r="L48" s="30">
        <f>K48*J48</f>
        <v>155.86626662999996</v>
      </c>
      <c r="M48" s="31"/>
      <c r="N48" s="34">
        <f t="shared" si="14"/>
        <v>5.4310463099999708</v>
      </c>
      <c r="O48" s="35">
        <f t="shared" si="15"/>
        <v>3.6102225917888503E-2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Rates!D69</f>
        <v>1.3906000000000001</v>
      </c>
      <c r="G49" s="65">
        <f>G48</f>
        <v>77.134399999999999</v>
      </c>
      <c r="H49" s="30">
        <f>G49*F49</f>
        <v>107.26309664</v>
      </c>
      <c r="I49" s="31"/>
      <c r="J49" s="32">
        <f>Rates!F69</f>
        <v>1.4094</v>
      </c>
      <c r="K49" s="66">
        <f>K48</f>
        <v>77.510699999999986</v>
      </c>
      <c r="L49" s="30">
        <f>K49*J49</f>
        <v>109.24358057999999</v>
      </c>
      <c r="M49" s="31"/>
      <c r="N49" s="34">
        <f t="shared" si="14"/>
        <v>1.980483939999985</v>
      </c>
      <c r="O49" s="35">
        <f t="shared" si="15"/>
        <v>1.8463796049511337E-2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4825.43671696</v>
      </c>
      <c r="I50" s="69"/>
      <c r="J50" s="70"/>
      <c r="K50" s="71"/>
      <c r="L50" s="61">
        <f>SUM(L47:L49)</f>
        <v>5644.7056722099987</v>
      </c>
      <c r="M50" s="69"/>
      <c r="N50" s="47">
        <f t="shared" si="14"/>
        <v>819.26895524999873</v>
      </c>
      <c r="O50" s="48">
        <f t="shared" si="15"/>
        <v>0.16978130753855039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Rates!D70</f>
        <v>4.4000000000000003E-3</v>
      </c>
      <c r="G51" s="65">
        <f>F17*(1+F62)</f>
        <v>27160</v>
      </c>
      <c r="H51" s="74">
        <f t="shared" ref="H51:H55" si="16">G51*F51</f>
        <v>119.504</v>
      </c>
      <c r="I51" s="31"/>
      <c r="J51" s="75">
        <f>Rates!F70</f>
        <v>4.4000000000000003E-3</v>
      </c>
      <c r="K51" s="66">
        <f>F17*(1+J62)</f>
        <v>27292.499999999996</v>
      </c>
      <c r="L51" s="74">
        <f t="shared" ref="L51:L55" si="17">K51*J51</f>
        <v>120.08699999999999</v>
      </c>
      <c r="M51" s="31"/>
      <c r="N51" s="34">
        <f t="shared" si="14"/>
        <v>0.5829999999999842</v>
      </c>
      <c r="O51" s="76">
        <f t="shared" si="15"/>
        <v>4.8784977908687922E-3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Rates!D71</f>
        <v>1.2999999999999999E-3</v>
      </c>
      <c r="G52" s="65">
        <f>G51</f>
        <v>27160</v>
      </c>
      <c r="H52" s="74">
        <f t="shared" si="16"/>
        <v>35.308</v>
      </c>
      <c r="I52" s="31"/>
      <c r="J52" s="75">
        <f>Rates!F71</f>
        <v>1.2999999999999999E-3</v>
      </c>
      <c r="K52" s="66">
        <f>K51</f>
        <v>27292.499999999996</v>
      </c>
      <c r="L52" s="74">
        <f t="shared" si="17"/>
        <v>35.480249999999991</v>
      </c>
      <c r="M52" s="31"/>
      <c r="N52" s="34">
        <f t="shared" si="14"/>
        <v>0.17224999999999113</v>
      </c>
      <c r="O52" s="76">
        <f t="shared" si="15"/>
        <v>4.8784977908686734E-3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Rates!D72</f>
        <v>0.25</v>
      </c>
      <c r="G53" s="29">
        <v>1</v>
      </c>
      <c r="H53" s="74">
        <f t="shared" si="16"/>
        <v>0.25</v>
      </c>
      <c r="I53" s="31"/>
      <c r="J53" s="75">
        <f>Rates!F72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Rates!D75</f>
        <v>2E-3</v>
      </c>
      <c r="G54" s="77">
        <f>F17</f>
        <v>25000</v>
      </c>
      <c r="H54" s="74">
        <f t="shared" si="16"/>
        <v>50</v>
      </c>
      <c r="I54" s="31"/>
      <c r="J54" s="75">
        <f>Rates!F75</f>
        <v>2E-3</v>
      </c>
      <c r="K54" s="78">
        <f>F17</f>
        <v>25000</v>
      </c>
      <c r="L54" s="74">
        <f t="shared" si="17"/>
        <v>50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Rates!D87</f>
        <v>8.949E-2</v>
      </c>
      <c r="G55" s="80">
        <f>$F$17</f>
        <v>25000</v>
      </c>
      <c r="H55" s="74">
        <f t="shared" si="16"/>
        <v>2237.25</v>
      </c>
      <c r="I55" s="31"/>
      <c r="J55" s="189">
        <f>Rates!F87</f>
        <v>8.949E-2</v>
      </c>
      <c r="K55" s="80">
        <f>F17</f>
        <v>25000</v>
      </c>
      <c r="L55" s="74">
        <f t="shared" si="17"/>
        <v>2237.25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105</v>
      </c>
      <c r="C57" s="25"/>
      <c r="D57" s="25"/>
      <c r="E57" s="25"/>
      <c r="F57" s="101"/>
      <c r="G57" s="102"/>
      <c r="H57" s="103">
        <f>SUM(H51:H55,H50)</f>
        <v>7267.7487169599999</v>
      </c>
      <c r="I57" s="104"/>
      <c r="J57" s="105"/>
      <c r="K57" s="105"/>
      <c r="L57" s="181">
        <f>SUM(L51:L55,L50)</f>
        <v>8087.7729222099988</v>
      </c>
      <c r="M57" s="106"/>
      <c r="N57" s="107">
        <f t="shared" ref="N57" si="18">L57-H57</f>
        <v>820.02420524999889</v>
      </c>
      <c r="O57" s="108">
        <f t="shared" ref="O57" si="19">IF((H57)=0,"",(N57/H57))</f>
        <v>0.11283056654619779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944.80733320479999</v>
      </c>
      <c r="I58" s="113"/>
      <c r="J58" s="114">
        <v>0.13</v>
      </c>
      <c r="K58" s="113"/>
      <c r="L58" s="115">
        <f>L57*J58</f>
        <v>1051.4104798873</v>
      </c>
      <c r="M58" s="116"/>
      <c r="N58" s="117">
        <f t="shared" si="14"/>
        <v>106.60314668249998</v>
      </c>
      <c r="O58" s="118">
        <f t="shared" si="15"/>
        <v>0.11283056654619793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8212.5560501647997</v>
      </c>
      <c r="I59" s="113"/>
      <c r="J59" s="113"/>
      <c r="K59" s="113"/>
      <c r="L59" s="115">
        <f>L57+L58</f>
        <v>9139.1834020972983</v>
      </c>
      <c r="M59" s="116"/>
      <c r="N59" s="117">
        <f t="shared" si="14"/>
        <v>926.62735193249864</v>
      </c>
      <c r="O59" s="118">
        <f t="shared" si="15"/>
        <v>0.11283056654619779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Rates!D80</f>
        <v>8.6400000000000005E-2</v>
      </c>
      <c r="J62" s="179">
        <f>Rates!F80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8:E49 E40:E46 E22:E38 E60 E51:E56">
      <formula1>#REF!</formula1>
    </dataValidation>
    <dataValidation type="list" allowBlank="1" showInputMessage="1" showErrorMessage="1" prompt="Select Charge Unit - monthly, per kWh, per kW" sqref="D48:D49 D40:D46 D60 D22:D38 D51:D56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opLeftCell="A37" zoomScaleNormal="100" workbookViewId="0">
      <selection activeCell="A6" sqref="A6"/>
    </sheetView>
  </sheetViews>
  <sheetFormatPr defaultRowHeight="15" x14ac:dyDescent="0.25"/>
  <cols>
    <col min="1" max="1" width="91.85546875" style="194" bestFit="1" customWidth="1"/>
    <col min="2" max="2" width="6.7109375" style="193" customWidth="1"/>
    <col min="3" max="3" width="2.5703125" style="193" customWidth="1"/>
    <col min="4" max="4" width="11.28515625" style="194" bestFit="1" customWidth="1"/>
    <col min="5" max="5" width="2.5703125" style="194" customWidth="1"/>
    <col min="6" max="6" width="10.85546875" style="194" customWidth="1"/>
    <col min="7" max="7" width="6" style="193" customWidth="1"/>
    <col min="8" max="16384" width="9.140625" style="194"/>
  </cols>
  <sheetData>
    <row r="1" spans="1:6" ht="38.25" x14ac:dyDescent="0.25">
      <c r="A1" s="190" t="s">
        <v>54</v>
      </c>
      <c r="B1" s="191" t="s">
        <v>84</v>
      </c>
      <c r="C1" s="191"/>
      <c r="D1" s="192" t="s">
        <v>55</v>
      </c>
      <c r="E1" s="191"/>
      <c r="F1" s="192" t="s">
        <v>56</v>
      </c>
    </row>
    <row r="2" spans="1:6" x14ac:dyDescent="0.25">
      <c r="A2" s="190" t="s">
        <v>57</v>
      </c>
      <c r="C2" s="195"/>
      <c r="D2" s="193"/>
      <c r="E2" s="195"/>
      <c r="F2" s="193"/>
    </row>
    <row r="3" spans="1:6" x14ac:dyDescent="0.25">
      <c r="A3" s="199" t="s">
        <v>23</v>
      </c>
      <c r="B3" s="200" t="s">
        <v>58</v>
      </c>
      <c r="C3" s="200"/>
      <c r="D3" s="201">
        <v>23.16</v>
      </c>
      <c r="E3" s="202"/>
      <c r="F3" s="201">
        <v>24.03</v>
      </c>
    </row>
    <row r="4" spans="1:6" x14ac:dyDescent="0.25">
      <c r="A4" s="199" t="s">
        <v>25</v>
      </c>
      <c r="B4" s="200" t="s">
        <v>59</v>
      </c>
      <c r="C4" s="200"/>
      <c r="D4" s="203">
        <v>3.2500000000000001E-2</v>
      </c>
      <c r="E4" s="202"/>
      <c r="F4" s="203">
        <v>3.3700000000000001E-2</v>
      </c>
    </row>
    <row r="5" spans="1:6" x14ac:dyDescent="0.25">
      <c r="A5" s="199" t="s">
        <v>112</v>
      </c>
      <c r="B5" s="200" t="s">
        <v>59</v>
      </c>
      <c r="C5" s="200"/>
      <c r="D5" s="203">
        <v>4.0000000000000002E-4</v>
      </c>
      <c r="E5" s="202"/>
      <c r="F5" s="203">
        <v>0</v>
      </c>
    </row>
    <row r="6" spans="1:6" x14ac:dyDescent="0.25">
      <c r="A6" s="199" t="s">
        <v>113</v>
      </c>
      <c r="B6" s="200" t="s">
        <v>59</v>
      </c>
      <c r="C6" s="200"/>
      <c r="D6" s="203">
        <v>4.0000000000000002E-4</v>
      </c>
      <c r="E6" s="202"/>
      <c r="F6" s="203">
        <v>0</v>
      </c>
    </row>
    <row r="7" spans="1:6" x14ac:dyDescent="0.25">
      <c r="A7" s="196" t="s">
        <v>83</v>
      </c>
      <c r="B7" s="200" t="s">
        <v>59</v>
      </c>
      <c r="C7" s="200"/>
      <c r="D7" s="203">
        <v>-1E-4</v>
      </c>
      <c r="E7" s="201"/>
      <c r="F7" s="203">
        <v>0</v>
      </c>
    </row>
    <row r="8" spans="1:6" x14ac:dyDescent="0.25">
      <c r="A8" s="196" t="s">
        <v>99</v>
      </c>
      <c r="B8" s="200" t="s">
        <v>59</v>
      </c>
      <c r="C8" s="200"/>
      <c r="D8" s="203"/>
      <c r="E8" s="201"/>
      <c r="F8" s="203">
        <v>-1.29E-2</v>
      </c>
    </row>
    <row r="9" spans="1:6" x14ac:dyDescent="0.25">
      <c r="A9" s="196" t="s">
        <v>102</v>
      </c>
      <c r="B9" s="200" t="s">
        <v>59</v>
      </c>
      <c r="C9" s="200"/>
      <c r="D9" s="203"/>
      <c r="E9" s="201"/>
      <c r="F9" s="203">
        <v>2.01E-2</v>
      </c>
    </row>
    <row r="10" spans="1:6" x14ac:dyDescent="0.25">
      <c r="A10" s="196" t="s">
        <v>103</v>
      </c>
      <c r="B10" s="200" t="s">
        <v>59</v>
      </c>
      <c r="C10" s="200"/>
      <c r="D10" s="203"/>
      <c r="E10" s="201"/>
      <c r="F10" s="203">
        <v>2.0000000000000001E-4</v>
      </c>
    </row>
    <row r="11" spans="1:6" x14ac:dyDescent="0.25">
      <c r="A11" s="196" t="s">
        <v>104</v>
      </c>
      <c r="B11" s="200" t="s">
        <v>59</v>
      </c>
      <c r="C11" s="200"/>
      <c r="D11" s="203"/>
      <c r="E11" s="201"/>
      <c r="F11" s="203">
        <v>-1.9E-3</v>
      </c>
    </row>
    <row r="12" spans="1:6" x14ac:dyDescent="0.25">
      <c r="A12" s="199" t="s">
        <v>60</v>
      </c>
      <c r="B12" s="200" t="s">
        <v>59</v>
      </c>
      <c r="C12" s="200"/>
      <c r="D12" s="204">
        <v>7.0000000000000001E-3</v>
      </c>
      <c r="E12" s="205"/>
      <c r="F12" s="204">
        <v>7.1999999999999998E-3</v>
      </c>
    </row>
    <row r="13" spans="1:6" x14ac:dyDescent="0.25">
      <c r="A13" s="199" t="s">
        <v>61</v>
      </c>
      <c r="B13" s="200" t="s">
        <v>59</v>
      </c>
      <c r="C13" s="200"/>
      <c r="D13" s="204">
        <v>5.1000000000000004E-3</v>
      </c>
      <c r="E13" s="206"/>
      <c r="F13" s="204">
        <v>5.1999999999999998E-3</v>
      </c>
    </row>
    <row r="14" spans="1:6" x14ac:dyDescent="0.25">
      <c r="A14" s="199" t="s">
        <v>62</v>
      </c>
      <c r="B14" s="200" t="s">
        <v>59</v>
      </c>
      <c r="C14" s="200"/>
      <c r="D14" s="203">
        <v>4.4000000000000003E-3</v>
      </c>
      <c r="E14" s="201"/>
      <c r="F14" s="203">
        <v>4.4000000000000003E-3</v>
      </c>
    </row>
    <row r="15" spans="1:6" x14ac:dyDescent="0.25">
      <c r="A15" s="199" t="s">
        <v>63</v>
      </c>
      <c r="B15" s="200" t="s">
        <v>59</v>
      </c>
      <c r="C15" s="200"/>
      <c r="D15" s="203">
        <v>1.2999999999999999E-3</v>
      </c>
      <c r="E15" s="203"/>
      <c r="F15" s="203">
        <v>1.2999999999999999E-3</v>
      </c>
    </row>
    <row r="16" spans="1:6" x14ac:dyDescent="0.25">
      <c r="A16" s="199" t="s">
        <v>64</v>
      </c>
      <c r="B16" s="200" t="s">
        <v>58</v>
      </c>
      <c r="C16" s="200"/>
      <c r="D16" s="201">
        <v>0.79</v>
      </c>
      <c r="E16" s="203"/>
      <c r="F16" s="201">
        <v>0.79</v>
      </c>
    </row>
    <row r="17" spans="1:6" x14ac:dyDescent="0.25">
      <c r="A17" s="196" t="s">
        <v>65</v>
      </c>
      <c r="B17" s="200" t="s">
        <v>58</v>
      </c>
      <c r="C17" s="200"/>
      <c r="D17" s="201">
        <v>0.25</v>
      </c>
      <c r="E17" s="201"/>
      <c r="F17" s="201">
        <v>0.25</v>
      </c>
    </row>
    <row r="18" spans="1:6" x14ac:dyDescent="0.25">
      <c r="B18" s="200"/>
      <c r="C18" s="200"/>
      <c r="D18" s="199"/>
      <c r="E18" s="199"/>
      <c r="F18" s="199"/>
    </row>
    <row r="19" spans="1:6" x14ac:dyDescent="0.25">
      <c r="A19" s="190" t="s">
        <v>66</v>
      </c>
      <c r="B19" s="200"/>
      <c r="C19" s="200"/>
      <c r="D19" s="199"/>
      <c r="E19" s="199"/>
      <c r="F19" s="199"/>
    </row>
    <row r="20" spans="1:6" x14ac:dyDescent="0.25">
      <c r="A20" s="199" t="s">
        <v>23</v>
      </c>
      <c r="B20" s="200" t="s">
        <v>58</v>
      </c>
      <c r="C20" s="200"/>
      <c r="D20" s="201">
        <v>596.12</v>
      </c>
      <c r="E20" s="202"/>
      <c r="F20" s="201">
        <v>596.12</v>
      </c>
    </row>
    <row r="21" spans="1:6" x14ac:dyDescent="0.25">
      <c r="A21" s="199" t="s">
        <v>25</v>
      </c>
      <c r="B21" s="200" t="s">
        <v>67</v>
      </c>
      <c r="C21" s="200"/>
      <c r="D21" s="203">
        <v>3.0886999999999998</v>
      </c>
      <c r="E21" s="202"/>
      <c r="F21" s="203">
        <v>3.2725</v>
      </c>
    </row>
    <row r="22" spans="1:6" x14ac:dyDescent="0.25">
      <c r="A22" s="199" t="s">
        <v>112</v>
      </c>
      <c r="B22" s="200" t="s">
        <v>67</v>
      </c>
      <c r="C22" s="200"/>
      <c r="D22" s="203">
        <v>3.73E-2</v>
      </c>
      <c r="E22" s="202"/>
      <c r="F22" s="203">
        <v>0</v>
      </c>
    </row>
    <row r="23" spans="1:6" x14ac:dyDescent="0.25">
      <c r="A23" s="199" t="s">
        <v>113</v>
      </c>
      <c r="B23" s="200" t="s">
        <v>67</v>
      </c>
      <c r="C23" s="200"/>
      <c r="D23" s="203">
        <v>3.8800000000000001E-2</v>
      </c>
      <c r="E23" s="202"/>
      <c r="F23" s="203">
        <v>0</v>
      </c>
    </row>
    <row r="24" spans="1:6" x14ac:dyDescent="0.25">
      <c r="A24" s="196" t="s">
        <v>83</v>
      </c>
      <c r="B24" s="200" t="s">
        <v>67</v>
      </c>
      <c r="C24" s="200"/>
      <c r="D24" s="203">
        <v>-1.4800000000000001E-2</v>
      </c>
      <c r="E24" s="201"/>
      <c r="F24" s="203">
        <v>0</v>
      </c>
    </row>
    <row r="25" spans="1:6" x14ac:dyDescent="0.25">
      <c r="A25" s="196" t="s">
        <v>99</v>
      </c>
      <c r="B25" s="200" t="s">
        <v>67</v>
      </c>
      <c r="C25" s="200"/>
      <c r="D25" s="203"/>
      <c r="E25" s="201"/>
      <c r="F25" s="203">
        <v>-5.4025999999999996</v>
      </c>
    </row>
    <row r="26" spans="1:6" x14ac:dyDescent="0.25">
      <c r="A26" s="196" t="s">
        <v>102</v>
      </c>
      <c r="B26" s="200" t="s">
        <v>67</v>
      </c>
      <c r="C26" s="200"/>
      <c r="D26" s="203"/>
      <c r="E26" s="201"/>
      <c r="F26" s="203">
        <v>8.4103999999999992</v>
      </c>
    </row>
    <row r="27" spans="1:6" x14ac:dyDescent="0.25">
      <c r="A27" s="196" t="s">
        <v>103</v>
      </c>
      <c r="B27" s="200" t="s">
        <v>67</v>
      </c>
      <c r="C27" s="200"/>
      <c r="D27" s="203"/>
      <c r="E27" s="201"/>
      <c r="F27" s="203">
        <v>2.8999999999999998E-3</v>
      </c>
    </row>
    <row r="28" spans="1:6" x14ac:dyDescent="0.25">
      <c r="A28" s="196" t="s">
        <v>104</v>
      </c>
      <c r="B28" s="200" t="s">
        <v>67</v>
      </c>
      <c r="C28" s="200"/>
      <c r="D28" s="203"/>
      <c r="E28" s="201"/>
      <c r="F28" s="203">
        <v>-0.78769999999999996</v>
      </c>
    </row>
    <row r="29" spans="1:6" x14ac:dyDescent="0.25">
      <c r="A29" s="199" t="s">
        <v>60</v>
      </c>
      <c r="B29" s="200" t="s">
        <v>67</v>
      </c>
      <c r="C29" s="200"/>
      <c r="D29" s="204">
        <v>2.5861000000000001</v>
      </c>
      <c r="E29" s="205"/>
      <c r="F29" s="204">
        <v>2.7770000000000001</v>
      </c>
    </row>
    <row r="30" spans="1:6" x14ac:dyDescent="0.25">
      <c r="A30" s="199" t="s">
        <v>61</v>
      </c>
      <c r="B30" s="200" t="s">
        <v>67</v>
      </c>
      <c r="C30" s="200"/>
      <c r="D30" s="204">
        <v>1.7988</v>
      </c>
      <c r="E30" s="206"/>
      <c r="F30" s="204">
        <v>1.9539</v>
      </c>
    </row>
    <row r="31" spans="1:6" x14ac:dyDescent="0.25">
      <c r="A31" s="199" t="s">
        <v>68</v>
      </c>
      <c r="B31" s="200" t="s">
        <v>67</v>
      </c>
      <c r="C31" s="200"/>
      <c r="D31" s="204">
        <v>2.7433000000000001</v>
      </c>
      <c r="E31" s="205"/>
      <c r="F31" s="204">
        <v>2.7770000000000001</v>
      </c>
    </row>
    <row r="32" spans="1:6" x14ac:dyDescent="0.25">
      <c r="A32" s="199" t="s">
        <v>69</v>
      </c>
      <c r="B32" s="200" t="s">
        <v>67</v>
      </c>
      <c r="C32" s="200"/>
      <c r="D32" s="204">
        <v>1.9879</v>
      </c>
      <c r="E32" s="206"/>
      <c r="F32" s="204">
        <v>1.9539</v>
      </c>
    </row>
    <row r="33" spans="1:6" x14ac:dyDescent="0.25">
      <c r="A33" s="199" t="s">
        <v>62</v>
      </c>
      <c r="B33" s="200" t="s">
        <v>59</v>
      </c>
      <c r="C33" s="200"/>
      <c r="D33" s="203">
        <v>4.4000000000000003E-3</v>
      </c>
      <c r="E33" s="201"/>
      <c r="F33" s="203">
        <v>4.4000000000000003E-3</v>
      </c>
    </row>
    <row r="34" spans="1:6" x14ac:dyDescent="0.25">
      <c r="A34" s="199" t="s">
        <v>63</v>
      </c>
      <c r="B34" s="200" t="s">
        <v>59</v>
      </c>
      <c r="C34" s="200"/>
      <c r="D34" s="203">
        <v>1.2999999999999999E-3</v>
      </c>
      <c r="E34" s="203"/>
      <c r="F34" s="203">
        <v>1.2999999999999999E-3</v>
      </c>
    </row>
    <row r="35" spans="1:6" x14ac:dyDescent="0.25">
      <c r="A35" s="196" t="s">
        <v>65</v>
      </c>
      <c r="B35" s="200" t="s">
        <v>58</v>
      </c>
      <c r="C35" s="200"/>
      <c r="D35" s="201">
        <v>0.25</v>
      </c>
      <c r="E35" s="201"/>
      <c r="F35" s="201">
        <v>0.25</v>
      </c>
    </row>
    <row r="36" spans="1:6" x14ac:dyDescent="0.25">
      <c r="B36" s="200"/>
      <c r="C36" s="200"/>
      <c r="D36" s="199"/>
      <c r="E36" s="199"/>
      <c r="F36" s="199"/>
    </row>
    <row r="37" spans="1:6" x14ac:dyDescent="0.25">
      <c r="A37" s="190" t="s">
        <v>70</v>
      </c>
      <c r="B37" s="200"/>
      <c r="C37" s="200"/>
      <c r="D37" s="199"/>
      <c r="E37" s="199"/>
      <c r="F37" s="199"/>
    </row>
    <row r="38" spans="1:6" x14ac:dyDescent="0.25">
      <c r="A38" s="199" t="s">
        <v>23</v>
      </c>
      <c r="B38" s="200" t="s">
        <v>58</v>
      </c>
      <c r="C38" s="200"/>
      <c r="D38" s="201">
        <v>26.75</v>
      </c>
      <c r="E38" s="202"/>
      <c r="F38" s="201">
        <v>26.75</v>
      </c>
    </row>
    <row r="39" spans="1:6" x14ac:dyDescent="0.25">
      <c r="A39" s="199" t="s">
        <v>25</v>
      </c>
      <c r="B39" s="200" t="s">
        <v>59</v>
      </c>
      <c r="C39" s="200"/>
      <c r="D39" s="203">
        <v>0.10290000000000001</v>
      </c>
      <c r="E39" s="202"/>
      <c r="F39" s="203">
        <v>0.1323</v>
      </c>
    </row>
    <row r="40" spans="1:6" x14ac:dyDescent="0.25">
      <c r="A40" s="199" t="s">
        <v>112</v>
      </c>
      <c r="B40" s="200" t="s">
        <v>59</v>
      </c>
      <c r="C40" s="200"/>
      <c r="D40" s="203">
        <v>2.9999999999999997E-4</v>
      </c>
      <c r="E40" s="202"/>
      <c r="F40" s="203">
        <v>0</v>
      </c>
    </row>
    <row r="41" spans="1:6" x14ac:dyDescent="0.25">
      <c r="A41" s="199" t="s">
        <v>113</v>
      </c>
      <c r="B41" s="200" t="s">
        <v>59</v>
      </c>
      <c r="C41" s="200"/>
      <c r="D41" s="203">
        <v>5.0000000000000001E-4</v>
      </c>
      <c r="E41" s="202"/>
      <c r="F41" s="203">
        <v>0</v>
      </c>
    </row>
    <row r="42" spans="1:6" x14ac:dyDescent="0.25">
      <c r="A42" s="196" t="s">
        <v>101</v>
      </c>
      <c r="B42" s="200" t="s">
        <v>59</v>
      </c>
      <c r="C42" s="200"/>
      <c r="D42" s="204">
        <v>3.0700000000000002E-2</v>
      </c>
      <c r="E42" s="199"/>
      <c r="F42" s="204">
        <v>3.0700000000000002E-2</v>
      </c>
    </row>
    <row r="43" spans="1:6" x14ac:dyDescent="0.25">
      <c r="A43" s="196" t="s">
        <v>81</v>
      </c>
      <c r="B43" s="200" t="s">
        <v>58</v>
      </c>
      <c r="C43" s="200"/>
      <c r="D43" s="201">
        <v>3.57</v>
      </c>
      <c r="E43" s="199"/>
      <c r="F43" s="201">
        <v>3.57</v>
      </c>
    </row>
    <row r="44" spans="1:6" x14ac:dyDescent="0.25">
      <c r="A44" s="196" t="s">
        <v>82</v>
      </c>
      <c r="B44" s="200" t="s">
        <v>58</v>
      </c>
      <c r="C44" s="200"/>
      <c r="D44" s="201">
        <v>4.6900000000000004</v>
      </c>
      <c r="E44" s="199"/>
      <c r="F44" s="201">
        <v>0</v>
      </c>
    </row>
    <row r="45" spans="1:6" x14ac:dyDescent="0.25">
      <c r="A45" s="196" t="s">
        <v>100</v>
      </c>
      <c r="B45" s="200" t="s">
        <v>58</v>
      </c>
      <c r="C45" s="200"/>
      <c r="D45" s="201"/>
      <c r="E45" s="199"/>
      <c r="F45" s="201">
        <v>2.27</v>
      </c>
    </row>
    <row r="46" spans="1:6" x14ac:dyDescent="0.25">
      <c r="A46" s="196" t="s">
        <v>83</v>
      </c>
      <c r="B46" s="200" t="s">
        <v>59</v>
      </c>
      <c r="C46" s="200"/>
      <c r="D46" s="203">
        <v>-5.9999999999999995E-4</v>
      </c>
      <c r="E46" s="201"/>
      <c r="F46" s="203">
        <v>0</v>
      </c>
    </row>
    <row r="47" spans="1:6" x14ac:dyDescent="0.25">
      <c r="A47" s="196" t="s">
        <v>99</v>
      </c>
      <c r="B47" s="200" t="s">
        <v>59</v>
      </c>
      <c r="C47" s="200"/>
      <c r="D47" s="203"/>
      <c r="E47" s="201"/>
      <c r="F47" s="203">
        <v>-1.29E-2</v>
      </c>
    </row>
    <row r="48" spans="1:6" x14ac:dyDescent="0.25">
      <c r="A48" s="196" t="s">
        <v>102</v>
      </c>
      <c r="B48" s="200" t="s">
        <v>59</v>
      </c>
      <c r="C48" s="200"/>
      <c r="D48" s="203"/>
      <c r="E48" s="201"/>
      <c r="F48" s="203">
        <v>2.01E-2</v>
      </c>
    </row>
    <row r="49" spans="1:6" x14ac:dyDescent="0.25">
      <c r="A49" s="196" t="s">
        <v>103</v>
      </c>
      <c r="B49" s="200" t="s">
        <v>59</v>
      </c>
      <c r="C49" s="200"/>
      <c r="D49" s="203"/>
      <c r="E49" s="201"/>
      <c r="F49" s="203">
        <v>0</v>
      </c>
    </row>
    <row r="50" spans="1:6" x14ac:dyDescent="0.25">
      <c r="A50" s="196" t="s">
        <v>104</v>
      </c>
      <c r="B50" s="200" t="s">
        <v>59</v>
      </c>
      <c r="C50" s="200"/>
      <c r="D50" s="203"/>
      <c r="E50" s="201"/>
      <c r="F50" s="203">
        <v>-1.9E-3</v>
      </c>
    </row>
    <row r="51" spans="1:6" x14ac:dyDescent="0.25">
      <c r="A51" s="199" t="s">
        <v>60</v>
      </c>
      <c r="B51" s="200" t="s">
        <v>59</v>
      </c>
      <c r="C51" s="200"/>
      <c r="D51" s="204">
        <v>7.0000000000000001E-3</v>
      </c>
      <c r="E51" s="205"/>
      <c r="F51" s="204">
        <v>7.1999999999999998E-3</v>
      </c>
    </row>
    <row r="52" spans="1:6" x14ac:dyDescent="0.25">
      <c r="A52" s="199" t="s">
        <v>61</v>
      </c>
      <c r="B52" s="200" t="s">
        <v>59</v>
      </c>
      <c r="C52" s="200"/>
      <c r="D52" s="204">
        <v>5.1000000000000004E-3</v>
      </c>
      <c r="E52" s="206"/>
      <c r="F52" s="204">
        <v>5.1999999999999998E-3</v>
      </c>
    </row>
    <row r="53" spans="1:6" x14ac:dyDescent="0.25">
      <c r="A53" s="199" t="s">
        <v>62</v>
      </c>
      <c r="B53" s="200" t="s">
        <v>59</v>
      </c>
      <c r="C53" s="200"/>
      <c r="D53" s="203">
        <v>4.4000000000000003E-3</v>
      </c>
      <c r="E53" s="201"/>
      <c r="F53" s="203">
        <v>4.4000000000000003E-3</v>
      </c>
    </row>
    <row r="54" spans="1:6" x14ac:dyDescent="0.25">
      <c r="A54" s="199" t="s">
        <v>63</v>
      </c>
      <c r="B54" s="200" t="s">
        <v>59</v>
      </c>
      <c r="C54" s="200"/>
      <c r="D54" s="203">
        <v>1.2999999999999999E-3</v>
      </c>
      <c r="E54" s="203"/>
      <c r="F54" s="203">
        <v>1.2999999999999999E-3</v>
      </c>
    </row>
    <row r="55" spans="1:6" x14ac:dyDescent="0.25">
      <c r="A55" s="199" t="s">
        <v>64</v>
      </c>
      <c r="B55" s="200" t="s">
        <v>58</v>
      </c>
      <c r="C55" s="200"/>
      <c r="D55" s="201">
        <v>0.79</v>
      </c>
      <c r="E55" s="203"/>
      <c r="F55" s="201">
        <v>0.79</v>
      </c>
    </row>
    <row r="56" spans="1:6" x14ac:dyDescent="0.25">
      <c r="A56" s="196" t="s">
        <v>65</v>
      </c>
      <c r="B56" s="200" t="s">
        <v>58</v>
      </c>
      <c r="C56" s="200"/>
      <c r="D56" s="201">
        <v>0.25</v>
      </c>
      <c r="E56" s="201"/>
      <c r="F56" s="201">
        <v>0.25</v>
      </c>
    </row>
    <row r="57" spans="1:6" x14ac:dyDescent="0.25">
      <c r="B57" s="200"/>
      <c r="C57" s="200"/>
      <c r="D57" s="199"/>
      <c r="E57" s="199"/>
      <c r="F57" s="199"/>
    </row>
    <row r="58" spans="1:6" x14ac:dyDescent="0.25">
      <c r="A58" s="190" t="s">
        <v>71</v>
      </c>
      <c r="B58" s="200"/>
      <c r="C58" s="200"/>
      <c r="D58" s="200"/>
      <c r="E58" s="199"/>
      <c r="F58" s="200"/>
    </row>
    <row r="59" spans="1:6" x14ac:dyDescent="0.25">
      <c r="A59" s="199" t="s">
        <v>23</v>
      </c>
      <c r="B59" s="200" t="s">
        <v>58</v>
      </c>
      <c r="C59" s="200"/>
      <c r="D59" s="201">
        <v>0.98</v>
      </c>
      <c r="E59" s="202"/>
      <c r="F59" s="201">
        <v>0.98</v>
      </c>
    </row>
    <row r="60" spans="1:6" x14ac:dyDescent="0.25">
      <c r="A60" s="199" t="s">
        <v>25</v>
      </c>
      <c r="B60" s="200" t="s">
        <v>59</v>
      </c>
      <c r="C60" s="200"/>
      <c r="D60" s="203">
        <v>0.15790000000000001</v>
      </c>
      <c r="E60" s="202"/>
      <c r="F60" s="203">
        <v>0.18490000000000001</v>
      </c>
    </row>
    <row r="61" spans="1:6" x14ac:dyDescent="0.25">
      <c r="A61" s="199" t="s">
        <v>112</v>
      </c>
      <c r="B61" s="200" t="s">
        <v>59</v>
      </c>
      <c r="C61" s="200"/>
      <c r="D61" s="203">
        <v>2.9999999999999997E-4</v>
      </c>
      <c r="E61" s="202"/>
      <c r="F61" s="203">
        <v>0</v>
      </c>
    </row>
    <row r="62" spans="1:6" x14ac:dyDescent="0.25">
      <c r="A62" s="199" t="s">
        <v>113</v>
      </c>
      <c r="B62" s="200" t="s">
        <v>59</v>
      </c>
      <c r="C62" s="200"/>
      <c r="D62" s="203">
        <v>5.0000000000000001E-4</v>
      </c>
      <c r="E62" s="202"/>
      <c r="F62" s="203">
        <v>0</v>
      </c>
    </row>
    <row r="63" spans="1:6" x14ac:dyDescent="0.25">
      <c r="A63" s="196" t="s">
        <v>83</v>
      </c>
      <c r="B63" s="200" t="s">
        <v>59</v>
      </c>
      <c r="C63" s="200"/>
      <c r="D63" s="203">
        <v>-5.0000000000000001E-4</v>
      </c>
      <c r="E63" s="202"/>
      <c r="F63" s="203">
        <v>0</v>
      </c>
    </row>
    <row r="64" spans="1:6" x14ac:dyDescent="0.25">
      <c r="A64" s="196" t="s">
        <v>99</v>
      </c>
      <c r="B64" s="200" t="s">
        <v>59</v>
      </c>
      <c r="C64" s="200"/>
      <c r="D64" s="203"/>
      <c r="E64" s="202"/>
      <c r="F64" s="203">
        <v>-1.29E-2</v>
      </c>
    </row>
    <row r="65" spans="1:6" x14ac:dyDescent="0.25">
      <c r="A65" s="196" t="s">
        <v>102</v>
      </c>
      <c r="B65" s="200" t="s">
        <v>59</v>
      </c>
      <c r="C65" s="200"/>
      <c r="D65" s="203"/>
      <c r="E65" s="202"/>
      <c r="F65" s="203">
        <v>2.01E-2</v>
      </c>
    </row>
    <row r="66" spans="1:6" x14ac:dyDescent="0.25">
      <c r="A66" s="196" t="s">
        <v>103</v>
      </c>
      <c r="B66" s="200" t="s">
        <v>59</v>
      </c>
      <c r="C66" s="200"/>
      <c r="D66" s="203"/>
      <c r="E66" s="202"/>
      <c r="F66" s="203">
        <v>0</v>
      </c>
    </row>
    <row r="67" spans="1:6" x14ac:dyDescent="0.25">
      <c r="A67" s="196" t="s">
        <v>104</v>
      </c>
      <c r="B67" s="200" t="s">
        <v>59</v>
      </c>
      <c r="C67" s="200"/>
      <c r="D67" s="203"/>
      <c r="E67" s="202"/>
      <c r="F67" s="203">
        <v>-1.9E-3</v>
      </c>
    </row>
    <row r="68" spans="1:6" x14ac:dyDescent="0.25">
      <c r="A68" s="199" t="s">
        <v>60</v>
      </c>
      <c r="B68" s="200" t="s">
        <v>67</v>
      </c>
      <c r="C68" s="200"/>
      <c r="D68" s="204">
        <v>1.9502999999999999</v>
      </c>
      <c r="E68" s="205"/>
      <c r="F68" s="204">
        <v>2.0108999999999999</v>
      </c>
    </row>
    <row r="69" spans="1:6" x14ac:dyDescent="0.25">
      <c r="A69" s="199" t="s">
        <v>61</v>
      </c>
      <c r="B69" s="200" t="s">
        <v>67</v>
      </c>
      <c r="C69" s="200"/>
      <c r="D69" s="204">
        <v>1.3906000000000001</v>
      </c>
      <c r="E69" s="206"/>
      <c r="F69" s="204">
        <v>1.4094</v>
      </c>
    </row>
    <row r="70" spans="1:6" x14ac:dyDescent="0.25">
      <c r="A70" s="199" t="s">
        <v>62</v>
      </c>
      <c r="B70" s="200" t="s">
        <v>59</v>
      </c>
      <c r="C70" s="200"/>
      <c r="D70" s="203">
        <v>4.4000000000000003E-3</v>
      </c>
      <c r="E70" s="201"/>
      <c r="F70" s="203">
        <v>4.4000000000000003E-3</v>
      </c>
    </row>
    <row r="71" spans="1:6" x14ac:dyDescent="0.25">
      <c r="A71" s="199" t="s">
        <v>63</v>
      </c>
      <c r="B71" s="200" t="s">
        <v>59</v>
      </c>
      <c r="C71" s="200"/>
      <c r="D71" s="203">
        <v>1.2999999999999999E-3</v>
      </c>
      <c r="E71" s="203"/>
      <c r="F71" s="203">
        <v>1.2999999999999999E-3</v>
      </c>
    </row>
    <row r="72" spans="1:6" x14ac:dyDescent="0.25">
      <c r="A72" s="196" t="s">
        <v>65</v>
      </c>
      <c r="B72" s="200" t="s">
        <v>58</v>
      </c>
      <c r="C72" s="200"/>
      <c r="D72" s="201">
        <v>0.25</v>
      </c>
      <c r="E72" s="201"/>
      <c r="F72" s="201">
        <v>0.25</v>
      </c>
    </row>
    <row r="73" spans="1:6" x14ac:dyDescent="0.25">
      <c r="B73" s="200"/>
      <c r="C73" s="200"/>
      <c r="D73" s="199"/>
      <c r="E73" s="199"/>
      <c r="F73" s="199"/>
    </row>
    <row r="74" spans="1:6" x14ac:dyDescent="0.25">
      <c r="A74" s="190" t="s">
        <v>72</v>
      </c>
      <c r="B74" s="200"/>
      <c r="C74" s="200"/>
      <c r="D74" s="199"/>
      <c r="E74" s="199"/>
      <c r="F74" s="199"/>
    </row>
    <row r="75" spans="1:6" x14ac:dyDescent="0.25">
      <c r="A75" s="194" t="s">
        <v>73</v>
      </c>
      <c r="B75" s="200" t="s">
        <v>59</v>
      </c>
      <c r="C75" s="200"/>
      <c r="D75" s="203">
        <v>2E-3</v>
      </c>
      <c r="E75" s="199"/>
      <c r="F75" s="203">
        <v>2E-3</v>
      </c>
    </row>
    <row r="76" spans="1:6" x14ac:dyDescent="0.25">
      <c r="A76" s="194" t="s">
        <v>74</v>
      </c>
      <c r="B76" s="200" t="s">
        <v>59</v>
      </c>
      <c r="C76" s="200"/>
      <c r="D76" s="203">
        <v>8.3000000000000004E-2</v>
      </c>
      <c r="E76" s="199"/>
      <c r="F76" s="203">
        <v>8.3000000000000004E-2</v>
      </c>
    </row>
    <row r="77" spans="1:6" x14ac:dyDescent="0.25">
      <c r="A77" s="194" t="s">
        <v>75</v>
      </c>
      <c r="B77" s="200" t="s">
        <v>59</v>
      </c>
      <c r="C77" s="200"/>
      <c r="D77" s="203">
        <v>9.7000000000000003E-2</v>
      </c>
      <c r="E77" s="199"/>
      <c r="F77" s="203">
        <v>9.7000000000000003E-2</v>
      </c>
    </row>
    <row r="78" spans="1:6" x14ac:dyDescent="0.25">
      <c r="B78" s="200"/>
      <c r="C78" s="200"/>
      <c r="D78" s="199"/>
      <c r="E78" s="199"/>
      <c r="F78" s="199"/>
    </row>
    <row r="79" spans="1:6" x14ac:dyDescent="0.25">
      <c r="A79" s="190" t="s">
        <v>76</v>
      </c>
      <c r="B79" s="200"/>
      <c r="C79" s="200"/>
      <c r="D79" s="199"/>
      <c r="E79" s="201"/>
      <c r="F79" s="199"/>
    </row>
    <row r="80" spans="1:6" x14ac:dyDescent="0.25">
      <c r="A80" s="194" t="s">
        <v>77</v>
      </c>
      <c r="B80" s="200" t="s">
        <v>78</v>
      </c>
      <c r="C80" s="200"/>
      <c r="D80" s="203">
        <v>8.6400000000000005E-2</v>
      </c>
      <c r="E80" s="199"/>
      <c r="F80" s="203">
        <v>9.1700000000000004E-2</v>
      </c>
    </row>
    <row r="81" spans="1:6" x14ac:dyDescent="0.25">
      <c r="B81" s="200"/>
      <c r="C81" s="200"/>
      <c r="D81" s="199"/>
      <c r="E81" s="199"/>
      <c r="F81" s="199"/>
    </row>
    <row r="82" spans="1:6" x14ac:dyDescent="0.25">
      <c r="A82" s="190" t="s">
        <v>10</v>
      </c>
      <c r="B82" s="200"/>
      <c r="C82" s="200"/>
      <c r="D82" s="199"/>
      <c r="E82" s="199"/>
      <c r="F82" s="199"/>
    </row>
    <row r="83" spans="1:6" x14ac:dyDescent="0.25">
      <c r="A83" s="194" t="s">
        <v>40</v>
      </c>
      <c r="B83" s="200" t="s">
        <v>59</v>
      </c>
      <c r="C83" s="200"/>
      <c r="D83" s="199">
        <v>7.1999999999999995E-2</v>
      </c>
      <c r="E83" s="199"/>
      <c r="F83" s="199">
        <v>7.1999999999999995E-2</v>
      </c>
    </row>
    <row r="84" spans="1:6" x14ac:dyDescent="0.25">
      <c r="A84" s="194" t="s">
        <v>41</v>
      </c>
      <c r="B84" s="200" t="s">
        <v>59</v>
      </c>
      <c r="C84" s="200"/>
      <c r="D84" s="199">
        <v>0.109</v>
      </c>
      <c r="E84" s="199"/>
      <c r="F84" s="199">
        <v>0.109</v>
      </c>
    </row>
    <row r="85" spans="1:6" x14ac:dyDescent="0.25">
      <c r="A85" s="194" t="s">
        <v>42</v>
      </c>
      <c r="B85" s="200" t="s">
        <v>59</v>
      </c>
      <c r="C85" s="200"/>
      <c r="D85" s="199">
        <v>0.129</v>
      </c>
      <c r="E85" s="199"/>
      <c r="F85" s="199">
        <v>0.129</v>
      </c>
    </row>
    <row r="86" spans="1:6" x14ac:dyDescent="0.25">
      <c r="B86" s="200"/>
      <c r="C86" s="200"/>
      <c r="D86" s="199"/>
      <c r="E86" s="199"/>
      <c r="F86" s="199"/>
    </row>
    <row r="87" spans="1:6" x14ac:dyDescent="0.25">
      <c r="A87" s="194" t="s">
        <v>88</v>
      </c>
      <c r="B87" s="200" t="s">
        <v>59</v>
      </c>
      <c r="C87" s="200"/>
      <c r="D87" s="199">
        <v>8.949E-2</v>
      </c>
      <c r="E87" s="199"/>
      <c r="F87" s="199">
        <v>8.949E-2</v>
      </c>
    </row>
    <row r="88" spans="1:6" x14ac:dyDescent="0.25">
      <c r="A88" s="194" t="s">
        <v>89</v>
      </c>
      <c r="B88" s="200" t="s">
        <v>59</v>
      </c>
      <c r="C88" s="200"/>
      <c r="D88" s="199">
        <v>8.899E-2</v>
      </c>
      <c r="E88" s="199"/>
      <c r="F88" s="199">
        <v>8.899E-2</v>
      </c>
    </row>
    <row r="89" spans="1:6" x14ac:dyDescent="0.25">
      <c r="B89" s="200"/>
      <c r="C89" s="200"/>
      <c r="D89" s="199"/>
      <c r="E89" s="199"/>
      <c r="F89" s="199"/>
    </row>
    <row r="90" spans="1:6" x14ac:dyDescent="0.25">
      <c r="B90" s="207"/>
      <c r="C90" s="207"/>
      <c r="D90" s="198"/>
      <c r="E90" s="198"/>
      <c r="F90" s="198"/>
    </row>
    <row r="91" spans="1:6" x14ac:dyDescent="0.25">
      <c r="B91" s="207"/>
      <c r="C91" s="207"/>
      <c r="D91" s="198"/>
      <c r="E91" s="198"/>
      <c r="F91" s="198"/>
    </row>
    <row r="92" spans="1:6" x14ac:dyDescent="0.25">
      <c r="B92" s="207"/>
      <c r="C92" s="207"/>
      <c r="D92" s="198"/>
      <c r="E92" s="198"/>
      <c r="F92" s="198"/>
    </row>
  </sheetData>
  <pageMargins left="0.7" right="0.7" top="0.75" bottom="0.75" header="0.3" footer="0.3"/>
  <pageSetup scale="73" fitToHeight="0"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77"/>
  <sheetViews>
    <sheetView showGridLines="0" topLeftCell="A52" zoomScaleNormal="100" workbookViewId="0">
      <selection activeCell="Q33" sqref="Q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106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5" t="s">
        <v>13</v>
      </c>
      <c r="G20" s="216"/>
      <c r="H20" s="217"/>
      <c r="J20" s="215" t="s">
        <v>14</v>
      </c>
      <c r="K20" s="216"/>
      <c r="L20" s="217"/>
      <c r="N20" s="215" t="s">
        <v>15</v>
      </c>
      <c r="O20" s="217"/>
    </row>
    <row r="21" spans="2:15" x14ac:dyDescent="0.25">
      <c r="B21" s="15"/>
      <c r="D21" s="219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1" t="s">
        <v>20</v>
      </c>
      <c r="O21" s="223" t="s">
        <v>21</v>
      </c>
    </row>
    <row r="22" spans="2:15" x14ac:dyDescent="0.25">
      <c r="B22" s="15"/>
      <c r="D22" s="220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2"/>
      <c r="O22" s="224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24.03</v>
      </c>
      <c r="K23" s="33">
        <v>1</v>
      </c>
      <c r="L23" s="30">
        <f>K23*J23</f>
        <v>24.03</v>
      </c>
      <c r="M23" s="31"/>
      <c r="N23" s="34">
        <f>L23-H23</f>
        <v>0.87000000000000099</v>
      </c>
      <c r="O23" s="35">
        <f>IF((H23)=0,"",(N23/H23))</f>
        <v>3.7564766839378282E-2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ref="L25:L39" si="1">K25*J25</f>
        <v>0</v>
      </c>
      <c r="M25" s="31"/>
      <c r="N25" s="34">
        <f t="shared" ref="N25:N40" si="2">L25-H25</f>
        <v>0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3.3700000000000001E-2</v>
      </c>
      <c r="K29" s="29">
        <f>$F$18</f>
        <v>800</v>
      </c>
      <c r="L29" s="30">
        <f t="shared" si="1"/>
        <v>26.96</v>
      </c>
      <c r="M29" s="31"/>
      <c r="N29" s="34">
        <f t="shared" si="2"/>
        <v>0.96000000000000085</v>
      </c>
      <c r="O29" s="35">
        <f t="shared" si="3"/>
        <v>3.6923076923076954E-2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9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Rates!A10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Rates!D10</f>
        <v>0</v>
      </c>
      <c r="G31" s="29">
        <f>$F$18</f>
        <v>800</v>
      </c>
      <c r="H31" s="30">
        <f t="shared" si="0"/>
        <v>0</v>
      </c>
      <c r="I31" s="31"/>
      <c r="J31" s="32">
        <f>Rates!F10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Rates!A5</f>
        <v>Foregone Revenue Recovery (2013) - effective until December 31, 2014 (2014)</v>
      </c>
      <c r="C32" s="25"/>
      <c r="D32" s="63" t="s">
        <v>80</v>
      </c>
      <c r="E32" s="27"/>
      <c r="F32" s="32">
        <f>Rates!D5</f>
        <v>4.0000000000000002E-4</v>
      </c>
      <c r="G32" s="29">
        <f t="shared" ref="G32:G39" si="6">$F$18</f>
        <v>800</v>
      </c>
      <c r="H32" s="30">
        <f t="shared" si="0"/>
        <v>0.32</v>
      </c>
      <c r="I32" s="31"/>
      <c r="J32" s="32">
        <f>Rates!F5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Rates!A6</f>
        <v>Foregone Revenue Recovery (2014) - effective until December 31, 2014 (2014)</v>
      </c>
      <c r="C33" s="25"/>
      <c r="D33" s="63" t="s">
        <v>80</v>
      </c>
      <c r="E33" s="27"/>
      <c r="F33" s="32">
        <f>Rates!D6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Rates!F6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Rates!A7</f>
        <v>Tax Changes - effective until December 31, 2014</v>
      </c>
      <c r="C34" s="25"/>
      <c r="D34" s="63" t="s">
        <v>80</v>
      </c>
      <c r="E34" s="27"/>
      <c r="F34" s="32">
        <f>Rates!D7</f>
        <v>-1E-4</v>
      </c>
      <c r="G34" s="29">
        <f t="shared" si="6"/>
        <v>800</v>
      </c>
      <c r="H34" s="30">
        <f t="shared" si="0"/>
        <v>-0.08</v>
      </c>
      <c r="I34" s="31"/>
      <c r="J34" s="32">
        <f>Rates!F7</f>
        <v>0</v>
      </c>
      <c r="K34" s="29">
        <f t="shared" si="5"/>
        <v>800</v>
      </c>
      <c r="L34" s="30">
        <f t="shared" si="1"/>
        <v>0</v>
      </c>
      <c r="M34" s="31"/>
      <c r="N34" s="34">
        <f t="shared" si="2"/>
        <v>0.08</v>
      </c>
      <c r="O34" s="35">
        <f t="shared" si="3"/>
        <v>-1</v>
      </c>
    </row>
    <row r="35" spans="2:15" ht="45" x14ac:dyDescent="0.25">
      <c r="B35" s="183" t="str">
        <f>Rates!A11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Rates!D11</f>
        <v>0</v>
      </c>
      <c r="G35" s="29">
        <f t="shared" si="6"/>
        <v>800</v>
      </c>
      <c r="H35" s="30">
        <f t="shared" si="0"/>
        <v>0</v>
      </c>
      <c r="I35" s="31"/>
      <c r="J35" s="32">
        <f>Rates!F11</f>
        <v>-1.9E-3</v>
      </c>
      <c r="K35" s="29">
        <f t="shared" si="5"/>
        <v>800</v>
      </c>
      <c r="L35" s="30">
        <f t="shared" si="1"/>
        <v>-1.52</v>
      </c>
      <c r="M35" s="31"/>
      <c r="N35" s="34">
        <f t="shared" si="2"/>
        <v>-1.52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49.72</v>
      </c>
      <c r="I40" s="44"/>
      <c r="J40" s="45"/>
      <c r="K40" s="46"/>
      <c r="L40" s="43">
        <f>SUM(L23:L39)</f>
        <v>49.629999999999995</v>
      </c>
      <c r="M40" s="44"/>
      <c r="N40" s="47">
        <f t="shared" si="2"/>
        <v>-9.0000000000003411E-2</v>
      </c>
      <c r="O40" s="48">
        <f t="shared" si="3"/>
        <v>-1.810136765889047E-3</v>
      </c>
    </row>
    <row r="41" spans="2:15" ht="38.25" x14ac:dyDescent="0.25">
      <c r="B41" s="50" t="str">
        <f>Rates!A8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Rates!D8</f>
        <v>0</v>
      </c>
      <c r="G41" s="29">
        <f>$F$18</f>
        <v>800</v>
      </c>
      <c r="H41" s="30">
        <f>G41*F41</f>
        <v>0</v>
      </c>
      <c r="I41" s="31"/>
      <c r="J41" s="32">
        <f>Rates!F8</f>
        <v>-1.29E-2</v>
      </c>
      <c r="K41" s="29">
        <f>$F$18</f>
        <v>800</v>
      </c>
      <c r="L41" s="30">
        <f>K41*J41</f>
        <v>-10.32</v>
      </c>
      <c r="M41" s="31"/>
      <c r="N41" s="34">
        <f>L41-H41</f>
        <v>-10.32</v>
      </c>
      <c r="O41" s="35" t="str">
        <f>IF((H41)=0,"",(N41/H41))</f>
        <v/>
      </c>
    </row>
    <row r="42" spans="2:15" ht="38.25" x14ac:dyDescent="0.25">
      <c r="B42" s="50" t="str">
        <f>Rates!A9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Rates!D9</f>
        <v>0</v>
      </c>
      <c r="G42" s="29">
        <f t="shared" ref="G42:G45" si="9">$F$18</f>
        <v>800</v>
      </c>
      <c r="H42" s="30">
        <f t="shared" ref="H42:H46" si="10">G42*F42</f>
        <v>0</v>
      </c>
      <c r="I42" s="51"/>
      <c r="J42" s="32">
        <v>0</v>
      </c>
      <c r="K42" s="29">
        <f t="shared" ref="K42:K45" si="11">$F$18</f>
        <v>800</v>
      </c>
      <c r="L42" s="30">
        <f t="shared" ref="L42:L46" si="12">K42*J42</f>
        <v>0</v>
      </c>
      <c r="M42" s="52"/>
      <c r="N42" s="34">
        <f t="shared" ref="N42:N46" si="13">L42-H42</f>
        <v>0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9"/>
        <v>800</v>
      </c>
      <c r="H43" s="30">
        <f t="shared" si="10"/>
        <v>0</v>
      </c>
      <c r="I43" s="51"/>
      <c r="J43" s="32"/>
      <c r="K43" s="29">
        <f t="shared" si="11"/>
        <v>800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9"/>
        <v>800</v>
      </c>
      <c r="H44" s="30">
        <f t="shared" si="10"/>
        <v>0</v>
      </c>
      <c r="I44" s="51"/>
      <c r="J44" s="32"/>
      <c r="K44" s="29">
        <f t="shared" si="11"/>
        <v>800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9"/>
        <v>800</v>
      </c>
      <c r="H45" s="30">
        <f>G45*F45</f>
        <v>0</v>
      </c>
      <c r="I45" s="31"/>
      <c r="J45" s="32"/>
      <c r="K45" s="29">
        <f t="shared" si="11"/>
        <v>800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IF(ISBLANK(D16)=TRUE, 0, IF(D16="TOU", 0.64*$F$56+0.18*$F$57+0.18*$F$58, IF(AND(D16="non-TOU", G60&gt;0), F60,F59)))</f>
        <v>8.8919999999999999E-2</v>
      </c>
      <c r="G46" s="55">
        <f>$F$18*(1+$F$75)-$F$18</f>
        <v>69.12</v>
      </c>
      <c r="H46" s="30">
        <f t="shared" si="10"/>
        <v>6.1461504000000007</v>
      </c>
      <c r="I46" s="31"/>
      <c r="J46" s="56">
        <f>0.64*$F$56+0.18*$F$57+0.18*$F$58</f>
        <v>8.8919999999999999E-2</v>
      </c>
      <c r="K46" s="55">
        <f>$F$18*(1+$J$75)-$F$18</f>
        <v>73.3599999999999</v>
      </c>
      <c r="L46" s="30">
        <f t="shared" si="12"/>
        <v>6.5231711999999913</v>
      </c>
      <c r="M46" s="31"/>
      <c r="N46" s="34">
        <f t="shared" si="13"/>
        <v>0.37702079999999061</v>
      </c>
      <c r="O46" s="35">
        <f t="shared" si="14"/>
        <v>6.1342592592591061E-2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Rates!D16</f>
        <v>0.79</v>
      </c>
      <c r="G47" s="29">
        <v>1</v>
      </c>
      <c r="H47" s="30">
        <f>G47*F47</f>
        <v>0.79</v>
      </c>
      <c r="I47" s="31"/>
      <c r="J47" s="54">
        <f>Rates!F16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56.656150400000001</v>
      </c>
      <c r="I48" s="44"/>
      <c r="J48" s="60"/>
      <c r="K48" s="62"/>
      <c r="L48" s="61">
        <f>SUM(L41:L47)+L40</f>
        <v>46.623171199999987</v>
      </c>
      <c r="M48" s="44"/>
      <c r="N48" s="47">
        <f t="shared" ref="N48:N66" si="15">L48-H48</f>
        <v>-10.032979200000014</v>
      </c>
      <c r="O48" s="48">
        <f t="shared" ref="O48:O66" si="16">IF((H48)=0,"",(N48/H48))</f>
        <v>-0.17708543784153774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Rates!D12</f>
        <v>7.0000000000000001E-3</v>
      </c>
      <c r="G49" s="65">
        <f>F18*(1+F75)</f>
        <v>869.12</v>
      </c>
      <c r="H49" s="30">
        <f>G49*F49</f>
        <v>6.0838400000000004</v>
      </c>
      <c r="I49" s="31"/>
      <c r="J49" s="32">
        <f>Rates!F12</f>
        <v>7.1999999999999998E-3</v>
      </c>
      <c r="K49" s="66">
        <f>F18*(1+J75)</f>
        <v>873.3599999999999</v>
      </c>
      <c r="L49" s="30">
        <f>K49*J49</f>
        <v>6.2881919999999987</v>
      </c>
      <c r="M49" s="31"/>
      <c r="N49" s="34">
        <f t="shared" si="15"/>
        <v>0.20435199999999831</v>
      </c>
      <c r="O49" s="35">
        <f t="shared" si="16"/>
        <v>3.3589312013464899E-2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Rates!D13</f>
        <v>5.1000000000000004E-3</v>
      </c>
      <c r="G50" s="65">
        <f>G49</f>
        <v>869.12</v>
      </c>
      <c r="H50" s="30">
        <f>G50*F50</f>
        <v>4.432512</v>
      </c>
      <c r="I50" s="31"/>
      <c r="J50" s="32">
        <f>Rates!F13</f>
        <v>5.1999999999999998E-3</v>
      </c>
      <c r="K50" s="66">
        <f>K49</f>
        <v>873.3599999999999</v>
      </c>
      <c r="L50" s="30">
        <f>K50*J50</f>
        <v>4.5414719999999988</v>
      </c>
      <c r="M50" s="31"/>
      <c r="N50" s="34">
        <f t="shared" si="15"/>
        <v>0.10895999999999884</v>
      </c>
      <c r="O50" s="35">
        <f t="shared" si="16"/>
        <v>2.4581997747552365E-2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67.172502399999999</v>
      </c>
      <c r="I51" s="69"/>
      <c r="J51" s="70"/>
      <c r="K51" s="71"/>
      <c r="L51" s="61">
        <f>SUM(L48:L50)</f>
        <v>57.452835199999981</v>
      </c>
      <c r="M51" s="69"/>
      <c r="N51" s="47">
        <f t="shared" si="15"/>
        <v>-9.7196672000000177</v>
      </c>
      <c r="O51" s="48">
        <f t="shared" si="16"/>
        <v>-0.14469711344265801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Rates!D14</f>
        <v>4.4000000000000003E-3</v>
      </c>
      <c r="G52" s="65">
        <f>G50</f>
        <v>869.12</v>
      </c>
      <c r="H52" s="74">
        <f t="shared" ref="H52:H58" si="17">G52*F52</f>
        <v>3.8241280000000004</v>
      </c>
      <c r="I52" s="31"/>
      <c r="J52" s="75">
        <f>Rates!F14</f>
        <v>4.4000000000000003E-3</v>
      </c>
      <c r="K52" s="66">
        <f>K50</f>
        <v>873.3599999999999</v>
      </c>
      <c r="L52" s="74">
        <f t="shared" ref="L52:L58" si="18">K52*J52</f>
        <v>3.842784</v>
      </c>
      <c r="M52" s="31"/>
      <c r="N52" s="34">
        <f t="shared" si="15"/>
        <v>1.8655999999999562E-2</v>
      </c>
      <c r="O52" s="76">
        <f t="shared" si="16"/>
        <v>4.8784977908688095E-3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Rates!D15</f>
        <v>1.2999999999999999E-3</v>
      </c>
      <c r="G53" s="65">
        <f>G50</f>
        <v>869.12</v>
      </c>
      <c r="H53" s="74">
        <f t="shared" si="17"/>
        <v>1.129856</v>
      </c>
      <c r="I53" s="31"/>
      <c r="J53" s="75">
        <f>Rates!F15</f>
        <v>1.2999999999999999E-3</v>
      </c>
      <c r="K53" s="66">
        <f>K50</f>
        <v>873.3599999999999</v>
      </c>
      <c r="L53" s="74">
        <f t="shared" si="18"/>
        <v>1.1353679999999997</v>
      </c>
      <c r="M53" s="31"/>
      <c r="N53" s="34">
        <f t="shared" si="15"/>
        <v>5.5119999999997393E-3</v>
      </c>
      <c r="O53" s="76">
        <f t="shared" si="16"/>
        <v>4.8784977908686942E-3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Rates!D17</f>
        <v>0.25</v>
      </c>
      <c r="G54" s="29">
        <v>1</v>
      </c>
      <c r="H54" s="74">
        <f t="shared" si="17"/>
        <v>0.25</v>
      </c>
      <c r="I54" s="31"/>
      <c r="J54" s="75">
        <f>Rates!F17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Rates!D75</f>
        <v>2E-3</v>
      </c>
      <c r="G55" s="77">
        <f>F18</f>
        <v>800</v>
      </c>
      <c r="H55" s="74">
        <f t="shared" si="17"/>
        <v>1.6</v>
      </c>
      <c r="I55" s="31"/>
      <c r="J55" s="75">
        <f>Rates!F75</f>
        <v>2E-3</v>
      </c>
      <c r="K55" s="78">
        <f>F18</f>
        <v>800</v>
      </c>
      <c r="L55" s="74">
        <f t="shared" si="18"/>
        <v>1.6</v>
      </c>
      <c r="M55" s="31"/>
      <c r="N55" s="34">
        <f t="shared" si="15"/>
        <v>0</v>
      </c>
      <c r="O55" s="76">
        <f t="shared" si="16"/>
        <v>0</v>
      </c>
    </row>
    <row r="56" spans="2:19" x14ac:dyDescent="0.25">
      <c r="B56" s="53" t="s">
        <v>40</v>
      </c>
      <c r="C56" s="25"/>
      <c r="D56" s="26" t="s">
        <v>80</v>
      </c>
      <c r="E56" s="27"/>
      <c r="F56" s="79">
        <f>Rates!D83</f>
        <v>7.1999999999999995E-2</v>
      </c>
      <c r="G56" s="80">
        <f>0.64*$F$18</f>
        <v>512</v>
      </c>
      <c r="H56" s="74">
        <f t="shared" si="17"/>
        <v>36.863999999999997</v>
      </c>
      <c r="I56" s="31"/>
      <c r="J56" s="73">
        <f>Rates!F83</f>
        <v>7.1999999999999995E-2</v>
      </c>
      <c r="K56" s="80">
        <f>G56</f>
        <v>512</v>
      </c>
      <c r="L56" s="74">
        <f t="shared" si="18"/>
        <v>36.863999999999997</v>
      </c>
      <c r="M56" s="31"/>
      <c r="N56" s="34">
        <f t="shared" si="15"/>
        <v>0</v>
      </c>
      <c r="O56" s="76">
        <f t="shared" si="16"/>
        <v>0</v>
      </c>
      <c r="S56" s="81"/>
    </row>
    <row r="57" spans="2:19" x14ac:dyDescent="0.25">
      <c r="B57" s="53" t="s">
        <v>41</v>
      </c>
      <c r="C57" s="25"/>
      <c r="D57" s="26" t="s">
        <v>80</v>
      </c>
      <c r="E57" s="27"/>
      <c r="F57" s="79">
        <f>Rates!D84</f>
        <v>0.109</v>
      </c>
      <c r="G57" s="80">
        <f>0.18*$F$18</f>
        <v>144</v>
      </c>
      <c r="H57" s="74">
        <f t="shared" si="17"/>
        <v>15.696</v>
      </c>
      <c r="I57" s="31"/>
      <c r="J57" s="73">
        <f>Rates!F84</f>
        <v>0.109</v>
      </c>
      <c r="K57" s="80">
        <f>G57</f>
        <v>144</v>
      </c>
      <c r="L57" s="74">
        <f t="shared" si="18"/>
        <v>15.696</v>
      </c>
      <c r="M57" s="31"/>
      <c r="N57" s="34">
        <f t="shared" si="15"/>
        <v>0</v>
      </c>
      <c r="O57" s="76">
        <f t="shared" si="16"/>
        <v>0</v>
      </c>
      <c r="S57" s="81"/>
    </row>
    <row r="58" spans="2:19" x14ac:dyDescent="0.25">
      <c r="B58" s="15" t="s">
        <v>42</v>
      </c>
      <c r="C58" s="25"/>
      <c r="D58" s="26" t="s">
        <v>80</v>
      </c>
      <c r="E58" s="27"/>
      <c r="F58" s="79">
        <f>Rates!D85</f>
        <v>0.129</v>
      </c>
      <c r="G58" s="80">
        <f>0.18*$F$18</f>
        <v>144</v>
      </c>
      <c r="H58" s="74">
        <f t="shared" si="17"/>
        <v>18.576000000000001</v>
      </c>
      <c r="I58" s="31"/>
      <c r="J58" s="73">
        <f>Rates!F85</f>
        <v>0.129</v>
      </c>
      <c r="K58" s="80">
        <f>G58</f>
        <v>144</v>
      </c>
      <c r="L58" s="74">
        <f t="shared" si="18"/>
        <v>18.576000000000001</v>
      </c>
      <c r="M58" s="31"/>
      <c r="N58" s="34">
        <f t="shared" si="15"/>
        <v>0</v>
      </c>
      <c r="O58" s="76">
        <f t="shared" si="16"/>
        <v>0</v>
      </c>
      <c r="S58" s="81"/>
    </row>
    <row r="59" spans="2:19" s="89" customFormat="1" x14ac:dyDescent="0.2">
      <c r="B59" s="82" t="s">
        <v>43</v>
      </c>
      <c r="C59" s="83"/>
      <c r="D59" s="84" t="s">
        <v>80</v>
      </c>
      <c r="E59" s="85"/>
      <c r="F59" s="79">
        <f>Rates!D76</f>
        <v>8.3000000000000004E-2</v>
      </c>
      <c r="G59" s="86">
        <f>IF(AND($T$1=1, F18&gt;=600), 600, IF(AND($T$1=1, AND(F18&lt;600, F18&gt;=0)), F18, IF(AND($T$1=2, F18&gt;=1000), 1000, IF(AND($T$1=2, AND(F18&lt;1000, F18&gt;=0)), F18))))</f>
        <v>600</v>
      </c>
      <c r="H59" s="74">
        <f>G59*F59</f>
        <v>49.800000000000004</v>
      </c>
      <c r="I59" s="87"/>
      <c r="J59" s="73">
        <f>Rates!F76</f>
        <v>8.3000000000000004E-2</v>
      </c>
      <c r="K59" s="86">
        <f>G59</f>
        <v>600</v>
      </c>
      <c r="L59" s="74">
        <f>K59*J59</f>
        <v>49.800000000000004</v>
      </c>
      <c r="M59" s="87"/>
      <c r="N59" s="88">
        <f t="shared" si="15"/>
        <v>0</v>
      </c>
      <c r="O59" s="76">
        <f t="shared" si="16"/>
        <v>0</v>
      </c>
    </row>
    <row r="60" spans="2:19" s="89" customFormat="1" ht="15.75" thickBot="1" x14ac:dyDescent="0.25">
      <c r="B60" s="82" t="s">
        <v>44</v>
      </c>
      <c r="C60" s="83"/>
      <c r="D60" s="84" t="s">
        <v>80</v>
      </c>
      <c r="E60" s="85"/>
      <c r="F60" s="79">
        <f>Rates!D77</f>
        <v>9.7000000000000003E-2</v>
      </c>
      <c r="G60" s="86">
        <f>IF(AND($T$1=1, F18&gt;=600), F18-600, IF(AND($T$1=1, AND(F18&lt;600, F18&gt;=0)), 0, IF(AND($T$1=2, F18&gt;=1000), F18-1000, IF(AND($T$1=2, AND(F18&lt;1000, F18&gt;=0)), 0))))</f>
        <v>200</v>
      </c>
      <c r="H60" s="74">
        <f>G60*F60</f>
        <v>19.400000000000002</v>
      </c>
      <c r="I60" s="87"/>
      <c r="J60" s="73">
        <f>Rates!F77</f>
        <v>9.7000000000000003E-2</v>
      </c>
      <c r="K60" s="86">
        <f>G60</f>
        <v>200</v>
      </c>
      <c r="L60" s="74">
        <f>K60*J60</f>
        <v>19.400000000000002</v>
      </c>
      <c r="M60" s="87"/>
      <c r="N60" s="88">
        <f t="shared" si="15"/>
        <v>0</v>
      </c>
      <c r="O60" s="76">
        <f t="shared" si="16"/>
        <v>0</v>
      </c>
    </row>
    <row r="61" spans="2:19" ht="15.75" thickBot="1" x14ac:dyDescent="0.3">
      <c r="B61" s="90"/>
      <c r="C61" s="91"/>
      <c r="D61" s="92"/>
      <c r="E61" s="91"/>
      <c r="F61" s="93"/>
      <c r="G61" s="94"/>
      <c r="H61" s="95"/>
      <c r="I61" s="96"/>
      <c r="J61" s="93"/>
      <c r="K61" s="97"/>
      <c r="L61" s="95"/>
      <c r="M61" s="96"/>
      <c r="N61" s="98"/>
      <c r="O61" s="99"/>
    </row>
    <row r="62" spans="2:19" x14ac:dyDescent="0.25">
      <c r="B62" s="100" t="s">
        <v>45</v>
      </c>
      <c r="C62" s="25"/>
      <c r="D62" s="25"/>
      <c r="E62" s="25"/>
      <c r="F62" s="101"/>
      <c r="G62" s="102"/>
      <c r="H62" s="103">
        <f>SUM(H52:H58,H51)</f>
        <v>145.11248639999999</v>
      </c>
      <c r="I62" s="104"/>
      <c r="J62" s="105"/>
      <c r="K62" s="105"/>
      <c r="L62" s="181">
        <f>SUM(L52:L58,L51)</f>
        <v>135.41698719999997</v>
      </c>
      <c r="M62" s="106"/>
      <c r="N62" s="107">
        <f t="shared" ref="N62" si="19">L62-H62</f>
        <v>-9.6954992000000288</v>
      </c>
      <c r="O62" s="108">
        <f t="shared" ref="O62" si="20">IF((H62)=0,"",(N62/H62))</f>
        <v>-6.6813679790962699E-2</v>
      </c>
      <c r="S62" s="81"/>
    </row>
    <row r="63" spans="2:19" x14ac:dyDescent="0.25">
      <c r="B63" s="109" t="s">
        <v>46</v>
      </c>
      <c r="C63" s="25"/>
      <c r="D63" s="25"/>
      <c r="E63" s="25"/>
      <c r="F63" s="110">
        <v>0.13</v>
      </c>
      <c r="G63" s="111"/>
      <c r="H63" s="112">
        <f>H62*F63</f>
        <v>18.864623232</v>
      </c>
      <c r="I63" s="113"/>
      <c r="J63" s="114">
        <v>0.13</v>
      </c>
      <c r="K63" s="113"/>
      <c r="L63" s="115">
        <f>L62*J63</f>
        <v>17.604208335999996</v>
      </c>
      <c r="M63" s="116"/>
      <c r="N63" s="117">
        <f t="shared" si="15"/>
        <v>-1.2604148960000039</v>
      </c>
      <c r="O63" s="118">
        <f t="shared" si="16"/>
        <v>-6.6813679790962699E-2</v>
      </c>
      <c r="S63" s="81"/>
    </row>
    <row r="64" spans="2:19" x14ac:dyDescent="0.25">
      <c r="B64" s="119" t="s">
        <v>52</v>
      </c>
      <c r="C64" s="25"/>
      <c r="D64" s="25"/>
      <c r="E64" s="25"/>
      <c r="F64" s="120"/>
      <c r="G64" s="111"/>
      <c r="H64" s="112">
        <f>H62+H63</f>
        <v>163.97710963200001</v>
      </c>
      <c r="I64" s="113"/>
      <c r="J64" s="113"/>
      <c r="K64" s="113"/>
      <c r="L64" s="115">
        <f>L62+L63</f>
        <v>153.02119553599996</v>
      </c>
      <c r="M64" s="116"/>
      <c r="N64" s="117">
        <f t="shared" si="15"/>
        <v>-10.955914096000043</v>
      </c>
      <c r="O64" s="118">
        <f t="shared" si="16"/>
        <v>-6.6813679790962754E-2</v>
      </c>
      <c r="S64" s="81"/>
    </row>
    <row r="65" spans="1:15" x14ac:dyDescent="0.25">
      <c r="B65" s="225" t="s">
        <v>53</v>
      </c>
      <c r="C65" s="225"/>
      <c r="D65" s="225"/>
      <c r="E65" s="25"/>
      <c r="F65" s="120"/>
      <c r="G65" s="111"/>
      <c r="H65" s="121">
        <f>ROUND(-H64*10%,2)</f>
        <v>-16.399999999999999</v>
      </c>
      <c r="I65" s="113"/>
      <c r="J65" s="113"/>
      <c r="K65" s="113"/>
      <c r="L65" s="122">
        <f>ROUND(-L64*10%,2)</f>
        <v>-15.3</v>
      </c>
      <c r="M65" s="116"/>
      <c r="N65" s="123">
        <f t="shared" si="15"/>
        <v>1.0999999999999979</v>
      </c>
      <c r="O65" s="124">
        <f t="shared" si="16"/>
        <v>-6.7073170731707196E-2</v>
      </c>
    </row>
    <row r="66" spans="1:15" ht="15.75" thickBot="1" x14ac:dyDescent="0.3">
      <c r="B66" s="226" t="s">
        <v>47</v>
      </c>
      <c r="C66" s="226"/>
      <c r="D66" s="226"/>
      <c r="E66" s="125"/>
      <c r="F66" s="126"/>
      <c r="G66" s="127"/>
      <c r="H66" s="128">
        <f>H64+H65</f>
        <v>147.577109632</v>
      </c>
      <c r="I66" s="129"/>
      <c r="J66" s="129"/>
      <c r="K66" s="129"/>
      <c r="L66" s="130">
        <f>L64+L65</f>
        <v>137.72119553599995</v>
      </c>
      <c r="M66" s="131"/>
      <c r="N66" s="132">
        <f t="shared" si="15"/>
        <v>-9.8559140960000491</v>
      </c>
      <c r="O66" s="133">
        <f t="shared" si="16"/>
        <v>-6.6784842992093224E-2</v>
      </c>
    </row>
    <row r="67" spans="1:15" s="89" customFormat="1" ht="15.75" thickBot="1" x14ac:dyDescent="0.25">
      <c r="B67" s="134"/>
      <c r="C67" s="135"/>
      <c r="D67" s="136"/>
      <c r="E67" s="135"/>
      <c r="F67" s="93"/>
      <c r="G67" s="137"/>
      <c r="H67" s="95"/>
      <c r="I67" s="138"/>
      <c r="J67" s="93"/>
      <c r="K67" s="139"/>
      <c r="L67" s="95"/>
      <c r="M67" s="138"/>
      <c r="N67" s="140"/>
      <c r="O67" s="99"/>
    </row>
    <row r="68" spans="1:15" s="89" customFormat="1" ht="12.75" x14ac:dyDescent="0.2">
      <c r="B68" s="141" t="s">
        <v>48</v>
      </c>
      <c r="C68" s="83"/>
      <c r="D68" s="83"/>
      <c r="E68" s="83"/>
      <c r="F68" s="142"/>
      <c r="G68" s="143"/>
      <c r="H68" s="144">
        <f>SUM(H59:H60,H51,H52:H55)</f>
        <v>143.17648639999999</v>
      </c>
      <c r="I68" s="145"/>
      <c r="J68" s="146"/>
      <c r="K68" s="146"/>
      <c r="L68" s="182">
        <f>SUM(L59:L60,L51,L52:L55)</f>
        <v>133.48098719999999</v>
      </c>
      <c r="M68" s="147"/>
      <c r="N68" s="148">
        <f t="shared" ref="N68:N72" si="21">L68-H68</f>
        <v>-9.6954992000000004</v>
      </c>
      <c r="O68" s="108">
        <f t="shared" ref="O68:O72" si="22">IF((H68)=0,"",(N68/H68))</f>
        <v>-6.7717119226638603E-2</v>
      </c>
    </row>
    <row r="69" spans="1:15" s="89" customFormat="1" ht="12.75" x14ac:dyDescent="0.2">
      <c r="B69" s="149" t="s">
        <v>46</v>
      </c>
      <c r="C69" s="83"/>
      <c r="D69" s="83"/>
      <c r="E69" s="83"/>
      <c r="F69" s="150">
        <v>0.13</v>
      </c>
      <c r="G69" s="143"/>
      <c r="H69" s="151">
        <f>H68*F69</f>
        <v>18.612943231999999</v>
      </c>
      <c r="I69" s="152"/>
      <c r="J69" s="153">
        <v>0.13</v>
      </c>
      <c r="K69" s="154"/>
      <c r="L69" s="155">
        <f>L68*J69</f>
        <v>17.352528335999999</v>
      </c>
      <c r="M69" s="156"/>
      <c r="N69" s="157">
        <f t="shared" si="21"/>
        <v>-1.2604148960000003</v>
      </c>
      <c r="O69" s="118">
        <f t="shared" si="22"/>
        <v>-6.7717119226638617E-2</v>
      </c>
    </row>
    <row r="70" spans="1:15" s="89" customFormat="1" ht="12.75" x14ac:dyDescent="0.2">
      <c r="B70" s="158" t="s">
        <v>52</v>
      </c>
      <c r="C70" s="83"/>
      <c r="D70" s="83"/>
      <c r="E70" s="83"/>
      <c r="F70" s="159"/>
      <c r="G70" s="160"/>
      <c r="H70" s="151">
        <f>H68+H69</f>
        <v>161.78942963199998</v>
      </c>
      <c r="I70" s="152"/>
      <c r="J70" s="152"/>
      <c r="K70" s="152"/>
      <c r="L70" s="155">
        <f>L68+L69</f>
        <v>150.83351553599999</v>
      </c>
      <c r="M70" s="156"/>
      <c r="N70" s="157">
        <f t="shared" si="21"/>
        <v>-10.955914095999987</v>
      </c>
      <c r="O70" s="118">
        <f t="shared" si="22"/>
        <v>-6.771711922663852E-2</v>
      </c>
    </row>
    <row r="71" spans="1:15" s="89" customFormat="1" ht="12.75" x14ac:dyDescent="0.2">
      <c r="B71" s="227" t="s">
        <v>53</v>
      </c>
      <c r="C71" s="227"/>
      <c r="D71" s="227"/>
      <c r="E71" s="83"/>
      <c r="F71" s="159"/>
      <c r="G71" s="160"/>
      <c r="H71" s="161">
        <f>ROUND(-H70*10%,2)</f>
        <v>-16.18</v>
      </c>
      <c r="I71" s="152"/>
      <c r="J71" s="152"/>
      <c r="K71" s="152"/>
      <c r="L71" s="162">
        <f>ROUND(-L70*10%,2)</f>
        <v>-15.08</v>
      </c>
      <c r="M71" s="156"/>
      <c r="N71" s="163">
        <f t="shared" si="21"/>
        <v>1.0999999999999996</v>
      </c>
      <c r="O71" s="124">
        <f t="shared" si="22"/>
        <v>-6.7985166872682301E-2</v>
      </c>
    </row>
    <row r="72" spans="1:15" s="89" customFormat="1" ht="13.5" thickBot="1" x14ac:dyDescent="0.25">
      <c r="B72" s="218" t="s">
        <v>49</v>
      </c>
      <c r="C72" s="218"/>
      <c r="D72" s="218"/>
      <c r="E72" s="164"/>
      <c r="F72" s="165"/>
      <c r="G72" s="166"/>
      <c r="H72" s="167">
        <f>SUM(H70:H71)</f>
        <v>145.60942963199997</v>
      </c>
      <c r="I72" s="168"/>
      <c r="J72" s="168"/>
      <c r="K72" s="168"/>
      <c r="L72" s="169">
        <f>SUM(L70:L71)</f>
        <v>135.75351553599998</v>
      </c>
      <c r="M72" s="170"/>
      <c r="N72" s="171">
        <f t="shared" si="21"/>
        <v>-9.8559140959999922</v>
      </c>
      <c r="O72" s="172">
        <f t="shared" si="22"/>
        <v>-6.7687333992784204E-2</v>
      </c>
    </row>
    <row r="73" spans="1:15" s="89" customFormat="1" ht="15.75" thickBot="1" x14ac:dyDescent="0.25">
      <c r="B73" s="134"/>
      <c r="C73" s="135"/>
      <c r="D73" s="136"/>
      <c r="E73" s="135"/>
      <c r="F73" s="173"/>
      <c r="G73" s="174"/>
      <c r="H73" s="175"/>
      <c r="I73" s="176"/>
      <c r="J73" s="173"/>
      <c r="K73" s="137"/>
      <c r="L73" s="177"/>
      <c r="M73" s="138"/>
      <c r="N73" s="178"/>
      <c r="O73" s="99"/>
    </row>
    <row r="74" spans="1:15" x14ac:dyDescent="0.25">
      <c r="L74" s="81"/>
    </row>
    <row r="75" spans="1:15" x14ac:dyDescent="0.25">
      <c r="B75" s="16" t="s">
        <v>50</v>
      </c>
      <c r="F75" s="179">
        <f>Rates!D80</f>
        <v>8.6400000000000005E-2</v>
      </c>
      <c r="J75" s="179">
        <f>Rates!F80</f>
        <v>9.1700000000000004E-2</v>
      </c>
    </row>
    <row r="77" spans="1:15" x14ac:dyDescent="0.25">
      <c r="A77" s="180"/>
      <c r="B77" s="10" t="s">
        <v>51</v>
      </c>
    </row>
  </sheetData>
  <mergeCells count="14">
    <mergeCell ref="B72:D72"/>
    <mergeCell ref="D21:D22"/>
    <mergeCell ref="N21:N22"/>
    <mergeCell ref="O21:O22"/>
    <mergeCell ref="B65:D65"/>
    <mergeCell ref="B66:D66"/>
    <mergeCell ref="B71:D71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3 E67 E49:E50 E41:E47 E23:E39 E52:E61">
      <formula1>#REF!</formula1>
    </dataValidation>
    <dataValidation type="list" allowBlank="1" showInputMessage="1" showErrorMessage="1" prompt="Select Charge Unit - monthly, per kWh, per kW" sqref="D49:D50 D41:D47 D67 D23:D39 D73 D52:D61">
      <formula1>"Monthly, per kWh, per kW"</formula1>
    </dataValidation>
  </dataValidations>
  <pageMargins left="0.7" right="0.7" top="0.75" bottom="0.75" header="0.3" footer="0.3"/>
  <pageSetup scale="5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6"/>
  <sheetViews>
    <sheetView showGridLines="0" topLeftCell="A10" zoomScaleNormal="100" workbookViewId="0">
      <selection activeCell="N40" sqref="N40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107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5" t="s">
        <v>13</v>
      </c>
      <c r="G20" s="216"/>
      <c r="H20" s="217"/>
      <c r="J20" s="215" t="s">
        <v>14</v>
      </c>
      <c r="K20" s="216"/>
      <c r="L20" s="217"/>
      <c r="N20" s="215" t="s">
        <v>15</v>
      </c>
      <c r="O20" s="217"/>
    </row>
    <row r="21" spans="2:15" x14ac:dyDescent="0.25">
      <c r="B21" s="15"/>
      <c r="D21" s="219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1" t="s">
        <v>20</v>
      </c>
      <c r="O21" s="223" t="s">
        <v>21</v>
      </c>
    </row>
    <row r="22" spans="2:15" x14ac:dyDescent="0.25">
      <c r="B22" s="15"/>
      <c r="D22" s="220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2"/>
      <c r="O22" s="224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24.03</v>
      </c>
      <c r="K23" s="33">
        <v>1</v>
      </c>
      <c r="L23" s="30">
        <f>K23*J23</f>
        <v>24.03</v>
      </c>
      <c r="M23" s="31"/>
      <c r="N23" s="34">
        <f>L23-H23</f>
        <v>0.87000000000000099</v>
      </c>
      <c r="O23" s="35">
        <f>IF((H23)=0,"",(N23/H23))</f>
        <v>3.7564766839378282E-2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ref="L25:L39" si="1">K25*J25</f>
        <v>0</v>
      </c>
      <c r="M25" s="31"/>
      <c r="N25" s="34">
        <f t="shared" ref="N25:N40" si="2">L25-H25</f>
        <v>0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3.3700000000000001E-2</v>
      </c>
      <c r="K29" s="29">
        <f>$F$18</f>
        <v>800</v>
      </c>
      <c r="L29" s="30">
        <f t="shared" si="1"/>
        <v>26.96</v>
      </c>
      <c r="M29" s="31"/>
      <c r="N29" s="34">
        <f t="shared" si="2"/>
        <v>0.96000000000000085</v>
      </c>
      <c r="O29" s="35">
        <f t="shared" si="3"/>
        <v>3.6923076923076954E-2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9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Rates!A10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Rates!D10</f>
        <v>0</v>
      </c>
      <c r="G31" s="29">
        <f>$F$18</f>
        <v>800</v>
      </c>
      <c r="H31" s="30">
        <f t="shared" si="0"/>
        <v>0</v>
      </c>
      <c r="I31" s="31"/>
      <c r="J31" s="32">
        <f>Rates!F10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Rates!A5</f>
        <v>Foregone Revenue Recovery (2013) - effective until December 31, 2014 (2014)</v>
      </c>
      <c r="C32" s="25"/>
      <c r="D32" s="63" t="s">
        <v>80</v>
      </c>
      <c r="E32" s="27"/>
      <c r="F32" s="32">
        <f>Rates!D5</f>
        <v>4.0000000000000002E-4</v>
      </c>
      <c r="G32" s="29">
        <f t="shared" ref="G32:G39" si="6">$F$18</f>
        <v>800</v>
      </c>
      <c r="H32" s="30">
        <f t="shared" si="0"/>
        <v>0.32</v>
      </c>
      <c r="I32" s="31"/>
      <c r="J32" s="32">
        <f>Rates!F5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Rates!A6</f>
        <v>Foregone Revenue Recovery (2014) - effective until December 31, 2014 (2014)</v>
      </c>
      <c r="C33" s="25"/>
      <c r="D33" s="63" t="s">
        <v>80</v>
      </c>
      <c r="E33" s="27"/>
      <c r="F33" s="32">
        <f>Rates!D6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Rates!F6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Rates!A7</f>
        <v>Tax Changes - effective until December 31, 2014</v>
      </c>
      <c r="C34" s="25"/>
      <c r="D34" s="63" t="s">
        <v>80</v>
      </c>
      <c r="E34" s="27"/>
      <c r="F34" s="32">
        <f>Rates!D7</f>
        <v>-1E-4</v>
      </c>
      <c r="G34" s="29">
        <f t="shared" si="6"/>
        <v>800</v>
      </c>
      <c r="H34" s="30">
        <f t="shared" si="0"/>
        <v>-0.08</v>
      </c>
      <c r="I34" s="31"/>
      <c r="J34" s="32">
        <f>Rates!F7</f>
        <v>0</v>
      </c>
      <c r="K34" s="29">
        <f t="shared" si="5"/>
        <v>800</v>
      </c>
      <c r="L34" s="30">
        <f t="shared" si="1"/>
        <v>0</v>
      </c>
      <c r="M34" s="31"/>
      <c r="N34" s="34">
        <f t="shared" si="2"/>
        <v>0.08</v>
      </c>
      <c r="O34" s="35">
        <f t="shared" si="3"/>
        <v>-1</v>
      </c>
    </row>
    <row r="35" spans="2:15" ht="45" x14ac:dyDescent="0.25">
      <c r="B35" s="183" t="str">
        <f>Rates!A11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Rates!D11</f>
        <v>0</v>
      </c>
      <c r="G35" s="29">
        <f t="shared" si="6"/>
        <v>800</v>
      </c>
      <c r="H35" s="30">
        <f t="shared" si="0"/>
        <v>0</v>
      </c>
      <c r="I35" s="31"/>
      <c r="J35" s="32">
        <f>Rates!F11</f>
        <v>-1.9E-3</v>
      </c>
      <c r="K35" s="29">
        <f t="shared" si="5"/>
        <v>800</v>
      </c>
      <c r="L35" s="30">
        <f t="shared" si="1"/>
        <v>-1.52</v>
      </c>
      <c r="M35" s="31"/>
      <c r="N35" s="34">
        <f t="shared" si="2"/>
        <v>-1.52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49.72</v>
      </c>
      <c r="I40" s="44"/>
      <c r="J40" s="45"/>
      <c r="K40" s="46"/>
      <c r="L40" s="43">
        <f>SUM(L23:L39)</f>
        <v>49.629999999999995</v>
      </c>
      <c r="M40" s="44"/>
      <c r="N40" s="47">
        <f t="shared" si="2"/>
        <v>-9.0000000000003411E-2</v>
      </c>
      <c r="O40" s="48">
        <f t="shared" si="3"/>
        <v>-1.810136765889047E-3</v>
      </c>
    </row>
    <row r="41" spans="2:15" ht="38.25" x14ac:dyDescent="0.25">
      <c r="B41" s="50" t="str">
        <f>Rates!A8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Rates!D8</f>
        <v>0</v>
      </c>
      <c r="G41" s="29">
        <f>$F$18</f>
        <v>800</v>
      </c>
      <c r="H41" s="30">
        <f>G41*F41</f>
        <v>0</v>
      </c>
      <c r="I41" s="31"/>
      <c r="J41" s="32">
        <f>Rates!F8</f>
        <v>-1.29E-2</v>
      </c>
      <c r="K41" s="29">
        <f>$F$18</f>
        <v>800</v>
      </c>
      <c r="L41" s="30">
        <f>K41*J41</f>
        <v>-10.32</v>
      </c>
      <c r="M41" s="31"/>
      <c r="N41" s="34">
        <f>L41-H41</f>
        <v>-10.32</v>
      </c>
      <c r="O41" s="35" t="str">
        <f>IF((H41)=0,"",(N41/H41))</f>
        <v/>
      </c>
    </row>
    <row r="42" spans="2:15" ht="38.25" x14ac:dyDescent="0.25">
      <c r="B42" s="50" t="str">
        <f>Rates!A9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Rates!D9</f>
        <v>0</v>
      </c>
      <c r="G42" s="29">
        <f t="shared" ref="G42:G45" si="9">$F$18</f>
        <v>800</v>
      </c>
      <c r="H42" s="30">
        <f t="shared" ref="H42:H46" si="10">G42*F42</f>
        <v>0</v>
      </c>
      <c r="I42" s="51"/>
      <c r="J42" s="32">
        <f>Rates!F9</f>
        <v>2.01E-2</v>
      </c>
      <c r="K42" s="29">
        <f t="shared" ref="K42:K45" si="11">$F$18</f>
        <v>800</v>
      </c>
      <c r="L42" s="30">
        <f t="shared" ref="L42:L46" si="12">K42*J42</f>
        <v>16.079999999999998</v>
      </c>
      <c r="M42" s="52"/>
      <c r="N42" s="34">
        <f t="shared" ref="N42:N46" si="13">L42-H42</f>
        <v>16.079999999999998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9"/>
        <v>800</v>
      </c>
      <c r="H43" s="30">
        <f t="shared" si="10"/>
        <v>0</v>
      </c>
      <c r="I43" s="51"/>
      <c r="J43" s="32"/>
      <c r="K43" s="29">
        <f t="shared" si="11"/>
        <v>800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9"/>
        <v>800</v>
      </c>
      <c r="H44" s="30">
        <f t="shared" si="10"/>
        <v>0</v>
      </c>
      <c r="I44" s="51"/>
      <c r="J44" s="32"/>
      <c r="K44" s="29">
        <f t="shared" si="11"/>
        <v>800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9"/>
        <v>800</v>
      </c>
      <c r="H45" s="30">
        <f>G45*F45</f>
        <v>0</v>
      </c>
      <c r="I45" s="31"/>
      <c r="J45" s="32"/>
      <c r="K45" s="29">
        <f t="shared" si="11"/>
        <v>800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Rates!D88</f>
        <v>8.899E-2</v>
      </c>
      <c r="G46" s="55">
        <f>$F$18*(1+$F$64)-$F$18</f>
        <v>69.12</v>
      </c>
      <c r="H46" s="30">
        <f t="shared" si="10"/>
        <v>6.1509888000000004</v>
      </c>
      <c r="I46" s="31"/>
      <c r="J46" s="56">
        <f>Rates!F88</f>
        <v>8.899E-2</v>
      </c>
      <c r="K46" s="55">
        <f>$F$18*(1+$J$64)-$F$18</f>
        <v>73.3599999999999</v>
      </c>
      <c r="L46" s="30">
        <f t="shared" si="12"/>
        <v>6.5283063999999911</v>
      </c>
      <c r="M46" s="31"/>
      <c r="N46" s="34">
        <f t="shared" si="13"/>
        <v>0.3773175999999907</v>
      </c>
      <c r="O46" s="35">
        <f t="shared" si="14"/>
        <v>6.1342592592591075E-2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Rates!D16</f>
        <v>0.79</v>
      </c>
      <c r="G47" s="29">
        <v>1</v>
      </c>
      <c r="H47" s="30">
        <f>G47*F47</f>
        <v>0.79</v>
      </c>
      <c r="I47" s="31"/>
      <c r="J47" s="54">
        <f>Rates!F16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56.660988799999998</v>
      </c>
      <c r="I48" s="44"/>
      <c r="J48" s="60"/>
      <c r="K48" s="62"/>
      <c r="L48" s="61">
        <f>SUM(L41:L47)+L40</f>
        <v>62.708306399999984</v>
      </c>
      <c r="M48" s="44"/>
      <c r="N48" s="47">
        <f t="shared" ref="N48:N62" si="15">L48-H48</f>
        <v>6.0473175999999853</v>
      </c>
      <c r="O48" s="48">
        <f t="shared" ref="O48:O62" si="16">IF((H48)=0,"",(N48/H48))</f>
        <v>0.10672806331258351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Rates!D12</f>
        <v>7.0000000000000001E-3</v>
      </c>
      <c r="G49" s="65">
        <f>F18*(1+F64)</f>
        <v>869.12</v>
      </c>
      <c r="H49" s="30">
        <f>G49*F49</f>
        <v>6.0838400000000004</v>
      </c>
      <c r="I49" s="31"/>
      <c r="J49" s="32">
        <f>Rates!F12</f>
        <v>7.1999999999999998E-3</v>
      </c>
      <c r="K49" s="66">
        <f>F18*(1+J64)</f>
        <v>873.3599999999999</v>
      </c>
      <c r="L49" s="30">
        <f>K49*J49</f>
        <v>6.2881919999999987</v>
      </c>
      <c r="M49" s="31"/>
      <c r="N49" s="34">
        <f t="shared" si="15"/>
        <v>0.20435199999999831</v>
      </c>
      <c r="O49" s="35">
        <f t="shared" si="16"/>
        <v>3.3589312013464899E-2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Rates!D13</f>
        <v>5.1000000000000004E-3</v>
      </c>
      <c r="G50" s="65">
        <f>G49</f>
        <v>869.12</v>
      </c>
      <c r="H50" s="30">
        <f>G50*F50</f>
        <v>4.432512</v>
      </c>
      <c r="I50" s="31"/>
      <c r="J50" s="32">
        <f>Rates!F13</f>
        <v>5.1999999999999998E-3</v>
      </c>
      <c r="K50" s="66">
        <f>K49</f>
        <v>873.3599999999999</v>
      </c>
      <c r="L50" s="30">
        <f>K50*J50</f>
        <v>4.5414719999999988</v>
      </c>
      <c r="M50" s="31"/>
      <c r="N50" s="34">
        <f t="shared" si="15"/>
        <v>0.10895999999999884</v>
      </c>
      <c r="O50" s="35">
        <f t="shared" si="16"/>
        <v>2.4581997747552365E-2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67.177340799999996</v>
      </c>
      <c r="I51" s="69"/>
      <c r="J51" s="70"/>
      <c r="K51" s="71"/>
      <c r="L51" s="61">
        <f>SUM(L48:L50)</f>
        <v>73.537970399999978</v>
      </c>
      <c r="M51" s="69"/>
      <c r="N51" s="47">
        <f t="shared" si="15"/>
        <v>6.3606295999999816</v>
      </c>
      <c r="O51" s="48">
        <f t="shared" si="16"/>
        <v>9.4684152785041206E-2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Rates!D14</f>
        <v>4.4000000000000003E-3</v>
      </c>
      <c r="G52" s="65">
        <f>G50</f>
        <v>869.12</v>
      </c>
      <c r="H52" s="74">
        <f t="shared" ref="H52:H56" si="17">G52*F52</f>
        <v>3.8241280000000004</v>
      </c>
      <c r="I52" s="31"/>
      <c r="J52" s="75">
        <f>Rates!F14</f>
        <v>4.4000000000000003E-3</v>
      </c>
      <c r="K52" s="66">
        <f>K50</f>
        <v>873.3599999999999</v>
      </c>
      <c r="L52" s="74">
        <f t="shared" ref="L52:L56" si="18">K52*J52</f>
        <v>3.842784</v>
      </c>
      <c r="M52" s="31"/>
      <c r="N52" s="34">
        <f t="shared" si="15"/>
        <v>1.8655999999999562E-2</v>
      </c>
      <c r="O52" s="76">
        <f t="shared" si="16"/>
        <v>4.8784977908688095E-3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Rates!D15</f>
        <v>1.2999999999999999E-3</v>
      </c>
      <c r="G53" s="65">
        <f>G50</f>
        <v>869.12</v>
      </c>
      <c r="H53" s="74">
        <f t="shared" si="17"/>
        <v>1.129856</v>
      </c>
      <c r="I53" s="31"/>
      <c r="J53" s="75">
        <f>Rates!F15</f>
        <v>1.2999999999999999E-3</v>
      </c>
      <c r="K53" s="66">
        <f>K50</f>
        <v>873.3599999999999</v>
      </c>
      <c r="L53" s="74">
        <f t="shared" si="18"/>
        <v>1.1353679999999997</v>
      </c>
      <c r="M53" s="31"/>
      <c r="N53" s="34">
        <f t="shared" si="15"/>
        <v>5.5119999999997393E-3</v>
      </c>
      <c r="O53" s="76">
        <f t="shared" si="16"/>
        <v>4.8784977908686942E-3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Rates!D17</f>
        <v>0.25</v>
      </c>
      <c r="G54" s="29">
        <v>1</v>
      </c>
      <c r="H54" s="74">
        <f t="shared" si="17"/>
        <v>0.25</v>
      </c>
      <c r="I54" s="31"/>
      <c r="J54" s="75">
        <f>Rates!F17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Rates!D75</f>
        <v>2E-3</v>
      </c>
      <c r="G55" s="77">
        <f>F18</f>
        <v>800</v>
      </c>
      <c r="H55" s="74">
        <f t="shared" si="17"/>
        <v>1.6</v>
      </c>
      <c r="I55" s="31"/>
      <c r="J55" s="75">
        <f>Rates!F75</f>
        <v>2E-3</v>
      </c>
      <c r="K55" s="78">
        <f>F18</f>
        <v>800</v>
      </c>
      <c r="L55" s="74">
        <f t="shared" si="18"/>
        <v>1.6</v>
      </c>
      <c r="M55" s="31"/>
      <c r="N55" s="34">
        <f t="shared" si="15"/>
        <v>0</v>
      </c>
      <c r="O55" s="76">
        <f t="shared" si="16"/>
        <v>0</v>
      </c>
    </row>
    <row r="56" spans="2:19" ht="15.75" thickBot="1" x14ac:dyDescent="0.3">
      <c r="B56" s="53" t="s">
        <v>108</v>
      </c>
      <c r="C56" s="25"/>
      <c r="D56" s="26" t="s">
        <v>80</v>
      </c>
      <c r="E56" s="27"/>
      <c r="F56" s="79">
        <f>Rates!D87</f>
        <v>8.949E-2</v>
      </c>
      <c r="G56" s="80">
        <f>F18</f>
        <v>800</v>
      </c>
      <c r="H56" s="74">
        <f t="shared" si="17"/>
        <v>71.591999999999999</v>
      </c>
      <c r="I56" s="31"/>
      <c r="J56" s="73">
        <f>Rates!F87</f>
        <v>8.949E-2</v>
      </c>
      <c r="K56" s="80">
        <f>G56</f>
        <v>800</v>
      </c>
      <c r="L56" s="74">
        <f t="shared" si="18"/>
        <v>71.591999999999999</v>
      </c>
      <c r="M56" s="31"/>
      <c r="N56" s="34">
        <f t="shared" si="15"/>
        <v>0</v>
      </c>
      <c r="O56" s="76">
        <f t="shared" si="16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105</v>
      </c>
      <c r="C58" s="25"/>
      <c r="D58" s="25"/>
      <c r="E58" s="25"/>
      <c r="F58" s="101"/>
      <c r="G58" s="102"/>
      <c r="H58" s="103">
        <f>SUM(H52:H56,H51)</f>
        <v>145.57332479999999</v>
      </c>
      <c r="I58" s="104"/>
      <c r="J58" s="105"/>
      <c r="K58" s="105"/>
      <c r="L58" s="181">
        <f>SUM(L52:L56,L51)</f>
        <v>151.95812239999998</v>
      </c>
      <c r="M58" s="106"/>
      <c r="N58" s="107">
        <f t="shared" ref="N58" si="19">L58-H58</f>
        <v>6.3847975999999846</v>
      </c>
      <c r="O58" s="108">
        <f t="shared" ref="O58" si="20">IF((H58)=0,"",(N58/H58))</f>
        <v>4.3859667344768816E-2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18.924532224</v>
      </c>
      <c r="I59" s="113"/>
      <c r="J59" s="114">
        <v>0.13</v>
      </c>
      <c r="K59" s="113"/>
      <c r="L59" s="115">
        <f>L58*J59</f>
        <v>19.754555911999997</v>
      </c>
      <c r="M59" s="116"/>
      <c r="N59" s="117">
        <f t="shared" si="15"/>
        <v>0.83002368799999715</v>
      </c>
      <c r="O59" s="118">
        <f t="shared" si="16"/>
        <v>4.3859667344768774E-2</v>
      </c>
      <c r="S59" s="81"/>
    </row>
    <row r="60" spans="2:19" x14ac:dyDescent="0.25">
      <c r="B60" s="119" t="s">
        <v>52</v>
      </c>
      <c r="C60" s="25"/>
      <c r="D60" s="25"/>
      <c r="E60" s="25"/>
      <c r="F60" s="120"/>
      <c r="G60" s="111"/>
      <c r="H60" s="112">
        <f>H58+H59</f>
        <v>164.49785702399998</v>
      </c>
      <c r="I60" s="113"/>
      <c r="J60" s="113"/>
      <c r="K60" s="113"/>
      <c r="L60" s="115">
        <f>L58+L59</f>
        <v>171.71267831199998</v>
      </c>
      <c r="M60" s="116"/>
      <c r="N60" s="117">
        <f t="shared" si="15"/>
        <v>7.214821287999996</v>
      </c>
      <c r="O60" s="118">
        <f t="shared" si="16"/>
        <v>4.3859667344768906E-2</v>
      </c>
      <c r="S60" s="81"/>
    </row>
    <row r="61" spans="2:19" x14ac:dyDescent="0.25">
      <c r="B61" s="225" t="s">
        <v>53</v>
      </c>
      <c r="C61" s="225"/>
      <c r="D61" s="225"/>
      <c r="E61" s="25"/>
      <c r="F61" s="120"/>
      <c r="G61" s="111"/>
      <c r="H61" s="121">
        <f>ROUND(-H60*10%,2)</f>
        <v>-16.45</v>
      </c>
      <c r="I61" s="113"/>
      <c r="J61" s="113"/>
      <c r="K61" s="113"/>
      <c r="L61" s="122">
        <f>ROUND(-L60*10%,2)</f>
        <v>-17.170000000000002</v>
      </c>
      <c r="M61" s="116"/>
      <c r="N61" s="123">
        <f t="shared" si="15"/>
        <v>-0.72000000000000242</v>
      </c>
      <c r="O61" s="124">
        <f t="shared" si="16"/>
        <v>4.3768996960486473E-2</v>
      </c>
    </row>
    <row r="62" spans="2:19" x14ac:dyDescent="0.25">
      <c r="B62" s="226" t="s">
        <v>47</v>
      </c>
      <c r="C62" s="226"/>
      <c r="D62" s="226"/>
      <c r="E62" s="125"/>
      <c r="F62" s="126"/>
      <c r="G62" s="127"/>
      <c r="H62" s="128">
        <f>H60+H61</f>
        <v>148.047857024</v>
      </c>
      <c r="I62" s="129"/>
      <c r="J62" s="129"/>
      <c r="K62" s="129"/>
      <c r="L62" s="130">
        <f>L60+L61</f>
        <v>154.54267831199996</v>
      </c>
      <c r="M62" s="131"/>
      <c r="N62" s="132">
        <f t="shared" si="15"/>
        <v>6.4948212879999687</v>
      </c>
      <c r="O62" s="133">
        <f t="shared" si="16"/>
        <v>4.386974197773829E-2</v>
      </c>
    </row>
    <row r="63" spans="2:19" x14ac:dyDescent="0.25">
      <c r="L63" s="81"/>
    </row>
    <row r="64" spans="2:19" x14ac:dyDescent="0.25">
      <c r="B64" s="16" t="s">
        <v>50</v>
      </c>
      <c r="F64" s="179">
        <f>Rates!D80</f>
        <v>8.6400000000000005E-2</v>
      </c>
      <c r="J64" s="179">
        <f>Rates!F80</f>
        <v>9.1700000000000004E-2</v>
      </c>
    </row>
    <row r="66" spans="1:2" x14ac:dyDescent="0.25">
      <c r="A66" s="180"/>
      <c r="B66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1:D61"/>
    <mergeCell ref="B62:D62"/>
  </mergeCells>
  <dataValidations count="3">
    <dataValidation type="list" allowBlank="1" showInputMessage="1" showErrorMessage="1" prompt="Select Charge Unit - monthly, per kWh, per kW" sqref="D49:D50 D41:D47 D23:D39 D52:D57">
      <formula1>"Monthly, per kWh, per kW"</formula1>
    </dataValidation>
    <dataValidation type="list" allowBlank="1" showInputMessage="1" showErrorMessage="1" sqref="E49:E50 E41:E47 E23:E39 E52:E57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4"/>
  <sheetViews>
    <sheetView showGridLines="0" topLeftCell="A31" zoomScaleNormal="100" workbookViewId="0">
      <selection activeCell="N31" sqref="N31:O3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2.57031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2.57031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91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4100000</v>
      </c>
      <c r="G17" s="16" t="s">
        <v>12</v>
      </c>
      <c r="I17" s="228" t="s">
        <v>85</v>
      </c>
      <c r="J17" s="228"/>
      <c r="K17" s="17">
        <v>6000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5" t="s">
        <v>13</v>
      </c>
      <c r="G19" s="216"/>
      <c r="H19" s="217"/>
      <c r="J19" s="215" t="s">
        <v>14</v>
      </c>
      <c r="K19" s="216"/>
      <c r="L19" s="217"/>
      <c r="N19" s="215" t="s">
        <v>15</v>
      </c>
      <c r="O19" s="217"/>
    </row>
    <row r="20" spans="2:15" x14ac:dyDescent="0.25">
      <c r="B20" s="15"/>
      <c r="D20" s="219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1" t="s">
        <v>20</v>
      </c>
      <c r="O20" s="223" t="s">
        <v>21</v>
      </c>
    </row>
    <row r="21" spans="2:15" x14ac:dyDescent="0.25">
      <c r="B21" s="15"/>
      <c r="D21" s="220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2"/>
      <c r="O21" s="224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Rates!D20</f>
        <v>596.12</v>
      </c>
      <c r="G22" s="29">
        <v>1</v>
      </c>
      <c r="H22" s="30">
        <f>G22*F22</f>
        <v>596.12</v>
      </c>
      <c r="I22" s="31"/>
      <c r="J22" s="32">
        <f>Rates!F20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Rates!D21</f>
        <v>3.0886999999999998</v>
      </c>
      <c r="G28" s="185">
        <f>$K$17</f>
        <v>6000</v>
      </c>
      <c r="H28" s="30">
        <f t="shared" si="0"/>
        <v>18532.199999999997</v>
      </c>
      <c r="I28" s="31"/>
      <c r="J28" s="32">
        <f>Rates!F21</f>
        <v>3.2725</v>
      </c>
      <c r="K28" s="185">
        <f>$K$17</f>
        <v>6000</v>
      </c>
      <c r="L28" s="30">
        <f t="shared" si="1"/>
        <v>19635</v>
      </c>
      <c r="M28" s="31"/>
      <c r="N28" s="34">
        <f t="shared" si="2"/>
        <v>1102.8000000000029</v>
      </c>
      <c r="O28" s="35">
        <f t="shared" si="3"/>
        <v>5.9507236054003466E-2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6000</v>
      </c>
      <c r="H29" s="30">
        <f t="shared" si="0"/>
        <v>0</v>
      </c>
      <c r="I29" s="31"/>
      <c r="J29" s="32"/>
      <c r="K29" s="29">
        <f t="shared" ref="K29:K44" si="5">$K$17</f>
        <v>6000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Rates!A27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Rates!D27</f>
        <v>0</v>
      </c>
      <c r="G30" s="29">
        <f t="shared" si="4"/>
        <v>6000</v>
      </c>
      <c r="H30" s="30">
        <f t="shared" si="0"/>
        <v>0</v>
      </c>
      <c r="I30" s="31"/>
      <c r="J30" s="32">
        <f>Rates!F27</f>
        <v>2.8999999999999998E-3</v>
      </c>
      <c r="K30" s="29">
        <f t="shared" si="5"/>
        <v>6000</v>
      </c>
      <c r="L30" s="30">
        <f t="shared" si="1"/>
        <v>17.399999999999999</v>
      </c>
      <c r="M30" s="31"/>
      <c r="N30" s="34">
        <f t="shared" si="2"/>
        <v>17.399999999999999</v>
      </c>
      <c r="O30" s="35" t="str">
        <f t="shared" si="3"/>
        <v/>
      </c>
    </row>
    <row r="31" spans="2:15" ht="30" x14ac:dyDescent="0.25">
      <c r="B31" s="183" t="str">
        <f>Rates!A22</f>
        <v>Foregone Revenue Recovery (2013) - effective until December 31, 2014 (2014)</v>
      </c>
      <c r="C31" s="25"/>
      <c r="D31" s="63" t="s">
        <v>87</v>
      </c>
      <c r="E31" s="27"/>
      <c r="F31" s="32">
        <f>Rates!D22</f>
        <v>3.73E-2</v>
      </c>
      <c r="G31" s="29">
        <f t="shared" si="4"/>
        <v>6000</v>
      </c>
      <c r="H31" s="30">
        <f t="shared" si="0"/>
        <v>223.8</v>
      </c>
      <c r="I31" s="31"/>
      <c r="J31" s="32">
        <f>Rates!F22</f>
        <v>0</v>
      </c>
      <c r="K31" s="29">
        <f t="shared" si="5"/>
        <v>6000</v>
      </c>
      <c r="L31" s="30">
        <f t="shared" si="1"/>
        <v>0</v>
      </c>
      <c r="M31" s="31"/>
      <c r="N31" s="34">
        <f t="shared" si="2"/>
        <v>-223.8</v>
      </c>
      <c r="O31" s="35">
        <f t="shared" si="3"/>
        <v>-1</v>
      </c>
    </row>
    <row r="32" spans="2:15" ht="30" x14ac:dyDescent="0.25">
      <c r="B32" s="183" t="str">
        <f>Rates!A23</f>
        <v>Foregone Revenue Recovery (2014) - effective until December 31, 2014 (2014)</v>
      </c>
      <c r="C32" s="25"/>
      <c r="D32" s="63" t="s">
        <v>87</v>
      </c>
      <c r="E32" s="27"/>
      <c r="F32" s="32">
        <f>Rates!D23</f>
        <v>3.8800000000000001E-2</v>
      </c>
      <c r="G32" s="29">
        <f t="shared" si="4"/>
        <v>6000</v>
      </c>
      <c r="H32" s="30">
        <f t="shared" si="0"/>
        <v>232.8</v>
      </c>
      <c r="I32" s="31"/>
      <c r="J32" s="32">
        <f>Rates!F23</f>
        <v>0</v>
      </c>
      <c r="K32" s="29">
        <f t="shared" si="5"/>
        <v>6000</v>
      </c>
      <c r="L32" s="30">
        <f t="shared" si="1"/>
        <v>0</v>
      </c>
      <c r="M32" s="31"/>
      <c r="N32" s="34">
        <f t="shared" ref="N32" si="6">L32-H32</f>
        <v>-232.8</v>
      </c>
      <c r="O32" s="35">
        <f t="shared" ref="O32" si="7">IF((H32)=0,"",(N32/H32))</f>
        <v>-1</v>
      </c>
    </row>
    <row r="33" spans="2:15" ht="30" x14ac:dyDescent="0.25">
      <c r="B33" s="183" t="str">
        <f>Rates!A7</f>
        <v>Tax Changes - effective until December 31, 2014</v>
      </c>
      <c r="C33" s="25"/>
      <c r="D33" s="63" t="s">
        <v>87</v>
      </c>
      <c r="E33" s="27"/>
      <c r="F33" s="32">
        <f>Rates!D24</f>
        <v>-1.4800000000000001E-2</v>
      </c>
      <c r="G33" s="29">
        <f t="shared" si="4"/>
        <v>6000</v>
      </c>
      <c r="H33" s="30">
        <f t="shared" si="0"/>
        <v>-88.8</v>
      </c>
      <c r="I33" s="31"/>
      <c r="J33" s="32">
        <f>Rates!F24</f>
        <v>0</v>
      </c>
      <c r="K33" s="29">
        <f t="shared" si="5"/>
        <v>6000</v>
      </c>
      <c r="L33" s="30">
        <f t="shared" si="1"/>
        <v>0</v>
      </c>
      <c r="M33" s="31"/>
      <c r="N33" s="34">
        <f t="shared" si="2"/>
        <v>88.8</v>
      </c>
      <c r="O33" s="35">
        <f t="shared" si="3"/>
        <v>-1</v>
      </c>
    </row>
    <row r="34" spans="2:15" ht="45" x14ac:dyDescent="0.25">
      <c r="B34" s="183" t="str">
        <f>Rates!A28</f>
        <v>Rate Rider for the Disposition of Account 1575 &amp; 1576 - effective until December 31, 2019</v>
      </c>
      <c r="C34" s="25"/>
      <c r="D34" s="63" t="s">
        <v>87</v>
      </c>
      <c r="E34" s="27"/>
      <c r="F34" s="32">
        <f>Rates!D28</f>
        <v>0</v>
      </c>
      <c r="G34" s="29">
        <f t="shared" si="4"/>
        <v>6000</v>
      </c>
      <c r="H34" s="30">
        <f t="shared" si="0"/>
        <v>0</v>
      </c>
      <c r="I34" s="31"/>
      <c r="J34" s="32">
        <f>Rates!F28</f>
        <v>-0.78769999999999996</v>
      </c>
      <c r="K34" s="29">
        <f t="shared" si="5"/>
        <v>6000</v>
      </c>
      <c r="L34" s="30">
        <f t="shared" si="1"/>
        <v>-4726.2</v>
      </c>
      <c r="M34" s="31"/>
      <c r="N34" s="34">
        <f t="shared" si="2"/>
        <v>-4726.2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6000</v>
      </c>
      <c r="H35" s="30">
        <f t="shared" si="0"/>
        <v>0</v>
      </c>
      <c r="I35" s="31"/>
      <c r="J35" s="32"/>
      <c r="K35" s="29">
        <f t="shared" si="5"/>
        <v>6000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6000</v>
      </c>
      <c r="H36" s="30">
        <f t="shared" si="0"/>
        <v>0</v>
      </c>
      <c r="I36" s="31"/>
      <c r="J36" s="32"/>
      <c r="K36" s="29">
        <f t="shared" si="5"/>
        <v>6000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6000</v>
      </c>
      <c r="H37" s="30">
        <f t="shared" si="0"/>
        <v>0</v>
      </c>
      <c r="I37" s="31"/>
      <c r="J37" s="32"/>
      <c r="K37" s="29">
        <f t="shared" si="5"/>
        <v>6000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6000</v>
      </c>
      <c r="H38" s="30">
        <f t="shared" si="0"/>
        <v>0</v>
      </c>
      <c r="I38" s="31"/>
      <c r="J38" s="32"/>
      <c r="K38" s="29">
        <f t="shared" si="5"/>
        <v>6000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19496.119999999995</v>
      </c>
      <c r="I39" s="44"/>
      <c r="J39" s="45"/>
      <c r="K39" s="46"/>
      <c r="L39" s="43">
        <f>SUM(L22:L38)</f>
        <v>15522.32</v>
      </c>
      <c r="M39" s="44"/>
      <c r="N39" s="47">
        <f t="shared" si="2"/>
        <v>-3973.7999999999956</v>
      </c>
      <c r="O39" s="48">
        <f t="shared" si="3"/>
        <v>-0.20382517136743089</v>
      </c>
    </row>
    <row r="40" spans="2:15" ht="38.25" x14ac:dyDescent="0.25">
      <c r="B40" s="50" t="str">
        <f>Rates!A25</f>
        <v>Rate Rider for the Disposition of Deferral/Variance Accounts (2014) - effective until December 31, 2015</v>
      </c>
      <c r="C40" s="25"/>
      <c r="D40" s="63" t="s">
        <v>87</v>
      </c>
      <c r="E40" s="27"/>
      <c r="F40" s="32">
        <f>Rates!D25</f>
        <v>0</v>
      </c>
      <c r="G40" s="29">
        <f t="shared" si="4"/>
        <v>6000</v>
      </c>
      <c r="H40" s="30">
        <f>G40*F40</f>
        <v>0</v>
      </c>
      <c r="I40" s="31"/>
      <c r="J40" s="32">
        <f>Rates!F25</f>
        <v>-5.4025999999999996</v>
      </c>
      <c r="K40" s="29">
        <f t="shared" si="5"/>
        <v>6000</v>
      </c>
      <c r="L40" s="30">
        <f>K40*J40</f>
        <v>-32415.599999999999</v>
      </c>
      <c r="M40" s="31"/>
      <c r="N40" s="34">
        <f>L40-H40</f>
        <v>-32415.599999999999</v>
      </c>
      <c r="O40" s="35" t="str">
        <f>IF((H40)=0,"",(N40/H40))</f>
        <v/>
      </c>
    </row>
    <row r="41" spans="2:15" ht="38.25" x14ac:dyDescent="0.25">
      <c r="B41" s="50" t="str">
        <f>Rates!A26</f>
        <v>Rate Rider for the Disposition of Global Adjustment Sub-Account (2014) - effective until December 31, 2015</v>
      </c>
      <c r="C41" s="25"/>
      <c r="D41" s="63" t="s">
        <v>87</v>
      </c>
      <c r="E41" s="27"/>
      <c r="F41" s="32">
        <f>Rates!D26</f>
        <v>0</v>
      </c>
      <c r="G41" s="29">
        <f t="shared" si="4"/>
        <v>6000</v>
      </c>
      <c r="H41" s="30">
        <f t="shared" ref="H41:H45" si="8">G41*F41</f>
        <v>0</v>
      </c>
      <c r="I41" s="51"/>
      <c r="J41" s="32">
        <f>Rates!F26</f>
        <v>8.4103999999999992</v>
      </c>
      <c r="K41" s="29">
        <f t="shared" si="5"/>
        <v>6000</v>
      </c>
      <c r="L41" s="30">
        <f t="shared" ref="L41:L45" si="9">K41*J41</f>
        <v>50462.399999999994</v>
      </c>
      <c r="M41" s="52"/>
      <c r="N41" s="34">
        <f t="shared" ref="N41:N45" si="10">L41-H41</f>
        <v>50462.399999999994</v>
      </c>
      <c r="O41" s="35" t="str">
        <f t="shared" ref="O41:O45" si="11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6000</v>
      </c>
      <c r="H42" s="30">
        <f t="shared" si="8"/>
        <v>0</v>
      </c>
      <c r="I42" s="51"/>
      <c r="J42" s="32"/>
      <c r="K42" s="29">
        <f t="shared" si="5"/>
        <v>6000</v>
      </c>
      <c r="L42" s="30">
        <f t="shared" si="9"/>
        <v>0</v>
      </c>
      <c r="M42" s="52"/>
      <c r="N42" s="34">
        <f t="shared" si="10"/>
        <v>0</v>
      </c>
      <c r="O42" s="35" t="str">
        <f t="shared" si="11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6000</v>
      </c>
      <c r="H43" s="30">
        <f t="shared" si="8"/>
        <v>0</v>
      </c>
      <c r="I43" s="51"/>
      <c r="J43" s="32"/>
      <c r="K43" s="29">
        <f t="shared" si="5"/>
        <v>6000</v>
      </c>
      <c r="L43" s="30">
        <f t="shared" si="9"/>
        <v>0</v>
      </c>
      <c r="M43" s="52"/>
      <c r="N43" s="34">
        <f t="shared" si="10"/>
        <v>0</v>
      </c>
      <c r="O43" s="35" t="str">
        <f t="shared" si="11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6000</v>
      </c>
      <c r="H44" s="30">
        <f>G44*F44</f>
        <v>0</v>
      </c>
      <c r="I44" s="31"/>
      <c r="J44" s="32"/>
      <c r="K44" s="29">
        <f t="shared" si="5"/>
        <v>6000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Rates!D87</f>
        <v>8.949E-2</v>
      </c>
      <c r="G45" s="55">
        <f>$F$17*(1+$F$62)-$F$17</f>
        <v>354240</v>
      </c>
      <c r="H45" s="30">
        <f t="shared" si="8"/>
        <v>31700.937600000001</v>
      </c>
      <c r="I45" s="31"/>
      <c r="J45" s="188">
        <f>Rates!F87</f>
        <v>8.949E-2</v>
      </c>
      <c r="K45" s="55">
        <f>$F$17*(1+$J$62)-$F$17</f>
        <v>375970</v>
      </c>
      <c r="L45" s="30">
        <f t="shared" si="9"/>
        <v>33645.5553</v>
      </c>
      <c r="M45" s="31"/>
      <c r="N45" s="34">
        <f t="shared" si="10"/>
        <v>1944.6176999999989</v>
      </c>
      <c r="O45" s="35">
        <f t="shared" si="11"/>
        <v>6.1342592592592553E-2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51197.0576</v>
      </c>
      <c r="I47" s="44"/>
      <c r="J47" s="60"/>
      <c r="K47" s="62"/>
      <c r="L47" s="61">
        <f>SUM(L40:L46)+L39</f>
        <v>67214.675300000003</v>
      </c>
      <c r="M47" s="44"/>
      <c r="N47" s="47">
        <f t="shared" ref="N47:N59" si="12">L47-H47</f>
        <v>16017.617700000003</v>
      </c>
      <c r="O47" s="48">
        <f t="shared" ref="O47:O59" si="13">IF((H47)=0,"",(N47/H47))</f>
        <v>0.31286207549552619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Rates!D29</f>
        <v>2.5861000000000001</v>
      </c>
      <c r="G48" s="65">
        <f>K17*(1+F62)</f>
        <v>6518.4000000000005</v>
      </c>
      <c r="H48" s="30">
        <f>G48*F48</f>
        <v>16857.234240000002</v>
      </c>
      <c r="I48" s="31"/>
      <c r="J48" s="32">
        <f>Rates!F29</f>
        <v>2.7770000000000001</v>
      </c>
      <c r="K48" s="66">
        <f>K17*(1+J62)</f>
        <v>6550.1999999999989</v>
      </c>
      <c r="L48" s="30">
        <f>K48*J48</f>
        <v>18189.9054</v>
      </c>
      <c r="M48" s="31"/>
      <c r="N48" s="34">
        <f t="shared" si="12"/>
        <v>1332.6711599999981</v>
      </c>
      <c r="O48" s="35">
        <f t="shared" si="13"/>
        <v>7.9056335163080582E-2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Rates!D30</f>
        <v>1.7988</v>
      </c>
      <c r="G49" s="65">
        <f>G48</f>
        <v>6518.4000000000005</v>
      </c>
      <c r="H49" s="30">
        <f>G49*F49</f>
        <v>11725.297920000001</v>
      </c>
      <c r="I49" s="31"/>
      <c r="J49" s="32">
        <f>Rates!F30</f>
        <v>1.9539</v>
      </c>
      <c r="K49" s="66">
        <f>K48</f>
        <v>6550.1999999999989</v>
      </c>
      <c r="L49" s="30">
        <f>K49*J49</f>
        <v>12798.435779999998</v>
      </c>
      <c r="M49" s="31"/>
      <c r="N49" s="34">
        <f t="shared" si="12"/>
        <v>1073.1378599999971</v>
      </c>
      <c r="O49" s="35">
        <f t="shared" si="13"/>
        <v>9.1523291546352192E-2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79779.589760000003</v>
      </c>
      <c r="I50" s="69"/>
      <c r="J50" s="70"/>
      <c r="K50" s="71"/>
      <c r="L50" s="61">
        <f>SUM(L47:L49)</f>
        <v>98203.016480000006</v>
      </c>
      <c r="M50" s="69"/>
      <c r="N50" s="47">
        <f t="shared" si="12"/>
        <v>18423.426720000003</v>
      </c>
      <c r="O50" s="48">
        <f t="shared" si="13"/>
        <v>0.23092907315546471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Rates!D33</f>
        <v>4.4000000000000003E-3</v>
      </c>
      <c r="G51" s="65">
        <f>F17*(1+F62)</f>
        <v>4454240</v>
      </c>
      <c r="H51" s="74">
        <f t="shared" ref="H51:H55" si="14">G51*F51</f>
        <v>19598.656000000003</v>
      </c>
      <c r="I51" s="31"/>
      <c r="J51" s="75">
        <f>Rates!F33</f>
        <v>4.4000000000000003E-3</v>
      </c>
      <c r="K51" s="66">
        <f>F17*(1+J62)</f>
        <v>4475970</v>
      </c>
      <c r="L51" s="74">
        <f t="shared" ref="L51:L55" si="15">K51*J51</f>
        <v>19694.268</v>
      </c>
      <c r="M51" s="31"/>
      <c r="N51" s="34">
        <f t="shared" si="12"/>
        <v>95.611999999997352</v>
      </c>
      <c r="O51" s="76">
        <f t="shared" si="13"/>
        <v>4.8784977908687887E-3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Rates!D34</f>
        <v>1.2999999999999999E-3</v>
      </c>
      <c r="G52" s="65">
        <f>G51</f>
        <v>4454240</v>
      </c>
      <c r="H52" s="74">
        <f t="shared" si="14"/>
        <v>5790.5119999999997</v>
      </c>
      <c r="I52" s="31"/>
      <c r="J52" s="75">
        <f>Rates!F34</f>
        <v>1.2999999999999999E-3</v>
      </c>
      <c r="K52" s="66">
        <f>K51</f>
        <v>4475970</v>
      </c>
      <c r="L52" s="74">
        <f t="shared" si="15"/>
        <v>5818.7609999999995</v>
      </c>
      <c r="M52" s="31"/>
      <c r="N52" s="34">
        <f t="shared" si="12"/>
        <v>28.248999999999796</v>
      </c>
      <c r="O52" s="76">
        <f t="shared" si="13"/>
        <v>4.8784977908688902E-3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Rates!D35</f>
        <v>0.25</v>
      </c>
      <c r="G53" s="29">
        <v>1</v>
      </c>
      <c r="H53" s="74">
        <f t="shared" si="14"/>
        <v>0.25</v>
      </c>
      <c r="I53" s="31"/>
      <c r="J53" s="75">
        <f>Rates!F35</f>
        <v>0.25</v>
      </c>
      <c r="K53" s="33">
        <v>1</v>
      </c>
      <c r="L53" s="74">
        <f t="shared" si="15"/>
        <v>0.25</v>
      </c>
      <c r="M53" s="31"/>
      <c r="N53" s="34">
        <f t="shared" si="12"/>
        <v>0</v>
      </c>
      <c r="O53" s="76">
        <f t="shared" si="13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Rates!D75</f>
        <v>2E-3</v>
      </c>
      <c r="G54" s="77">
        <f>F17</f>
        <v>4100000</v>
      </c>
      <c r="H54" s="74">
        <f t="shared" si="14"/>
        <v>8200</v>
      </c>
      <c r="I54" s="31"/>
      <c r="J54" s="75">
        <f>Rates!F75</f>
        <v>2E-3</v>
      </c>
      <c r="K54" s="78">
        <f>F17</f>
        <v>4100000</v>
      </c>
      <c r="L54" s="74">
        <f t="shared" si="15"/>
        <v>8200</v>
      </c>
      <c r="M54" s="31"/>
      <c r="N54" s="34">
        <f t="shared" si="12"/>
        <v>0</v>
      </c>
      <c r="O54" s="76">
        <f t="shared" si="13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Rates!D87</f>
        <v>8.949E-2</v>
      </c>
      <c r="G55" s="80">
        <f>$F$17</f>
        <v>4100000</v>
      </c>
      <c r="H55" s="74">
        <f t="shared" si="14"/>
        <v>366909</v>
      </c>
      <c r="I55" s="31"/>
      <c r="J55" s="189">
        <f>Rates!F87</f>
        <v>8.949E-2</v>
      </c>
      <c r="K55" s="80">
        <f>F17</f>
        <v>4100000</v>
      </c>
      <c r="L55" s="74">
        <f t="shared" si="15"/>
        <v>366909</v>
      </c>
      <c r="M55" s="31"/>
      <c r="N55" s="34">
        <f t="shared" si="12"/>
        <v>0</v>
      </c>
      <c r="O55" s="76">
        <f t="shared" si="13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105</v>
      </c>
      <c r="C57" s="25"/>
      <c r="D57" s="25"/>
      <c r="E57" s="25"/>
      <c r="F57" s="101"/>
      <c r="G57" s="102"/>
      <c r="H57" s="103">
        <f>SUM(H51:H55,H50)</f>
        <v>480278.00776000001</v>
      </c>
      <c r="I57" s="104"/>
      <c r="J57" s="105"/>
      <c r="K57" s="105"/>
      <c r="L57" s="181">
        <f>SUM(L51:L55,L50)</f>
        <v>498825.29547999997</v>
      </c>
      <c r="M57" s="106"/>
      <c r="N57" s="107">
        <f t="shared" ref="N57" si="16">L57-H57</f>
        <v>18547.287719999964</v>
      </c>
      <c r="O57" s="108">
        <f t="shared" ref="O57" si="17">IF((H57)=0,"",(N57/H57))</f>
        <v>3.8617815973927001E-2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62436.141008800005</v>
      </c>
      <c r="I58" s="113"/>
      <c r="J58" s="114">
        <v>0.13</v>
      </c>
      <c r="K58" s="113"/>
      <c r="L58" s="115">
        <f>L57*J58</f>
        <v>64847.288412399997</v>
      </c>
      <c r="M58" s="116"/>
      <c r="N58" s="117">
        <f t="shared" si="12"/>
        <v>2411.1474035999927</v>
      </c>
      <c r="O58" s="118">
        <f t="shared" si="13"/>
        <v>3.8617815973926953E-2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542714.14876879996</v>
      </c>
      <c r="I59" s="113"/>
      <c r="J59" s="113"/>
      <c r="K59" s="113"/>
      <c r="L59" s="115">
        <f>L57+L58</f>
        <v>563672.58389239991</v>
      </c>
      <c r="M59" s="116"/>
      <c r="N59" s="117">
        <f t="shared" si="12"/>
        <v>20958.435123599949</v>
      </c>
      <c r="O59" s="118">
        <f t="shared" si="13"/>
        <v>3.8617815973926987E-2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Rates!D80</f>
        <v>8.6400000000000005E-2</v>
      </c>
      <c r="J62" s="179">
        <f>Rates!F80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8:D49 D40:D46 D60 D22:D38 D51:D56">
      <formula1>"Monthly, per kWh, per kW"</formula1>
    </dataValidation>
    <dataValidation type="list" allowBlank="1" showInputMessage="1" showErrorMessage="1" sqref="E48:E49 E40:E46 E22:E38 E60 E51:E56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4"/>
  <sheetViews>
    <sheetView showGridLines="0" topLeftCell="A7" zoomScaleNormal="100" workbookViewId="0">
      <selection activeCell="H39" sqref="H3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111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8" t="s">
        <v>85</v>
      </c>
      <c r="J17" s="228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5" t="s">
        <v>13</v>
      </c>
      <c r="G19" s="216"/>
      <c r="H19" s="217"/>
      <c r="J19" s="215" t="s">
        <v>14</v>
      </c>
      <c r="K19" s="216"/>
      <c r="L19" s="217"/>
      <c r="N19" s="215" t="s">
        <v>15</v>
      </c>
      <c r="O19" s="217"/>
    </row>
    <row r="20" spans="2:15" x14ac:dyDescent="0.25">
      <c r="B20" s="15"/>
      <c r="D20" s="219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1" t="s">
        <v>20</v>
      </c>
      <c r="O20" s="223" t="s">
        <v>21</v>
      </c>
    </row>
    <row r="21" spans="2:15" x14ac:dyDescent="0.25">
      <c r="B21" s="15"/>
      <c r="D21" s="220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2"/>
      <c r="O21" s="224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Rates!D20</f>
        <v>596.12</v>
      </c>
      <c r="G22" s="29">
        <v>1</v>
      </c>
      <c r="H22" s="30">
        <f>G22*F22</f>
        <v>596.12</v>
      </c>
      <c r="I22" s="31"/>
      <c r="J22" s="32">
        <f>Rates!F20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Rates!D21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Rates!F21</f>
        <v>3.2725</v>
      </c>
      <c r="K28" s="185">
        <f>$K$17</f>
        <v>225</v>
      </c>
      <c r="L28" s="30">
        <f t="shared" si="1"/>
        <v>736.3125</v>
      </c>
      <c r="M28" s="31"/>
      <c r="N28" s="34">
        <f t="shared" si="2"/>
        <v>41.355000000000018</v>
      </c>
      <c r="O28" s="35">
        <f t="shared" si="3"/>
        <v>5.9507236054003328E-2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225</v>
      </c>
      <c r="H29" s="30">
        <f t="shared" si="0"/>
        <v>0</v>
      </c>
      <c r="I29" s="31"/>
      <c r="J29" s="32"/>
      <c r="K29" s="29">
        <f t="shared" ref="K29:K44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Rates!A27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Rates!D27</f>
        <v>0</v>
      </c>
      <c r="G30" s="29">
        <f t="shared" si="4"/>
        <v>225</v>
      </c>
      <c r="H30" s="30">
        <f t="shared" si="0"/>
        <v>0</v>
      </c>
      <c r="I30" s="31"/>
      <c r="J30" s="32">
        <f>Rates!F27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Rates!A22</f>
        <v>Foregone Revenue Recovery (2013) - effective until December 31, 2014 (2014)</v>
      </c>
      <c r="C31" s="25"/>
      <c r="D31" s="63" t="s">
        <v>87</v>
      </c>
      <c r="E31" s="27"/>
      <c r="F31" s="32">
        <f>Rates!D22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Rates!F22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Rates!A23</f>
        <v>Foregone Revenue Recovery (2014) - effective until December 31, 2014 (2014)</v>
      </c>
      <c r="C32" s="25"/>
      <c r="D32" s="63" t="s">
        <v>87</v>
      </c>
      <c r="E32" s="27"/>
      <c r="F32" s="32">
        <f>Rates!D23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Rates!F23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Rates!A7</f>
        <v>Tax Changes - effective until December 31, 2014</v>
      </c>
      <c r="C33" s="25"/>
      <c r="D33" s="63" t="s">
        <v>87</v>
      </c>
      <c r="E33" s="27"/>
      <c r="F33" s="32">
        <f>Rates!D24</f>
        <v>-1.4800000000000001E-2</v>
      </c>
      <c r="G33" s="29">
        <f t="shared" si="4"/>
        <v>225</v>
      </c>
      <c r="H33" s="30">
        <f t="shared" si="0"/>
        <v>-3.33</v>
      </c>
      <c r="I33" s="31"/>
      <c r="J33" s="32">
        <f>Rates!F24</f>
        <v>0</v>
      </c>
      <c r="K33" s="29">
        <f t="shared" si="5"/>
        <v>225</v>
      </c>
      <c r="L33" s="30">
        <f t="shared" si="1"/>
        <v>0</v>
      </c>
      <c r="M33" s="31"/>
      <c r="N33" s="34">
        <f t="shared" si="2"/>
        <v>3.33</v>
      </c>
      <c r="O33" s="35">
        <f t="shared" si="3"/>
        <v>-1</v>
      </c>
    </row>
    <row r="34" spans="2:15" ht="45" x14ac:dyDescent="0.25">
      <c r="B34" s="183" t="str">
        <f>Rates!A28</f>
        <v>Rate Rider for the Disposition of Account 1575 &amp; 1576 - effective until December 31, 2019</v>
      </c>
      <c r="C34" s="25"/>
      <c r="D34" s="63" t="s">
        <v>87</v>
      </c>
      <c r="E34" s="27"/>
      <c r="F34" s="32">
        <f>Rates!D28</f>
        <v>0</v>
      </c>
      <c r="G34" s="29">
        <f t="shared" si="4"/>
        <v>225</v>
      </c>
      <c r="H34" s="30">
        <f t="shared" si="0"/>
        <v>0</v>
      </c>
      <c r="I34" s="31"/>
      <c r="J34" s="32">
        <f>Rates!F28</f>
        <v>-0.78769999999999996</v>
      </c>
      <c r="K34" s="29">
        <f t="shared" si="5"/>
        <v>225</v>
      </c>
      <c r="L34" s="30">
        <f t="shared" si="1"/>
        <v>-177.23249999999999</v>
      </c>
      <c r="M34" s="31"/>
      <c r="N34" s="34">
        <f t="shared" si="2"/>
        <v>-177.23249999999999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1304.8699999999999</v>
      </c>
      <c r="I39" s="44"/>
      <c r="J39" s="45"/>
      <c r="K39" s="46"/>
      <c r="L39" s="43">
        <f>SUM(L22:L38)</f>
        <v>1155.8524999999997</v>
      </c>
      <c r="M39" s="44"/>
      <c r="N39" s="47">
        <f t="shared" si="2"/>
        <v>-149.01750000000015</v>
      </c>
      <c r="O39" s="48">
        <f t="shared" si="3"/>
        <v>-0.11420103152038147</v>
      </c>
    </row>
    <row r="40" spans="2:15" ht="38.25" x14ac:dyDescent="0.25">
      <c r="B40" s="50" t="str">
        <f>Rates!A25</f>
        <v>Rate Rider for the Disposition of Deferral/Variance Accounts (2014) - effective until December 31, 2015</v>
      </c>
      <c r="C40" s="25"/>
      <c r="D40" s="63" t="s">
        <v>87</v>
      </c>
      <c r="E40" s="27"/>
      <c r="F40" s="32">
        <f>Rates!D25</f>
        <v>0</v>
      </c>
      <c r="G40" s="29">
        <f t="shared" si="4"/>
        <v>225</v>
      </c>
      <c r="H40" s="30">
        <f>G40*F40</f>
        <v>0</v>
      </c>
      <c r="I40" s="31"/>
      <c r="J40" s="32">
        <f>Rates!F25</f>
        <v>-5.4025999999999996</v>
      </c>
      <c r="K40" s="29">
        <f t="shared" si="5"/>
        <v>225</v>
      </c>
      <c r="L40" s="30">
        <f>K40*J40</f>
        <v>-1215.5849999999998</v>
      </c>
      <c r="M40" s="31"/>
      <c r="N40" s="34">
        <f>L40-H40</f>
        <v>-1215.5849999999998</v>
      </c>
      <c r="O40" s="35" t="str">
        <f>IF((H40)=0,"",(N40/H40))</f>
        <v/>
      </c>
    </row>
    <row r="41" spans="2:15" ht="38.25" x14ac:dyDescent="0.25">
      <c r="B41" s="50" t="str">
        <f>Rates!A26</f>
        <v>Rate Rider for the Disposition of Global Adjustment Sub-Account (2014) - effective until December 31, 2015</v>
      </c>
      <c r="C41" s="25"/>
      <c r="D41" s="63" t="s">
        <v>87</v>
      </c>
      <c r="E41" s="27"/>
      <c r="F41" s="32">
        <f>Rates!D26</f>
        <v>0</v>
      </c>
      <c r="G41" s="29">
        <f t="shared" si="4"/>
        <v>225</v>
      </c>
      <c r="H41" s="30">
        <f t="shared" ref="H41:H45" si="10">G41*F41</f>
        <v>0</v>
      </c>
      <c r="I41" s="51"/>
      <c r="J41" s="32">
        <f>Rates!F26</f>
        <v>8.4103999999999992</v>
      </c>
      <c r="K41" s="29">
        <f t="shared" si="5"/>
        <v>225</v>
      </c>
      <c r="L41" s="30">
        <f t="shared" ref="L41:L45" si="11">K41*J41</f>
        <v>1892.34</v>
      </c>
      <c r="M41" s="52"/>
      <c r="N41" s="34">
        <f t="shared" ref="N41:N45" si="12">L41-H41</f>
        <v>1892.34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10"/>
        <v>0</v>
      </c>
      <c r="I42" s="51"/>
      <c r="J42" s="32"/>
      <c r="K42" s="29">
        <f t="shared" si="5"/>
        <v>225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0"/>
        <v>0</v>
      </c>
      <c r="I43" s="51"/>
      <c r="J43" s="32"/>
      <c r="K43" s="29">
        <f t="shared" si="5"/>
        <v>225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225</v>
      </c>
      <c r="H44" s="30">
        <f>G44*F44</f>
        <v>0</v>
      </c>
      <c r="I44" s="31"/>
      <c r="J44" s="32"/>
      <c r="K44" s="29">
        <f t="shared" si="5"/>
        <v>225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Rates!D87</f>
        <v>8.949E-2</v>
      </c>
      <c r="G45" s="55">
        <f>$F$17*(1+$F$62)-$F$17</f>
        <v>7776</v>
      </c>
      <c r="H45" s="30">
        <f t="shared" si="10"/>
        <v>695.87423999999999</v>
      </c>
      <c r="I45" s="31"/>
      <c r="J45" s="188">
        <f>Rates!F87</f>
        <v>8.949E-2</v>
      </c>
      <c r="K45" s="55">
        <f>$F$17*(1+$J$62)-$F$17</f>
        <v>8252.9999999999854</v>
      </c>
      <c r="L45" s="30">
        <f t="shared" si="11"/>
        <v>738.56096999999875</v>
      </c>
      <c r="M45" s="31"/>
      <c r="N45" s="34">
        <f t="shared" si="12"/>
        <v>42.686729999998761</v>
      </c>
      <c r="O45" s="35">
        <f t="shared" si="13"/>
        <v>6.1342592592590811E-2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2000.74424</v>
      </c>
      <c r="I47" s="44"/>
      <c r="J47" s="60"/>
      <c r="K47" s="62"/>
      <c r="L47" s="61">
        <f>SUM(L40:L46)+L39</f>
        <v>2571.1684699999987</v>
      </c>
      <c r="M47" s="44"/>
      <c r="N47" s="47">
        <f t="shared" ref="N47:N59" si="14">L47-H47</f>
        <v>570.42422999999872</v>
      </c>
      <c r="O47" s="48">
        <f t="shared" ref="O47:O59" si="15">IF((H47)=0,"",(N47/H47))</f>
        <v>0.28510602134733559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Rates!D31</f>
        <v>2.7433000000000001</v>
      </c>
      <c r="G48" s="65">
        <f>K17*(1+F62)</f>
        <v>244.44</v>
      </c>
      <c r="H48" s="30">
        <f>G48*F48</f>
        <v>670.57225200000005</v>
      </c>
      <c r="I48" s="31"/>
      <c r="J48" s="32">
        <f>Rates!F31</f>
        <v>2.7770000000000001</v>
      </c>
      <c r="K48" s="66">
        <f>K17*(1+J62)</f>
        <v>245.63249999999996</v>
      </c>
      <c r="L48" s="30">
        <f>K48*J48</f>
        <v>682.12145249999992</v>
      </c>
      <c r="M48" s="31"/>
      <c r="N48" s="34">
        <f t="shared" si="14"/>
        <v>11.54920049999987</v>
      </c>
      <c r="O48" s="35">
        <f t="shared" si="15"/>
        <v>1.7222902477032214E-2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Rates!D32</f>
        <v>1.9879</v>
      </c>
      <c r="G49" s="65">
        <f>G48</f>
        <v>244.44</v>
      </c>
      <c r="H49" s="30">
        <f>G49*F49</f>
        <v>485.92227600000001</v>
      </c>
      <c r="I49" s="31"/>
      <c r="J49" s="32">
        <f>Rates!F32</f>
        <v>1.9539</v>
      </c>
      <c r="K49" s="66">
        <f>K48</f>
        <v>245.63249999999996</v>
      </c>
      <c r="L49" s="30">
        <f>K49*J49</f>
        <v>479.94134174999994</v>
      </c>
      <c r="M49" s="31"/>
      <c r="N49" s="34">
        <f t="shared" si="14"/>
        <v>-5.9809342500000753</v>
      </c>
      <c r="O49" s="35">
        <f t="shared" si="15"/>
        <v>-1.2308417509141061E-2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3157.2387680000002</v>
      </c>
      <c r="I50" s="69"/>
      <c r="J50" s="70"/>
      <c r="K50" s="71"/>
      <c r="L50" s="61">
        <f>SUM(L47:L49)</f>
        <v>3733.2312642499987</v>
      </c>
      <c r="M50" s="69"/>
      <c r="N50" s="47">
        <f t="shared" si="14"/>
        <v>575.99249624999857</v>
      </c>
      <c r="O50" s="48">
        <f t="shared" si="15"/>
        <v>0.18243551995114693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Rates!D33</f>
        <v>4.4000000000000003E-3</v>
      </c>
      <c r="G51" s="65">
        <f>F17*(1+F62)</f>
        <v>97776</v>
      </c>
      <c r="H51" s="74">
        <f t="shared" ref="H51:H55" si="16">G51*F51</f>
        <v>430.21440000000001</v>
      </c>
      <c r="I51" s="31"/>
      <c r="J51" s="75">
        <f>Rates!F33</f>
        <v>4.4000000000000003E-3</v>
      </c>
      <c r="K51" s="66">
        <f>F17*(1+J62)</f>
        <v>98252.999999999985</v>
      </c>
      <c r="L51" s="74">
        <f t="shared" ref="L51:L55" si="17">K51*J51</f>
        <v>432.31319999999994</v>
      </c>
      <c r="M51" s="31"/>
      <c r="N51" s="34">
        <f t="shared" si="14"/>
        <v>2.0987999999999261</v>
      </c>
      <c r="O51" s="76">
        <f t="shared" si="15"/>
        <v>4.8784977908687532E-3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Rates!D34</f>
        <v>1.2999999999999999E-3</v>
      </c>
      <c r="G52" s="65">
        <f>G51</f>
        <v>97776</v>
      </c>
      <c r="H52" s="74">
        <f t="shared" si="16"/>
        <v>127.10879999999999</v>
      </c>
      <c r="I52" s="31"/>
      <c r="J52" s="75">
        <f>Rates!F34</f>
        <v>1.2999999999999999E-3</v>
      </c>
      <c r="K52" s="66">
        <f>K51</f>
        <v>98252.999999999985</v>
      </c>
      <c r="L52" s="74">
        <f t="shared" si="17"/>
        <v>127.72889999999998</v>
      </c>
      <c r="M52" s="31"/>
      <c r="N52" s="34">
        <f t="shared" si="14"/>
        <v>0.62009999999999366</v>
      </c>
      <c r="O52" s="76">
        <f t="shared" si="15"/>
        <v>4.8784977908688755E-3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Rates!D35</f>
        <v>0.25</v>
      </c>
      <c r="G53" s="29">
        <v>1</v>
      </c>
      <c r="H53" s="74">
        <f t="shared" si="16"/>
        <v>0.25</v>
      </c>
      <c r="I53" s="31"/>
      <c r="J53" s="75">
        <f>Rates!F35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Rates!D75</f>
        <v>2E-3</v>
      </c>
      <c r="G54" s="77">
        <f>F17</f>
        <v>90000</v>
      </c>
      <c r="H54" s="74">
        <f t="shared" si="16"/>
        <v>180</v>
      </c>
      <c r="I54" s="31"/>
      <c r="J54" s="75">
        <f>Rates!F75</f>
        <v>2E-3</v>
      </c>
      <c r="K54" s="78">
        <f>F17</f>
        <v>90000</v>
      </c>
      <c r="L54" s="74">
        <f t="shared" si="17"/>
        <v>180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Rates!D87</f>
        <v>8.949E-2</v>
      </c>
      <c r="G55" s="80">
        <f>$F$17</f>
        <v>90000</v>
      </c>
      <c r="H55" s="74">
        <f t="shared" si="16"/>
        <v>8054.1</v>
      </c>
      <c r="I55" s="31"/>
      <c r="J55" s="189">
        <f>Rates!F87</f>
        <v>8.949E-2</v>
      </c>
      <c r="K55" s="80">
        <f>F17</f>
        <v>90000</v>
      </c>
      <c r="L55" s="74">
        <f t="shared" si="17"/>
        <v>8054.1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105</v>
      </c>
      <c r="C57" s="25"/>
      <c r="D57" s="25"/>
      <c r="E57" s="25"/>
      <c r="F57" s="101"/>
      <c r="G57" s="102"/>
      <c r="H57" s="103">
        <f>SUM(H51:H55,H50)</f>
        <v>11948.911968</v>
      </c>
      <c r="I57" s="104"/>
      <c r="J57" s="105"/>
      <c r="K57" s="105"/>
      <c r="L57" s="181">
        <f>SUM(L51:L55,L50)</f>
        <v>12527.623364249999</v>
      </c>
      <c r="M57" s="106"/>
      <c r="N57" s="107">
        <f t="shared" ref="N57" si="18">L57-H57</f>
        <v>578.71139624999887</v>
      </c>
      <c r="O57" s="108">
        <f t="shared" ref="O57" si="19">IF((H57)=0,"",(N57/H57))</f>
        <v>4.8432141587437201E-2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1553.35855584</v>
      </c>
      <c r="I58" s="113"/>
      <c r="J58" s="114">
        <v>0.13</v>
      </c>
      <c r="K58" s="113"/>
      <c r="L58" s="115">
        <f>L57*J58</f>
        <v>1628.5910373525001</v>
      </c>
      <c r="M58" s="116"/>
      <c r="N58" s="117">
        <f t="shared" si="14"/>
        <v>75.232481512500044</v>
      </c>
      <c r="O58" s="118">
        <f t="shared" si="15"/>
        <v>4.8432141587437319E-2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13502.270523840001</v>
      </c>
      <c r="I59" s="113"/>
      <c r="J59" s="113"/>
      <c r="K59" s="113"/>
      <c r="L59" s="115">
        <f>L57+L58</f>
        <v>14156.214401602499</v>
      </c>
      <c r="M59" s="116"/>
      <c r="N59" s="117">
        <f t="shared" si="14"/>
        <v>653.94387776249823</v>
      </c>
      <c r="O59" s="118">
        <f t="shared" si="15"/>
        <v>4.8432141587437159E-2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Rates!D80</f>
        <v>8.6400000000000005E-2</v>
      </c>
      <c r="J62" s="179">
        <f>Rates!F80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8:E49 E40:E46 E22:E38 E60 E51:E56">
      <formula1>#REF!</formula1>
    </dataValidation>
    <dataValidation type="list" allowBlank="1" showInputMessage="1" showErrorMessage="1" prompt="Select Charge Unit - monthly, per kWh, per kW" sqref="D48:D49 D40:D46 D60 D22:D38 D51:D56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4"/>
  <sheetViews>
    <sheetView showGridLines="0" topLeftCell="A34" zoomScaleNormal="100" workbookViewId="0">
      <selection activeCell="N31" sqref="N31:O3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91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8" t="s">
        <v>85</v>
      </c>
      <c r="J17" s="228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5" t="s">
        <v>13</v>
      </c>
      <c r="G19" s="216"/>
      <c r="H19" s="217"/>
      <c r="J19" s="215" t="s">
        <v>14</v>
      </c>
      <c r="K19" s="216"/>
      <c r="L19" s="217"/>
      <c r="N19" s="215" t="s">
        <v>15</v>
      </c>
      <c r="O19" s="217"/>
    </row>
    <row r="20" spans="2:15" x14ac:dyDescent="0.25">
      <c r="B20" s="15"/>
      <c r="D20" s="219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1" t="s">
        <v>20</v>
      </c>
      <c r="O20" s="223" t="s">
        <v>21</v>
      </c>
    </row>
    <row r="21" spans="2:15" x14ac:dyDescent="0.25">
      <c r="B21" s="15"/>
      <c r="D21" s="220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2"/>
      <c r="O21" s="224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Rates!D20</f>
        <v>596.12</v>
      </c>
      <c r="G22" s="29">
        <v>1</v>
      </c>
      <c r="H22" s="30">
        <f>G22*F22</f>
        <v>596.12</v>
      </c>
      <c r="I22" s="31"/>
      <c r="J22" s="32">
        <f>Rates!F20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Rates!D21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Rates!F21</f>
        <v>3.2725</v>
      </c>
      <c r="K28" s="185">
        <f>$K$17</f>
        <v>225</v>
      </c>
      <c r="L28" s="30">
        <f t="shared" si="1"/>
        <v>736.3125</v>
      </c>
      <c r="M28" s="31"/>
      <c r="N28" s="34">
        <f t="shared" si="2"/>
        <v>41.355000000000018</v>
      </c>
      <c r="O28" s="35">
        <f t="shared" si="3"/>
        <v>5.9507236054003328E-2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225</v>
      </c>
      <c r="H29" s="30">
        <f t="shared" si="0"/>
        <v>0</v>
      </c>
      <c r="I29" s="31"/>
      <c r="J29" s="32"/>
      <c r="K29" s="29">
        <f t="shared" ref="K29:K44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Rates!A27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Rates!D27</f>
        <v>0</v>
      </c>
      <c r="G30" s="29">
        <f t="shared" si="4"/>
        <v>225</v>
      </c>
      <c r="H30" s="30">
        <f t="shared" si="0"/>
        <v>0</v>
      </c>
      <c r="I30" s="31"/>
      <c r="J30" s="32">
        <f>Rates!F27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Rates!A22</f>
        <v>Foregone Revenue Recovery (2013) - effective until December 31, 2014 (2014)</v>
      </c>
      <c r="C31" s="25"/>
      <c r="D31" s="63" t="s">
        <v>87</v>
      </c>
      <c r="E31" s="27"/>
      <c r="F31" s="32">
        <f>Rates!D22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Rates!F22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Rates!A23</f>
        <v>Foregone Revenue Recovery (2014) - effective until December 31, 2014 (2014)</v>
      </c>
      <c r="C32" s="25"/>
      <c r="D32" s="63" t="s">
        <v>87</v>
      </c>
      <c r="E32" s="27"/>
      <c r="F32" s="32">
        <f>Rates!D23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Rates!F23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Rates!A7</f>
        <v>Tax Changes - effective until December 31, 2014</v>
      </c>
      <c r="C33" s="25"/>
      <c r="D33" s="63" t="s">
        <v>87</v>
      </c>
      <c r="E33" s="27"/>
      <c r="F33" s="32">
        <f>Rates!D24</f>
        <v>-1.4800000000000001E-2</v>
      </c>
      <c r="G33" s="29">
        <f t="shared" si="4"/>
        <v>225</v>
      </c>
      <c r="H33" s="30">
        <f t="shared" si="0"/>
        <v>-3.33</v>
      </c>
      <c r="I33" s="31"/>
      <c r="J33" s="32">
        <f>Rates!F24</f>
        <v>0</v>
      </c>
      <c r="K33" s="29">
        <f t="shared" si="5"/>
        <v>225</v>
      </c>
      <c r="L33" s="30">
        <f t="shared" si="1"/>
        <v>0</v>
      </c>
      <c r="M33" s="31"/>
      <c r="N33" s="34">
        <f t="shared" si="2"/>
        <v>3.33</v>
      </c>
      <c r="O33" s="35">
        <f t="shared" si="3"/>
        <v>-1</v>
      </c>
    </row>
    <row r="34" spans="2:15" ht="45" x14ac:dyDescent="0.25">
      <c r="B34" s="183" t="str">
        <f>Rates!A28</f>
        <v>Rate Rider for the Disposition of Account 1575 &amp; 1576 - effective until December 31, 2019</v>
      </c>
      <c r="C34" s="25"/>
      <c r="D34" s="63" t="s">
        <v>87</v>
      </c>
      <c r="E34" s="27"/>
      <c r="F34" s="32">
        <f>Rates!D28</f>
        <v>0</v>
      </c>
      <c r="G34" s="29">
        <f t="shared" si="4"/>
        <v>225</v>
      </c>
      <c r="H34" s="30">
        <f t="shared" si="0"/>
        <v>0</v>
      </c>
      <c r="I34" s="31"/>
      <c r="J34" s="32">
        <f>Rates!F28</f>
        <v>-0.78769999999999996</v>
      </c>
      <c r="K34" s="29">
        <f t="shared" si="5"/>
        <v>225</v>
      </c>
      <c r="L34" s="30">
        <f t="shared" si="1"/>
        <v>-177.23249999999999</v>
      </c>
      <c r="M34" s="31"/>
      <c r="N34" s="34">
        <f t="shared" si="2"/>
        <v>-177.23249999999999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1304.8699999999999</v>
      </c>
      <c r="I39" s="44"/>
      <c r="J39" s="45"/>
      <c r="K39" s="46"/>
      <c r="L39" s="43">
        <f>SUM(L22:L38)</f>
        <v>1155.8524999999997</v>
      </c>
      <c r="M39" s="44"/>
      <c r="N39" s="47">
        <f t="shared" si="2"/>
        <v>-149.01750000000015</v>
      </c>
      <c r="O39" s="48">
        <f t="shared" si="3"/>
        <v>-0.11420103152038147</v>
      </c>
    </row>
    <row r="40" spans="2:15" ht="38.25" x14ac:dyDescent="0.25">
      <c r="B40" s="50" t="str">
        <f>Rates!A25</f>
        <v>Rate Rider for the Disposition of Deferral/Variance Accounts (2014) - effective until December 31, 2015</v>
      </c>
      <c r="C40" s="25"/>
      <c r="D40" s="63" t="s">
        <v>87</v>
      </c>
      <c r="E40" s="27"/>
      <c r="F40" s="32">
        <f>Rates!D25</f>
        <v>0</v>
      </c>
      <c r="G40" s="29">
        <f t="shared" si="4"/>
        <v>225</v>
      </c>
      <c r="H40" s="30">
        <f>G40*F40</f>
        <v>0</v>
      </c>
      <c r="I40" s="31"/>
      <c r="J40" s="32">
        <f>Rates!F25</f>
        <v>-5.4025999999999996</v>
      </c>
      <c r="K40" s="29">
        <f t="shared" si="5"/>
        <v>225</v>
      </c>
      <c r="L40" s="30">
        <f>K40*J40</f>
        <v>-1215.5849999999998</v>
      </c>
      <c r="M40" s="31"/>
      <c r="N40" s="34">
        <f>L40-H40</f>
        <v>-1215.5849999999998</v>
      </c>
      <c r="O40" s="35" t="str">
        <f>IF((H40)=0,"",(N40/H40))</f>
        <v/>
      </c>
    </row>
    <row r="41" spans="2:15" ht="38.25" x14ac:dyDescent="0.25">
      <c r="B41" s="50" t="str">
        <f>Rates!A26</f>
        <v>Rate Rider for the Disposition of Global Adjustment Sub-Account (2014) - effective until December 31, 2015</v>
      </c>
      <c r="C41" s="25"/>
      <c r="D41" s="63" t="s">
        <v>87</v>
      </c>
      <c r="E41" s="27"/>
      <c r="F41" s="32">
        <f>Rates!D26</f>
        <v>0</v>
      </c>
      <c r="G41" s="29">
        <f t="shared" si="4"/>
        <v>225</v>
      </c>
      <c r="H41" s="30">
        <f t="shared" ref="H41:H45" si="10">G41*F41</f>
        <v>0</v>
      </c>
      <c r="I41" s="51"/>
      <c r="J41" s="32">
        <v>0</v>
      </c>
      <c r="K41" s="29">
        <f t="shared" si="5"/>
        <v>225</v>
      </c>
      <c r="L41" s="30">
        <f t="shared" ref="L41:L45" si="11">K41*J41</f>
        <v>0</v>
      </c>
      <c r="M41" s="52"/>
      <c r="N41" s="34">
        <f t="shared" ref="N41:N45" si="12">L41-H41</f>
        <v>0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10"/>
        <v>0</v>
      </c>
      <c r="I42" s="51"/>
      <c r="J42" s="32"/>
      <c r="K42" s="29">
        <f t="shared" si="5"/>
        <v>225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0"/>
        <v>0</v>
      </c>
      <c r="I43" s="51"/>
      <c r="J43" s="32"/>
      <c r="K43" s="29">
        <f t="shared" si="5"/>
        <v>225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225</v>
      </c>
      <c r="H44" s="30">
        <f>G44*F44</f>
        <v>0</v>
      </c>
      <c r="I44" s="31"/>
      <c r="J44" s="32"/>
      <c r="K44" s="29">
        <f t="shared" si="5"/>
        <v>225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Rates!D88</f>
        <v>8.899E-2</v>
      </c>
      <c r="G45" s="55">
        <f>$F$17*(1+$F$62)-$F$17</f>
        <v>7776</v>
      </c>
      <c r="H45" s="30">
        <f t="shared" si="10"/>
        <v>691.98623999999995</v>
      </c>
      <c r="I45" s="31"/>
      <c r="J45" s="188">
        <f>Rates!F88</f>
        <v>8.899E-2</v>
      </c>
      <c r="K45" s="55">
        <f>$F$17*(1+$J$62)-$F$17</f>
        <v>8252.9999999999854</v>
      </c>
      <c r="L45" s="30">
        <f t="shared" si="11"/>
        <v>734.43446999999867</v>
      </c>
      <c r="M45" s="31"/>
      <c r="N45" s="34">
        <f t="shared" si="12"/>
        <v>42.448229999998716</v>
      </c>
      <c r="O45" s="35">
        <f t="shared" si="13"/>
        <v>6.1342592592590742E-2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1996.8562399999998</v>
      </c>
      <c r="I47" s="44"/>
      <c r="J47" s="60"/>
      <c r="K47" s="62"/>
      <c r="L47" s="61">
        <f>SUM(L40:L46)+L39</f>
        <v>674.7019699999986</v>
      </c>
      <c r="M47" s="44"/>
      <c r="N47" s="47">
        <f t="shared" ref="N47:N59" si="14">L47-H47</f>
        <v>-1322.1542700000014</v>
      </c>
      <c r="O47" s="48">
        <f t="shared" ref="O47:O59" si="15">IF((H47)=0,"",(N47/H47))</f>
        <v>-0.6621179048923429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Rates!D29</f>
        <v>2.5861000000000001</v>
      </c>
      <c r="G48" s="65">
        <f>K17*(1+F62)</f>
        <v>244.44</v>
      </c>
      <c r="H48" s="30">
        <f>G48*F48</f>
        <v>632.14628400000004</v>
      </c>
      <c r="I48" s="31"/>
      <c r="J48" s="32">
        <f>Rates!F29</f>
        <v>2.7770000000000001</v>
      </c>
      <c r="K48" s="66">
        <f>K17*(1+J62)</f>
        <v>245.63249999999996</v>
      </c>
      <c r="L48" s="30">
        <f>K48*J48</f>
        <v>682.12145249999992</v>
      </c>
      <c r="M48" s="31"/>
      <c r="N48" s="34">
        <f t="shared" si="14"/>
        <v>49.975168499999882</v>
      </c>
      <c r="O48" s="35">
        <f t="shared" si="15"/>
        <v>7.9056335163080513E-2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Rates!D30</f>
        <v>1.7988</v>
      </c>
      <c r="G49" s="65">
        <f>G48</f>
        <v>244.44</v>
      </c>
      <c r="H49" s="30">
        <f>G49*F49</f>
        <v>439.69867199999999</v>
      </c>
      <c r="I49" s="31"/>
      <c r="J49" s="32">
        <f>Rates!F30</f>
        <v>1.9539</v>
      </c>
      <c r="K49" s="66">
        <f>K48</f>
        <v>245.63249999999996</v>
      </c>
      <c r="L49" s="30">
        <f>K49*J49</f>
        <v>479.94134174999994</v>
      </c>
      <c r="M49" s="31"/>
      <c r="N49" s="34">
        <f t="shared" si="14"/>
        <v>40.242669749999948</v>
      </c>
      <c r="O49" s="35">
        <f t="shared" si="15"/>
        <v>9.1523291546352331E-2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3068.701196</v>
      </c>
      <c r="I50" s="69"/>
      <c r="J50" s="70"/>
      <c r="K50" s="71"/>
      <c r="L50" s="61">
        <f>SUM(L47:L49)</f>
        <v>1836.7647642499985</v>
      </c>
      <c r="M50" s="69"/>
      <c r="N50" s="47">
        <f t="shared" si="14"/>
        <v>-1231.9364317500015</v>
      </c>
      <c r="O50" s="48">
        <f t="shared" si="15"/>
        <v>-0.40145206491782576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Rates!D33</f>
        <v>4.4000000000000003E-3</v>
      </c>
      <c r="G51" s="65">
        <f>F17*(1+F62)</f>
        <v>97776</v>
      </c>
      <c r="H51" s="74">
        <f t="shared" ref="H51:H55" si="16">G51*F51</f>
        <v>430.21440000000001</v>
      </c>
      <c r="I51" s="31"/>
      <c r="J51" s="75">
        <f>Rates!F33</f>
        <v>4.4000000000000003E-3</v>
      </c>
      <c r="K51" s="66">
        <f>F17*(1+J62)</f>
        <v>98252.999999999985</v>
      </c>
      <c r="L51" s="74">
        <f t="shared" ref="L51:L55" si="17">K51*J51</f>
        <v>432.31319999999994</v>
      </c>
      <c r="M51" s="31"/>
      <c r="N51" s="34">
        <f t="shared" si="14"/>
        <v>2.0987999999999261</v>
      </c>
      <c r="O51" s="76">
        <f t="shared" si="15"/>
        <v>4.8784977908687532E-3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Rates!D34</f>
        <v>1.2999999999999999E-3</v>
      </c>
      <c r="G52" s="65">
        <f>G51</f>
        <v>97776</v>
      </c>
      <c r="H52" s="74">
        <f t="shared" si="16"/>
        <v>127.10879999999999</v>
      </c>
      <c r="I52" s="31"/>
      <c r="J52" s="75">
        <f>Rates!F34</f>
        <v>1.2999999999999999E-3</v>
      </c>
      <c r="K52" s="66">
        <f>K51</f>
        <v>98252.999999999985</v>
      </c>
      <c r="L52" s="74">
        <f t="shared" si="17"/>
        <v>127.72889999999998</v>
      </c>
      <c r="M52" s="31"/>
      <c r="N52" s="34">
        <f t="shared" si="14"/>
        <v>0.62009999999999366</v>
      </c>
      <c r="O52" s="76">
        <f t="shared" si="15"/>
        <v>4.8784977908688755E-3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Rates!D35</f>
        <v>0.25</v>
      </c>
      <c r="G53" s="29">
        <v>1</v>
      </c>
      <c r="H53" s="74">
        <f t="shared" si="16"/>
        <v>0.25</v>
      </c>
      <c r="I53" s="31"/>
      <c r="J53" s="75">
        <f>Rates!F35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Rates!D75</f>
        <v>2E-3</v>
      </c>
      <c r="G54" s="77">
        <f>F17</f>
        <v>90000</v>
      </c>
      <c r="H54" s="74">
        <f t="shared" si="16"/>
        <v>180</v>
      </c>
      <c r="I54" s="31"/>
      <c r="J54" s="75">
        <f>Rates!F75</f>
        <v>2E-3</v>
      </c>
      <c r="K54" s="78">
        <f>F17</f>
        <v>90000</v>
      </c>
      <c r="L54" s="74">
        <f t="shared" si="17"/>
        <v>180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Rates!D87</f>
        <v>8.949E-2</v>
      </c>
      <c r="G55" s="80">
        <f>$F$17</f>
        <v>90000</v>
      </c>
      <c r="H55" s="74">
        <f t="shared" si="16"/>
        <v>8054.1</v>
      </c>
      <c r="I55" s="31"/>
      <c r="J55" s="189">
        <f>Rates!F87</f>
        <v>8.949E-2</v>
      </c>
      <c r="K55" s="80">
        <f>F17</f>
        <v>90000</v>
      </c>
      <c r="L55" s="74">
        <f t="shared" si="17"/>
        <v>8054.1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105</v>
      </c>
      <c r="C57" s="25"/>
      <c r="D57" s="25"/>
      <c r="E57" s="25"/>
      <c r="F57" s="101"/>
      <c r="G57" s="102"/>
      <c r="H57" s="103">
        <f>SUM(H51:H55,H50)</f>
        <v>11860.374396000001</v>
      </c>
      <c r="I57" s="104"/>
      <c r="J57" s="105"/>
      <c r="K57" s="105"/>
      <c r="L57" s="181">
        <f>SUM(L51:L55,L50)</f>
        <v>10631.156864249999</v>
      </c>
      <c r="M57" s="106"/>
      <c r="N57" s="107">
        <f t="shared" ref="N57" si="18">L57-H57</f>
        <v>-1229.2175317500023</v>
      </c>
      <c r="O57" s="108">
        <f t="shared" ref="O57" si="19">IF((H57)=0,"",(N57/H57))</f>
        <v>-0.10364070228377993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1541.8486714800001</v>
      </c>
      <c r="I58" s="113"/>
      <c r="J58" s="114">
        <v>0.13</v>
      </c>
      <c r="K58" s="113"/>
      <c r="L58" s="115">
        <f>L57*J58</f>
        <v>1382.0503923524998</v>
      </c>
      <c r="M58" s="116"/>
      <c r="N58" s="117">
        <f t="shared" si="14"/>
        <v>-159.79827912750034</v>
      </c>
      <c r="O58" s="118">
        <f t="shared" si="15"/>
        <v>-0.10364070228377996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13402.223067480001</v>
      </c>
      <c r="I59" s="113"/>
      <c r="J59" s="113"/>
      <c r="K59" s="113"/>
      <c r="L59" s="115">
        <f>L57+L58</f>
        <v>12013.207256602498</v>
      </c>
      <c r="M59" s="116"/>
      <c r="N59" s="117">
        <f t="shared" si="14"/>
        <v>-1389.0158108775031</v>
      </c>
      <c r="O59" s="118">
        <f t="shared" si="15"/>
        <v>-0.10364070228377996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Rates!D80</f>
        <v>8.6400000000000005E-2</v>
      </c>
      <c r="J62" s="179">
        <f>Rates!F80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8:E49 E40:E46 E22:E38 E60 E51:E56">
      <formula1>#REF!</formula1>
    </dataValidation>
    <dataValidation type="list" allowBlank="1" showInputMessage="1" showErrorMessage="1" prompt="Select Charge Unit - monthly, per kWh, per kW" sqref="D48:D49 D40:D46 D60 D22:D38 D51:D56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7"/>
  <sheetViews>
    <sheetView showGridLines="0" topLeftCell="A4" zoomScaleNormal="100" workbookViewId="0">
      <selection activeCell="N32" sqref="N32:O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109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5" t="s">
        <v>13</v>
      </c>
      <c r="G20" s="216"/>
      <c r="H20" s="217"/>
      <c r="J20" s="215" t="s">
        <v>14</v>
      </c>
      <c r="K20" s="216"/>
      <c r="L20" s="217"/>
      <c r="N20" s="215" t="s">
        <v>15</v>
      </c>
      <c r="O20" s="217"/>
    </row>
    <row r="21" spans="2:15" x14ac:dyDescent="0.25">
      <c r="B21" s="15"/>
      <c r="D21" s="219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1" t="s">
        <v>20</v>
      </c>
      <c r="O21" s="223" t="s">
        <v>21</v>
      </c>
    </row>
    <row r="22" spans="2:15" x14ac:dyDescent="0.25">
      <c r="B22" s="15"/>
      <c r="D22" s="220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2"/>
      <c r="O22" s="224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Rates!D38</f>
        <v>26.75</v>
      </c>
      <c r="G23" s="29">
        <v>1</v>
      </c>
      <c r="H23" s="30">
        <f>G23*F23</f>
        <v>26.75</v>
      </c>
      <c r="I23" s="31"/>
      <c r="J23" s="32">
        <f>Rates!F38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Rates!A43</f>
        <v>SME - Net Deferred Revenue Requirement, effective until December 31, 2016</v>
      </c>
      <c r="C25" s="25"/>
      <c r="D25" s="63" t="s">
        <v>79</v>
      </c>
      <c r="E25" s="27"/>
      <c r="F25" s="32">
        <f>Rates!D43</f>
        <v>3.57</v>
      </c>
      <c r="G25" s="29">
        <v>1</v>
      </c>
      <c r="H25" s="30">
        <f t="shared" si="0"/>
        <v>3.57</v>
      </c>
      <c r="I25" s="31"/>
      <c r="J25" s="32">
        <f>Rates!F43</f>
        <v>3.57</v>
      </c>
      <c r="K25" s="33">
        <v>1</v>
      </c>
      <c r="L25" s="30">
        <f t="shared" ref="L25:L39" si="1">K25*J25</f>
        <v>3.57</v>
      </c>
      <c r="M25" s="31"/>
      <c r="N25" s="34">
        <f t="shared" ref="N25:N40" si="2">L25-H25</f>
        <v>0</v>
      </c>
      <c r="O25" s="35">
        <f t="shared" ref="O25:O40" si="3">IF((H25)=0,"",(N25/H25))</f>
        <v>0</v>
      </c>
    </row>
    <row r="26" spans="2:15" ht="45" x14ac:dyDescent="0.25">
      <c r="B26" s="183" t="str">
        <f>Rates!A44</f>
        <v>SME - Incremental Revenue Requirement, effective until December 31, 2014</v>
      </c>
      <c r="C26" s="25"/>
      <c r="D26" s="63" t="s">
        <v>79</v>
      </c>
      <c r="E26" s="27"/>
      <c r="F26" s="32">
        <f>Rates!D44</f>
        <v>4.6900000000000004</v>
      </c>
      <c r="G26" s="29">
        <v>1</v>
      </c>
      <c r="H26" s="30">
        <f t="shared" si="0"/>
        <v>4.6900000000000004</v>
      </c>
      <c r="I26" s="31"/>
      <c r="J26" s="32">
        <f>Rates!F44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45" x14ac:dyDescent="0.25">
      <c r="B27" s="208" t="str">
        <f>Rates!A45</f>
        <v>Rate Rider for Stranded Meter Assets - effective until December 31, 2015</v>
      </c>
      <c r="C27" s="25"/>
      <c r="D27" s="63" t="s">
        <v>79</v>
      </c>
      <c r="E27" s="27"/>
      <c r="F27" s="32">
        <f>Rates!D45</f>
        <v>0</v>
      </c>
      <c r="G27" s="29">
        <v>1</v>
      </c>
      <c r="H27" s="30">
        <f t="shared" si="0"/>
        <v>0</v>
      </c>
      <c r="I27" s="31"/>
      <c r="J27" s="32">
        <f>Rates!F45</f>
        <v>2.27</v>
      </c>
      <c r="K27" s="33">
        <v>1</v>
      </c>
      <c r="L27" s="30">
        <f t="shared" si="1"/>
        <v>2.27</v>
      </c>
      <c r="M27" s="31"/>
      <c r="N27" s="34">
        <f t="shared" si="2"/>
        <v>2.27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Rates!D39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Rates!F39</f>
        <v>0.1323</v>
      </c>
      <c r="K29" s="29">
        <f>$F$18</f>
        <v>287</v>
      </c>
      <c r="L29" s="30">
        <f t="shared" si="1"/>
        <v>37.970100000000002</v>
      </c>
      <c r="M29" s="31"/>
      <c r="N29" s="34">
        <f t="shared" si="2"/>
        <v>8.4377999999999993</v>
      </c>
      <c r="O29" s="35">
        <f t="shared" si="3"/>
        <v>0.28571428571428564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39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Rates!A40</f>
        <v>Foregone Revenue Recovery (2013) - effective until December 31, 2014 (2014)</v>
      </c>
      <c r="C32" s="25"/>
      <c r="D32" s="63" t="s">
        <v>80</v>
      </c>
      <c r="E32" s="27"/>
      <c r="F32" s="32">
        <f>Rates!D40</f>
        <v>2.9999999999999997E-4</v>
      </c>
      <c r="G32" s="29">
        <f t="shared" ref="G32:G39" si="6">$F$18</f>
        <v>287</v>
      </c>
      <c r="H32" s="30">
        <f t="shared" si="0"/>
        <v>8.6099999999999996E-2</v>
      </c>
      <c r="I32" s="31"/>
      <c r="J32" s="32">
        <f>Rates!F40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-8.6099999999999996E-2</v>
      </c>
      <c r="O32" s="35">
        <f t="shared" si="3"/>
        <v>-1</v>
      </c>
    </row>
    <row r="33" spans="2:15" ht="30" x14ac:dyDescent="0.25">
      <c r="B33" s="183" t="str">
        <f>Rates!A41</f>
        <v>Foregone Revenue Recovery (2014) - effective until December 31, 2014 (2014)</v>
      </c>
      <c r="C33" s="25"/>
      <c r="D33" s="63" t="s">
        <v>80</v>
      </c>
      <c r="E33" s="27"/>
      <c r="F33" s="32">
        <f>Rates!D41</f>
        <v>5.0000000000000001E-4</v>
      </c>
      <c r="G33" s="29">
        <f t="shared" si="6"/>
        <v>287</v>
      </c>
      <c r="H33" s="30">
        <f t="shared" ref="H33" si="7">G33*F33</f>
        <v>0.14350000000000002</v>
      </c>
      <c r="I33" s="31"/>
      <c r="J33" s="32">
        <f>Rates!F41</f>
        <v>0</v>
      </c>
      <c r="K33" s="29">
        <f t="shared" si="5"/>
        <v>287</v>
      </c>
      <c r="L33" s="30">
        <f t="shared" ref="L33" si="8">K33*J33</f>
        <v>0</v>
      </c>
      <c r="M33" s="31"/>
      <c r="N33" s="34">
        <f t="shared" ref="N33" si="9">L33-H33</f>
        <v>-0.14350000000000002</v>
      </c>
      <c r="O33" s="35">
        <f t="shared" ref="O33" si="10">IF((H33)=0,"",(N33/H33))</f>
        <v>-1</v>
      </c>
    </row>
    <row r="34" spans="2:15" ht="30" x14ac:dyDescent="0.25">
      <c r="B34" s="183" t="str">
        <f>Rates!A7</f>
        <v>Tax Changes - effective until December 31, 2014</v>
      </c>
      <c r="C34" s="25"/>
      <c r="D34" s="63" t="s">
        <v>80</v>
      </c>
      <c r="E34" s="27"/>
      <c r="F34" s="32">
        <f>Rates!D46</f>
        <v>-5.9999999999999995E-4</v>
      </c>
      <c r="G34" s="29">
        <f t="shared" si="6"/>
        <v>287</v>
      </c>
      <c r="H34" s="30">
        <f t="shared" si="0"/>
        <v>-0.17219999999999999</v>
      </c>
      <c r="I34" s="31"/>
      <c r="J34" s="32">
        <f>Rates!F46</f>
        <v>0</v>
      </c>
      <c r="K34" s="29">
        <f t="shared" si="5"/>
        <v>287</v>
      </c>
      <c r="L34" s="30">
        <f t="shared" si="1"/>
        <v>0</v>
      </c>
      <c r="M34" s="31"/>
      <c r="N34" s="34">
        <f t="shared" si="2"/>
        <v>0.17219999999999999</v>
      </c>
      <c r="O34" s="35">
        <f t="shared" si="3"/>
        <v>-1</v>
      </c>
    </row>
    <row r="35" spans="2:15" ht="30" x14ac:dyDescent="0.25">
      <c r="B35" s="183" t="str">
        <f>Rates!A42</f>
        <v>Deferral/Variance Account Disposition - effective until June 30, 2019</v>
      </c>
      <c r="C35" s="25"/>
      <c r="D35" s="63" t="s">
        <v>80</v>
      </c>
      <c r="E35" s="27"/>
      <c r="F35" s="32">
        <f>Rates!D42</f>
        <v>3.0700000000000002E-2</v>
      </c>
      <c r="G35" s="29">
        <f t="shared" si="6"/>
        <v>287</v>
      </c>
      <c r="H35" s="30">
        <f t="shared" si="0"/>
        <v>8.8109000000000002</v>
      </c>
      <c r="I35" s="31"/>
      <c r="J35" s="32">
        <f>Rates!F42</f>
        <v>3.0700000000000002E-2</v>
      </c>
      <c r="K35" s="29">
        <f t="shared" si="5"/>
        <v>287</v>
      </c>
      <c r="L35" s="30">
        <f t="shared" si="1"/>
        <v>8.8109000000000002</v>
      </c>
      <c r="M35" s="31"/>
      <c r="N35" s="34">
        <f t="shared" si="2"/>
        <v>0</v>
      </c>
      <c r="O35" s="35">
        <f t="shared" si="3"/>
        <v>0</v>
      </c>
    </row>
    <row r="36" spans="2:15" ht="45" x14ac:dyDescent="0.25">
      <c r="B36" s="183" t="str">
        <f>Rates!A67</f>
        <v>Rate Rider for the Disposition of Account 1575 &amp; 1576 - effective until December 31, 2019</v>
      </c>
      <c r="C36" s="25"/>
      <c r="D36" s="63" t="s">
        <v>80</v>
      </c>
      <c r="E36" s="27"/>
      <c r="F36" s="32">
        <f>Rates!D50</f>
        <v>0</v>
      </c>
      <c r="G36" s="29">
        <f t="shared" si="6"/>
        <v>287</v>
      </c>
      <c r="H36" s="30">
        <f t="shared" si="0"/>
        <v>0</v>
      </c>
      <c r="I36" s="31"/>
      <c r="J36" s="32">
        <f>Rates!F50</f>
        <v>-1.9E-3</v>
      </c>
      <c r="K36" s="29">
        <f t="shared" si="5"/>
        <v>287</v>
      </c>
      <c r="L36" s="30">
        <f t="shared" si="1"/>
        <v>-0.54530000000000001</v>
      </c>
      <c r="M36" s="31"/>
      <c r="N36" s="34">
        <f t="shared" si="2"/>
        <v>-0.54530000000000001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287</v>
      </c>
      <c r="H37" s="30">
        <f t="shared" si="0"/>
        <v>0</v>
      </c>
      <c r="I37" s="31"/>
      <c r="J37" s="32"/>
      <c r="K37" s="29">
        <f t="shared" si="5"/>
        <v>287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287</v>
      </c>
      <c r="H39" s="30">
        <f t="shared" si="0"/>
        <v>0</v>
      </c>
      <c r="I39" s="31"/>
      <c r="J39" s="32"/>
      <c r="K39" s="29">
        <f t="shared" si="5"/>
        <v>287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73.410600000000002</v>
      </c>
      <c r="I40" s="44"/>
      <c r="J40" s="45"/>
      <c r="K40" s="46"/>
      <c r="L40" s="43">
        <f>SUM(L23:L39)</f>
        <v>78.825700000000012</v>
      </c>
      <c r="M40" s="44"/>
      <c r="N40" s="47">
        <f t="shared" si="2"/>
        <v>5.4151000000000096</v>
      </c>
      <c r="O40" s="48">
        <f t="shared" si="3"/>
        <v>7.376455171324045E-2</v>
      </c>
    </row>
    <row r="41" spans="2:15" ht="38.25" x14ac:dyDescent="0.25">
      <c r="B41" s="50" t="str">
        <f>Rates!A47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Rates!D47</f>
        <v>0</v>
      </c>
      <c r="G41" s="29">
        <f>$F$18</f>
        <v>287</v>
      </c>
      <c r="H41" s="30">
        <f>G41*F41</f>
        <v>0</v>
      </c>
      <c r="I41" s="31"/>
      <c r="J41" s="32">
        <f>Rates!F47</f>
        <v>-1.29E-2</v>
      </c>
      <c r="K41" s="29">
        <f>$F$18</f>
        <v>287</v>
      </c>
      <c r="L41" s="30">
        <f>K41*J41</f>
        <v>-3.7023000000000001</v>
      </c>
      <c r="M41" s="31"/>
      <c r="N41" s="34">
        <f>L41-H41</f>
        <v>-3.7023000000000001</v>
      </c>
      <c r="O41" s="35" t="str">
        <f>IF((H41)=0,"",(N41/H41))</f>
        <v/>
      </c>
    </row>
    <row r="42" spans="2:15" ht="38.25" x14ac:dyDescent="0.25">
      <c r="B42" s="50" t="str">
        <f>Rates!A48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Rates!D48</f>
        <v>0</v>
      </c>
      <c r="G42" s="29">
        <f t="shared" ref="G42:G45" si="11">$F$18</f>
        <v>287</v>
      </c>
      <c r="H42" s="30">
        <f t="shared" ref="H42:H46" si="12">G42*F42</f>
        <v>0</v>
      </c>
      <c r="I42" s="51"/>
      <c r="J42" s="32">
        <v>0</v>
      </c>
      <c r="K42" s="29">
        <f t="shared" ref="K42:K45" si="13">$F$18</f>
        <v>287</v>
      </c>
      <c r="L42" s="30">
        <f t="shared" ref="L42:L46" si="14">K42*J42</f>
        <v>0</v>
      </c>
      <c r="M42" s="52"/>
      <c r="N42" s="34">
        <f t="shared" ref="N42:N46" si="15">L42-H42</f>
        <v>0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11"/>
        <v>287</v>
      </c>
      <c r="H43" s="30">
        <f t="shared" si="12"/>
        <v>0</v>
      </c>
      <c r="I43" s="51"/>
      <c r="J43" s="32"/>
      <c r="K43" s="29">
        <f t="shared" si="13"/>
        <v>287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11"/>
        <v>287</v>
      </c>
      <c r="H44" s="30">
        <f t="shared" si="12"/>
        <v>0</v>
      </c>
      <c r="I44" s="51"/>
      <c r="J44" s="32"/>
      <c r="K44" s="29">
        <f t="shared" si="13"/>
        <v>287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11"/>
        <v>287</v>
      </c>
      <c r="H45" s="30">
        <f>G45*F45</f>
        <v>0</v>
      </c>
      <c r="I45" s="31"/>
      <c r="J45" s="32"/>
      <c r="K45" s="29">
        <f t="shared" si="13"/>
        <v>287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IF(ISBLANK(D16)=TRUE, 0, IF(D16="TOU", 0.64*$F$56+0.18*$F$57+0.18*$F$58, IF(AND(D16="non-TOU", G60&gt;0), F60,F59)))</f>
        <v>8.8919999999999999E-2</v>
      </c>
      <c r="G46" s="55">
        <f>$F$18*(1+$F$75)-$F$18</f>
        <v>24.796800000000019</v>
      </c>
      <c r="H46" s="30">
        <f t="shared" si="12"/>
        <v>2.2049314560000015</v>
      </c>
      <c r="I46" s="31"/>
      <c r="J46" s="56">
        <f>0.64*$F$56+0.18*$F$57+0.18*$F$58</f>
        <v>8.8919999999999999E-2</v>
      </c>
      <c r="K46" s="55">
        <f>$F$18*(1+$J$75)-$F$18</f>
        <v>26.317899999999952</v>
      </c>
      <c r="L46" s="30">
        <f t="shared" si="14"/>
        <v>2.3401876679999956</v>
      </c>
      <c r="M46" s="31"/>
      <c r="N46" s="34">
        <f t="shared" si="15"/>
        <v>0.13525621199999405</v>
      </c>
      <c r="O46" s="35">
        <f t="shared" si="16"/>
        <v>6.1342592592589854E-2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Rates!D55</f>
        <v>0.79</v>
      </c>
      <c r="G47" s="29">
        <v>1</v>
      </c>
      <c r="H47" s="30">
        <f>G47*F47</f>
        <v>0.79</v>
      </c>
      <c r="I47" s="31"/>
      <c r="J47" s="54">
        <f>Rates!F55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76.405531456000006</v>
      </c>
      <c r="I48" s="44"/>
      <c r="J48" s="60"/>
      <c r="K48" s="62"/>
      <c r="L48" s="61">
        <f>SUM(L41:L47)+L40</f>
        <v>78.253587668000009</v>
      </c>
      <c r="M48" s="44"/>
      <c r="N48" s="47">
        <f t="shared" ref="N48:N66" si="17">L48-H48</f>
        <v>1.848056212000003</v>
      </c>
      <c r="O48" s="48">
        <f t="shared" ref="O48:O66" si="18">IF((H48)=0,"",(N48/H48))</f>
        <v>2.4187466231607217E-2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Rates!D51</f>
        <v>7.0000000000000001E-3</v>
      </c>
      <c r="G49" s="65">
        <f>F18*(1+F75)</f>
        <v>311.79680000000002</v>
      </c>
      <c r="H49" s="30">
        <f>G49*F49</f>
        <v>2.1825776000000001</v>
      </c>
      <c r="I49" s="31"/>
      <c r="J49" s="32">
        <f>Rates!F51</f>
        <v>7.1999999999999998E-3</v>
      </c>
      <c r="K49" s="66">
        <f>F18*(1+J75)</f>
        <v>313.31789999999995</v>
      </c>
      <c r="L49" s="30">
        <f>K49*J49</f>
        <v>2.2558888799999997</v>
      </c>
      <c r="M49" s="31"/>
      <c r="N49" s="34">
        <f t="shared" si="17"/>
        <v>7.3311279999999535E-2</v>
      </c>
      <c r="O49" s="35">
        <f t="shared" si="18"/>
        <v>3.3589312013464961E-2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Rates!D52</f>
        <v>5.1000000000000004E-3</v>
      </c>
      <c r="G50" s="65">
        <f>G49</f>
        <v>311.79680000000002</v>
      </c>
      <c r="H50" s="30">
        <f>G50*F50</f>
        <v>1.5901636800000003</v>
      </c>
      <c r="I50" s="31"/>
      <c r="J50" s="32">
        <f>Rates!F52</f>
        <v>5.1999999999999998E-3</v>
      </c>
      <c r="K50" s="66">
        <f>K49</f>
        <v>313.31789999999995</v>
      </c>
      <c r="L50" s="30">
        <f>K50*J50</f>
        <v>1.6292530799999996</v>
      </c>
      <c r="M50" s="31"/>
      <c r="N50" s="34">
        <f t="shared" si="17"/>
        <v>3.9089399999999275E-2</v>
      </c>
      <c r="O50" s="35">
        <f t="shared" si="18"/>
        <v>2.4581997747552167E-2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80.178272736000011</v>
      </c>
      <c r="I51" s="69"/>
      <c r="J51" s="70"/>
      <c r="K51" s="71"/>
      <c r="L51" s="61">
        <f>SUM(L48:L50)</f>
        <v>82.138729628000007</v>
      </c>
      <c r="M51" s="69"/>
      <c r="N51" s="47">
        <f t="shared" si="17"/>
        <v>1.9604568919999963</v>
      </c>
      <c r="O51" s="48">
        <f t="shared" si="18"/>
        <v>2.4451223817892897E-2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Rates!D53</f>
        <v>4.4000000000000003E-3</v>
      </c>
      <c r="G52" s="65">
        <f>G50</f>
        <v>311.79680000000002</v>
      </c>
      <c r="H52" s="74">
        <f t="shared" ref="H52:H58" si="19">G52*F52</f>
        <v>1.3719059200000001</v>
      </c>
      <c r="I52" s="31"/>
      <c r="J52" s="75">
        <f>Rates!F53</f>
        <v>4.4000000000000003E-3</v>
      </c>
      <c r="K52" s="66">
        <f>K50</f>
        <v>313.31789999999995</v>
      </c>
      <c r="L52" s="74">
        <f t="shared" ref="L52:L58" si="20">K52*J52</f>
        <v>1.3785987599999998</v>
      </c>
      <c r="M52" s="31"/>
      <c r="N52" s="34">
        <f t="shared" si="17"/>
        <v>6.6928399999997001E-3</v>
      </c>
      <c r="O52" s="76">
        <f t="shared" si="18"/>
        <v>4.8784977908687063E-3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Rates!D54</f>
        <v>1.2999999999999999E-3</v>
      </c>
      <c r="G53" s="65">
        <f>G50</f>
        <v>311.79680000000002</v>
      </c>
      <c r="H53" s="74">
        <f t="shared" si="19"/>
        <v>0.40533584</v>
      </c>
      <c r="I53" s="31"/>
      <c r="J53" s="75">
        <f>Rates!F54</f>
        <v>1.2999999999999999E-3</v>
      </c>
      <c r="K53" s="66">
        <f>K50</f>
        <v>313.31789999999995</v>
      </c>
      <c r="L53" s="74">
        <f t="shared" si="20"/>
        <v>0.40731326999999989</v>
      </c>
      <c r="M53" s="31"/>
      <c r="N53" s="34">
        <f t="shared" si="17"/>
        <v>1.9774299999998912E-3</v>
      </c>
      <c r="O53" s="76">
        <f t="shared" si="18"/>
        <v>4.8784977908686569E-3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Rates!D56</f>
        <v>0.25</v>
      </c>
      <c r="G54" s="29">
        <v>1</v>
      </c>
      <c r="H54" s="74">
        <f t="shared" si="19"/>
        <v>0.25</v>
      </c>
      <c r="I54" s="31"/>
      <c r="J54" s="75">
        <f>Rates!F56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Rates!D75</f>
        <v>2E-3</v>
      </c>
      <c r="G55" s="77">
        <f>F18</f>
        <v>287</v>
      </c>
      <c r="H55" s="74">
        <f t="shared" si="19"/>
        <v>0.57400000000000007</v>
      </c>
      <c r="I55" s="31"/>
      <c r="J55" s="75">
        <f>Rates!F75</f>
        <v>2E-3</v>
      </c>
      <c r="K55" s="78">
        <f>F18</f>
        <v>287</v>
      </c>
      <c r="L55" s="74">
        <f t="shared" si="20"/>
        <v>0.57400000000000007</v>
      </c>
      <c r="M55" s="31"/>
      <c r="N55" s="34">
        <f t="shared" si="17"/>
        <v>0</v>
      </c>
      <c r="O55" s="76">
        <f t="shared" si="18"/>
        <v>0</v>
      </c>
    </row>
    <row r="56" spans="2:19" x14ac:dyDescent="0.25">
      <c r="B56" s="53" t="s">
        <v>40</v>
      </c>
      <c r="C56" s="25"/>
      <c r="D56" s="26" t="s">
        <v>80</v>
      </c>
      <c r="E56" s="27"/>
      <c r="F56" s="79">
        <f>Rates!D83</f>
        <v>7.1999999999999995E-2</v>
      </c>
      <c r="G56" s="80">
        <f>0.64*$F$18</f>
        <v>183.68</v>
      </c>
      <c r="H56" s="74">
        <f t="shared" si="19"/>
        <v>13.224959999999999</v>
      </c>
      <c r="I56" s="31"/>
      <c r="J56" s="73">
        <f>Rates!F83</f>
        <v>7.1999999999999995E-2</v>
      </c>
      <c r="K56" s="80">
        <f>G56</f>
        <v>183.68</v>
      </c>
      <c r="L56" s="74">
        <f t="shared" si="20"/>
        <v>13.224959999999999</v>
      </c>
      <c r="M56" s="31"/>
      <c r="N56" s="34">
        <f t="shared" si="17"/>
        <v>0</v>
      </c>
      <c r="O56" s="76">
        <f t="shared" si="18"/>
        <v>0</v>
      </c>
      <c r="S56" s="81"/>
    </row>
    <row r="57" spans="2:19" x14ac:dyDescent="0.25">
      <c r="B57" s="53" t="s">
        <v>41</v>
      </c>
      <c r="C57" s="25"/>
      <c r="D57" s="26" t="s">
        <v>80</v>
      </c>
      <c r="E57" s="27"/>
      <c r="F57" s="79">
        <f>Rates!D84</f>
        <v>0.109</v>
      </c>
      <c r="G57" s="80">
        <f>0.18*$F$18</f>
        <v>51.66</v>
      </c>
      <c r="H57" s="74">
        <f t="shared" si="19"/>
        <v>5.6309399999999998</v>
      </c>
      <c r="I57" s="31"/>
      <c r="J57" s="73">
        <f>Rates!F84</f>
        <v>0.109</v>
      </c>
      <c r="K57" s="80">
        <f>G57</f>
        <v>51.66</v>
      </c>
      <c r="L57" s="74">
        <f t="shared" si="20"/>
        <v>5.6309399999999998</v>
      </c>
      <c r="M57" s="31"/>
      <c r="N57" s="34">
        <f t="shared" si="17"/>
        <v>0</v>
      </c>
      <c r="O57" s="76">
        <f t="shared" si="18"/>
        <v>0</v>
      </c>
      <c r="S57" s="81"/>
    </row>
    <row r="58" spans="2:19" x14ac:dyDescent="0.25">
      <c r="B58" s="15" t="s">
        <v>42</v>
      </c>
      <c r="C58" s="25"/>
      <c r="D58" s="26" t="s">
        <v>80</v>
      </c>
      <c r="E58" s="27"/>
      <c r="F58" s="79">
        <f>Rates!D85</f>
        <v>0.129</v>
      </c>
      <c r="G58" s="80">
        <f>0.18*$F$18</f>
        <v>51.66</v>
      </c>
      <c r="H58" s="74">
        <f t="shared" si="19"/>
        <v>6.6641399999999997</v>
      </c>
      <c r="I58" s="31"/>
      <c r="J58" s="73">
        <f>Rates!F85</f>
        <v>0.129</v>
      </c>
      <c r="K58" s="80">
        <f>G58</f>
        <v>51.66</v>
      </c>
      <c r="L58" s="74">
        <f t="shared" si="20"/>
        <v>6.6641399999999997</v>
      </c>
      <c r="M58" s="31"/>
      <c r="N58" s="34">
        <f t="shared" si="17"/>
        <v>0</v>
      </c>
      <c r="O58" s="76">
        <f t="shared" si="18"/>
        <v>0</v>
      </c>
      <c r="S58" s="81"/>
    </row>
    <row r="59" spans="2:19" s="89" customFormat="1" x14ac:dyDescent="0.2">
      <c r="B59" s="82" t="s">
        <v>43</v>
      </c>
      <c r="C59" s="83"/>
      <c r="D59" s="84" t="s">
        <v>80</v>
      </c>
      <c r="E59" s="85"/>
      <c r="F59" s="79">
        <f>Rates!D76</f>
        <v>8.3000000000000004E-2</v>
      </c>
      <c r="G59" s="86">
        <f>IF(AND($T$1=1, F18&gt;=600), 600, IF(AND($T$1=1, AND(F18&lt;600, F18&gt;=0)), F18, IF(AND($T$1=2, F18&gt;=1000), 1000, IF(AND($T$1=2, AND(F18&lt;1000, F18&gt;=0)), F18))))</f>
        <v>287</v>
      </c>
      <c r="H59" s="74">
        <f>G59*F59</f>
        <v>23.821000000000002</v>
      </c>
      <c r="I59" s="87"/>
      <c r="J59" s="73">
        <f>Rates!F76</f>
        <v>8.3000000000000004E-2</v>
      </c>
      <c r="K59" s="86">
        <f>G59</f>
        <v>287</v>
      </c>
      <c r="L59" s="74">
        <f>K59*J59</f>
        <v>23.821000000000002</v>
      </c>
      <c r="M59" s="87"/>
      <c r="N59" s="88">
        <f t="shared" si="17"/>
        <v>0</v>
      </c>
      <c r="O59" s="76">
        <f t="shared" si="18"/>
        <v>0</v>
      </c>
    </row>
    <row r="60" spans="2:19" s="89" customFormat="1" ht="15.75" thickBot="1" x14ac:dyDescent="0.25">
      <c r="B60" s="82" t="s">
        <v>44</v>
      </c>
      <c r="C60" s="83"/>
      <c r="D60" s="84" t="s">
        <v>80</v>
      </c>
      <c r="E60" s="85"/>
      <c r="F60" s="79">
        <f>Rates!D77</f>
        <v>9.7000000000000003E-2</v>
      </c>
      <c r="G60" s="86">
        <f>IF(AND($T$1=1, F18&gt;=600), F18-600, IF(AND($T$1=1, AND(F18&lt;600, F18&gt;=0)), 0, IF(AND($T$1=2, F18&gt;=1000), F18-1000, IF(AND($T$1=2, AND(F18&lt;1000, F18&gt;=0)), 0))))</f>
        <v>0</v>
      </c>
      <c r="H60" s="74">
        <f>G60*F60</f>
        <v>0</v>
      </c>
      <c r="I60" s="87"/>
      <c r="J60" s="73">
        <f>Rates!F77</f>
        <v>9.7000000000000003E-2</v>
      </c>
      <c r="K60" s="86">
        <f>G60</f>
        <v>0</v>
      </c>
      <c r="L60" s="74">
        <f>K60*J60</f>
        <v>0</v>
      </c>
      <c r="M60" s="87"/>
      <c r="N60" s="88">
        <f t="shared" si="17"/>
        <v>0</v>
      </c>
      <c r="O60" s="76" t="str">
        <f t="shared" si="18"/>
        <v/>
      </c>
    </row>
    <row r="61" spans="2:19" ht="15.75" thickBot="1" x14ac:dyDescent="0.3">
      <c r="B61" s="90"/>
      <c r="C61" s="91"/>
      <c r="D61" s="92"/>
      <c r="E61" s="91"/>
      <c r="F61" s="93"/>
      <c r="G61" s="94"/>
      <c r="H61" s="95"/>
      <c r="I61" s="96"/>
      <c r="J61" s="93"/>
      <c r="K61" s="97"/>
      <c r="L61" s="95"/>
      <c r="M61" s="96"/>
      <c r="N61" s="98"/>
      <c r="O61" s="99"/>
    </row>
    <row r="62" spans="2:19" x14ac:dyDescent="0.25">
      <c r="B62" s="100" t="s">
        <v>45</v>
      </c>
      <c r="C62" s="25"/>
      <c r="D62" s="25"/>
      <c r="E62" s="25"/>
      <c r="F62" s="101"/>
      <c r="G62" s="102"/>
      <c r="H62" s="103">
        <f>SUM(H52:H58,H51)</f>
        <v>108.29955449600001</v>
      </c>
      <c r="I62" s="104"/>
      <c r="J62" s="105"/>
      <c r="K62" s="105"/>
      <c r="L62" s="181">
        <f>SUM(L52:L58,L51)</f>
        <v>110.26868165800001</v>
      </c>
      <c r="M62" s="106"/>
      <c r="N62" s="107">
        <f t="shared" ref="N62" si="21">L62-H62</f>
        <v>1.9691271619999924</v>
      </c>
      <c r="O62" s="108">
        <f t="shared" ref="O62" si="22">IF((H62)=0,"",(N62/H62))</f>
        <v>1.8182227721654395E-2</v>
      </c>
      <c r="S62" s="81"/>
    </row>
    <row r="63" spans="2:19" x14ac:dyDescent="0.25">
      <c r="B63" s="109" t="s">
        <v>46</v>
      </c>
      <c r="C63" s="25"/>
      <c r="D63" s="25"/>
      <c r="E63" s="25"/>
      <c r="F63" s="110">
        <v>0.13</v>
      </c>
      <c r="G63" s="111"/>
      <c r="H63" s="112">
        <f>H62*F63</f>
        <v>14.078942084480003</v>
      </c>
      <c r="I63" s="113"/>
      <c r="J63" s="114">
        <v>0.13</v>
      </c>
      <c r="K63" s="113"/>
      <c r="L63" s="115">
        <f>L62*J63</f>
        <v>14.334928615540001</v>
      </c>
      <c r="M63" s="116"/>
      <c r="N63" s="117">
        <f t="shared" si="17"/>
        <v>0.2559865310599978</v>
      </c>
      <c r="O63" s="118">
        <f t="shared" si="18"/>
        <v>1.8182227721654308E-2</v>
      </c>
      <c r="S63" s="81"/>
    </row>
    <row r="64" spans="2:19" x14ac:dyDescent="0.25">
      <c r="B64" s="119" t="s">
        <v>52</v>
      </c>
      <c r="C64" s="25"/>
      <c r="D64" s="25"/>
      <c r="E64" s="25"/>
      <c r="F64" s="120"/>
      <c r="G64" s="111"/>
      <c r="H64" s="112">
        <f>H62+H63</f>
        <v>122.37849658048002</v>
      </c>
      <c r="I64" s="113"/>
      <c r="J64" s="113"/>
      <c r="K64" s="113"/>
      <c r="L64" s="115">
        <f>L62+L63</f>
        <v>124.60361027354</v>
      </c>
      <c r="M64" s="116"/>
      <c r="N64" s="117">
        <f t="shared" si="17"/>
        <v>2.2251136930599813</v>
      </c>
      <c r="O64" s="118">
        <f t="shared" si="18"/>
        <v>1.8182227721654311E-2</v>
      </c>
      <c r="S64" s="81"/>
    </row>
    <row r="65" spans="1:15" x14ac:dyDescent="0.25">
      <c r="B65" s="225" t="s">
        <v>53</v>
      </c>
      <c r="C65" s="225"/>
      <c r="D65" s="225"/>
      <c r="E65" s="25"/>
      <c r="F65" s="120"/>
      <c r="G65" s="111"/>
      <c r="H65" s="121">
        <f>ROUND(-H64*10%,2)</f>
        <v>-12.24</v>
      </c>
      <c r="I65" s="113"/>
      <c r="J65" s="113"/>
      <c r="K65" s="113"/>
      <c r="L65" s="122">
        <f>ROUND(-L64*10%,2)</f>
        <v>-12.46</v>
      </c>
      <c r="M65" s="116"/>
      <c r="N65" s="123">
        <f t="shared" si="17"/>
        <v>-0.22000000000000064</v>
      </c>
      <c r="O65" s="124">
        <f t="shared" si="18"/>
        <v>1.7973856209150377E-2</v>
      </c>
    </row>
    <row r="66" spans="1:15" ht="15.75" thickBot="1" x14ac:dyDescent="0.3">
      <c r="B66" s="226" t="s">
        <v>47</v>
      </c>
      <c r="C66" s="226"/>
      <c r="D66" s="226"/>
      <c r="E66" s="125"/>
      <c r="F66" s="126"/>
      <c r="G66" s="127"/>
      <c r="H66" s="128">
        <f>H64+H65</f>
        <v>110.13849658048002</v>
      </c>
      <c r="I66" s="129"/>
      <c r="J66" s="129"/>
      <c r="K66" s="129"/>
      <c r="L66" s="130">
        <f>L64+L65</f>
        <v>112.14361027353999</v>
      </c>
      <c r="M66" s="131"/>
      <c r="N66" s="132">
        <f t="shared" si="17"/>
        <v>2.0051136930599682</v>
      </c>
      <c r="O66" s="133">
        <f t="shared" si="18"/>
        <v>1.8205384632200772E-2</v>
      </c>
    </row>
    <row r="67" spans="1:15" s="89" customFormat="1" ht="15.75" thickBot="1" x14ac:dyDescent="0.25">
      <c r="B67" s="134"/>
      <c r="C67" s="135"/>
      <c r="D67" s="136"/>
      <c r="E67" s="135"/>
      <c r="F67" s="93"/>
      <c r="G67" s="137"/>
      <c r="H67" s="95"/>
      <c r="I67" s="138"/>
      <c r="J67" s="93"/>
      <c r="K67" s="139"/>
      <c r="L67" s="95"/>
      <c r="M67" s="138"/>
      <c r="N67" s="140"/>
      <c r="O67" s="99"/>
    </row>
    <row r="68" spans="1:15" s="89" customFormat="1" ht="12.75" x14ac:dyDescent="0.2">
      <c r="B68" s="141" t="s">
        <v>48</v>
      </c>
      <c r="C68" s="83"/>
      <c r="D68" s="83"/>
      <c r="E68" s="83"/>
      <c r="F68" s="142"/>
      <c r="G68" s="143"/>
      <c r="H68" s="144">
        <f>SUM(H59:H60,H51,H52:H55)</f>
        <v>106.60051449600002</v>
      </c>
      <c r="I68" s="145"/>
      <c r="J68" s="146"/>
      <c r="K68" s="146"/>
      <c r="L68" s="182">
        <f>SUM(L59:L60,L51,L52:L55)</f>
        <v>108.56964165800001</v>
      </c>
      <c r="M68" s="147"/>
      <c r="N68" s="148">
        <f t="shared" ref="N68:N72" si="23">L68-H68</f>
        <v>1.9691271619999924</v>
      </c>
      <c r="O68" s="108">
        <f t="shared" ref="O68:O72" si="24">IF((H68)=0,"",(N68/H68))</f>
        <v>1.8472023060206528E-2</v>
      </c>
    </row>
    <row r="69" spans="1:15" s="89" customFormat="1" ht="12.75" x14ac:dyDescent="0.2">
      <c r="B69" s="149" t="s">
        <v>46</v>
      </c>
      <c r="C69" s="83"/>
      <c r="D69" s="83"/>
      <c r="E69" s="83"/>
      <c r="F69" s="150">
        <v>0.13</v>
      </c>
      <c r="G69" s="143"/>
      <c r="H69" s="151">
        <f>H68*F69</f>
        <v>13.858066884480003</v>
      </c>
      <c r="I69" s="152"/>
      <c r="J69" s="153">
        <v>0.13</v>
      </c>
      <c r="K69" s="154"/>
      <c r="L69" s="155">
        <f>L68*J69</f>
        <v>14.114053415540001</v>
      </c>
      <c r="M69" s="156"/>
      <c r="N69" s="157">
        <f t="shared" si="23"/>
        <v>0.2559865310599978</v>
      </c>
      <c r="O69" s="118">
        <f t="shared" si="24"/>
        <v>1.8472023060206438E-2</v>
      </c>
    </row>
    <row r="70" spans="1:15" s="89" customFormat="1" ht="12.75" x14ac:dyDescent="0.2">
      <c r="B70" s="158" t="s">
        <v>52</v>
      </c>
      <c r="C70" s="83"/>
      <c r="D70" s="83"/>
      <c r="E70" s="83"/>
      <c r="F70" s="159"/>
      <c r="G70" s="160"/>
      <c r="H70" s="151">
        <f>H68+H69</f>
        <v>120.45858138048001</v>
      </c>
      <c r="I70" s="152"/>
      <c r="J70" s="152"/>
      <c r="K70" s="152"/>
      <c r="L70" s="155">
        <f>L68+L69</f>
        <v>122.68369507354001</v>
      </c>
      <c r="M70" s="156"/>
      <c r="N70" s="157">
        <f t="shared" si="23"/>
        <v>2.2251136930599955</v>
      </c>
      <c r="O70" s="118">
        <f t="shared" si="24"/>
        <v>1.8472023060206563E-2</v>
      </c>
    </row>
    <row r="71" spans="1:15" s="89" customFormat="1" ht="12.75" x14ac:dyDescent="0.2">
      <c r="B71" s="227" t="s">
        <v>53</v>
      </c>
      <c r="C71" s="227"/>
      <c r="D71" s="227"/>
      <c r="E71" s="83"/>
      <c r="F71" s="159"/>
      <c r="G71" s="160"/>
      <c r="H71" s="161">
        <f>ROUND(-H70*10%,2)</f>
        <v>-12.05</v>
      </c>
      <c r="I71" s="152"/>
      <c r="J71" s="152"/>
      <c r="K71" s="152"/>
      <c r="L71" s="162">
        <f>ROUND(-L70*10%,2)</f>
        <v>-12.27</v>
      </c>
      <c r="M71" s="156"/>
      <c r="N71" s="163">
        <f t="shared" si="23"/>
        <v>-0.21999999999999886</v>
      </c>
      <c r="O71" s="124">
        <f t="shared" si="24"/>
        <v>1.8257261410788286E-2</v>
      </c>
    </row>
    <row r="72" spans="1:15" s="89" customFormat="1" ht="13.5" thickBot="1" x14ac:dyDescent="0.25">
      <c r="B72" s="218" t="s">
        <v>49</v>
      </c>
      <c r="C72" s="218"/>
      <c r="D72" s="218"/>
      <c r="E72" s="164"/>
      <c r="F72" s="165"/>
      <c r="G72" s="166"/>
      <c r="H72" s="167">
        <f>SUM(H70:H71)</f>
        <v>108.40858138048002</v>
      </c>
      <c r="I72" s="168"/>
      <c r="J72" s="168"/>
      <c r="K72" s="168"/>
      <c r="L72" s="169">
        <f>SUM(L70:L71)</f>
        <v>110.41369507354001</v>
      </c>
      <c r="M72" s="170"/>
      <c r="N72" s="171">
        <f t="shared" si="23"/>
        <v>2.0051136930599966</v>
      </c>
      <c r="O72" s="172">
        <f t="shared" si="24"/>
        <v>1.8495894582576246E-2</v>
      </c>
    </row>
    <row r="73" spans="1:15" s="89" customFormat="1" ht="15.75" thickBot="1" x14ac:dyDescent="0.25">
      <c r="B73" s="134"/>
      <c r="C73" s="135"/>
      <c r="D73" s="136"/>
      <c r="E73" s="135"/>
      <c r="F73" s="173"/>
      <c r="G73" s="174"/>
      <c r="H73" s="175"/>
      <c r="I73" s="176"/>
      <c r="J73" s="173"/>
      <c r="K73" s="137"/>
      <c r="L73" s="177"/>
      <c r="M73" s="138"/>
      <c r="N73" s="178"/>
      <c r="O73" s="99"/>
    </row>
    <row r="74" spans="1:15" x14ac:dyDescent="0.25">
      <c r="L74" s="81"/>
    </row>
    <row r="75" spans="1:15" x14ac:dyDescent="0.25">
      <c r="B75" s="16" t="s">
        <v>50</v>
      </c>
      <c r="F75" s="179">
        <f>Rates!D80</f>
        <v>8.6400000000000005E-2</v>
      </c>
      <c r="J75" s="179">
        <f>Rates!F80</f>
        <v>9.1700000000000004E-2</v>
      </c>
    </row>
    <row r="77" spans="1:15" x14ac:dyDescent="0.25">
      <c r="A77" s="180"/>
      <c r="B77" s="10" t="s">
        <v>51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2:D72"/>
    <mergeCell ref="D21:D22"/>
    <mergeCell ref="N21:N22"/>
    <mergeCell ref="O21:O22"/>
    <mergeCell ref="B65:D65"/>
    <mergeCell ref="B66:D66"/>
    <mergeCell ref="B71:D71"/>
  </mergeCells>
  <dataValidations count="3">
    <dataValidation type="list" allowBlank="1" showInputMessage="1" showErrorMessage="1" sqref="E49:E50 E41:E47 E23:E39 E52:E61 E73 E67">
      <formula1>#REF!</formula1>
    </dataValidation>
    <dataValidation type="list" allowBlank="1" showInputMessage="1" showErrorMessage="1" prompt="Select Charge Unit - monthly, per kWh, per kW" sqref="D49:D50 D41:D47 D67 D23:D39 D73 D52:D61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67"/>
  <sheetViews>
    <sheetView showGridLines="0" topLeftCell="A43" zoomScaleNormal="100" workbookViewId="0">
      <selection activeCell="N32" sqref="N32:O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3" t="s">
        <v>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/>
    </row>
    <row r="11" spans="1:20" ht="18.75" customHeight="1" x14ac:dyDescent="0.25">
      <c r="B11" s="213" t="s">
        <v>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4" t="s">
        <v>110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5" t="s">
        <v>13</v>
      </c>
      <c r="G20" s="216"/>
      <c r="H20" s="217"/>
      <c r="J20" s="215" t="s">
        <v>14</v>
      </c>
      <c r="K20" s="216"/>
      <c r="L20" s="217"/>
      <c r="N20" s="215" t="s">
        <v>15</v>
      </c>
      <c r="O20" s="217"/>
    </row>
    <row r="21" spans="2:15" x14ac:dyDescent="0.25">
      <c r="B21" s="15"/>
      <c r="D21" s="219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1" t="s">
        <v>20</v>
      </c>
      <c r="O21" s="223" t="s">
        <v>21</v>
      </c>
    </row>
    <row r="22" spans="2:15" x14ac:dyDescent="0.25">
      <c r="B22" s="15"/>
      <c r="D22" s="220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2"/>
      <c r="O22" s="224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Rates!D38</f>
        <v>26.75</v>
      </c>
      <c r="G23" s="29">
        <v>1</v>
      </c>
      <c r="H23" s="30">
        <f>G23*F23</f>
        <v>26.75</v>
      </c>
      <c r="I23" s="31"/>
      <c r="J23" s="32">
        <f>Rates!F38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Rates!A43</f>
        <v>SME - Net Deferred Revenue Requirement, effective until December 31, 2016</v>
      </c>
      <c r="C25" s="25"/>
      <c r="D25" s="63" t="s">
        <v>79</v>
      </c>
      <c r="E25" s="27"/>
      <c r="F25" s="32">
        <f>Rates!D43</f>
        <v>3.57</v>
      </c>
      <c r="G25" s="29">
        <v>1</v>
      </c>
      <c r="H25" s="30">
        <f t="shared" si="0"/>
        <v>3.57</v>
      </c>
      <c r="I25" s="31"/>
      <c r="J25" s="32">
        <f>Rates!F43</f>
        <v>3.57</v>
      </c>
      <c r="K25" s="33">
        <v>1</v>
      </c>
      <c r="L25" s="30">
        <f t="shared" ref="L25:L39" si="1">K25*J25</f>
        <v>3.57</v>
      </c>
      <c r="M25" s="31"/>
      <c r="N25" s="34">
        <f t="shared" ref="N25:N40" si="2">L25-H25</f>
        <v>0</v>
      </c>
      <c r="O25" s="35">
        <f t="shared" ref="O25:O40" si="3">IF((H25)=0,"",(N25/H25))</f>
        <v>0</v>
      </c>
    </row>
    <row r="26" spans="2:15" ht="45" x14ac:dyDescent="0.25">
      <c r="B26" s="183" t="str">
        <f>Rates!A44</f>
        <v>SME - Incremental Revenue Requirement, effective until December 31, 2014</v>
      </c>
      <c r="C26" s="25"/>
      <c r="D26" s="63" t="s">
        <v>79</v>
      </c>
      <c r="E26" s="27"/>
      <c r="F26" s="32">
        <f>Rates!D44</f>
        <v>4.6900000000000004</v>
      </c>
      <c r="G26" s="29">
        <v>1</v>
      </c>
      <c r="H26" s="30">
        <f t="shared" si="0"/>
        <v>4.6900000000000004</v>
      </c>
      <c r="I26" s="31"/>
      <c r="J26" s="32">
        <f>Rates!F44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30" x14ac:dyDescent="0.25">
      <c r="B27" s="208" t="str">
        <f>Rates!A45</f>
        <v>Rate Rider for Stranded Meter Assets - effective until December 31, 2015</v>
      </c>
      <c r="C27" s="25"/>
      <c r="D27" s="63" t="s">
        <v>79</v>
      </c>
      <c r="E27" s="27"/>
      <c r="F27" s="32">
        <f>Rates!D45</f>
        <v>0</v>
      </c>
      <c r="G27" s="29">
        <v>1</v>
      </c>
      <c r="H27" s="30">
        <f t="shared" si="0"/>
        <v>0</v>
      </c>
      <c r="I27" s="31"/>
      <c r="J27" s="32">
        <f>Rates!F45</f>
        <v>2.27</v>
      </c>
      <c r="K27" s="33">
        <v>1</v>
      </c>
      <c r="L27" s="30">
        <f t="shared" si="1"/>
        <v>2.27</v>
      </c>
      <c r="M27" s="31"/>
      <c r="N27" s="34">
        <f t="shared" si="2"/>
        <v>2.27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Rates!D39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Rates!F39</f>
        <v>0.1323</v>
      </c>
      <c r="K29" s="29">
        <f>$F$18</f>
        <v>287</v>
      </c>
      <c r="L29" s="30">
        <f t="shared" si="1"/>
        <v>37.970100000000002</v>
      </c>
      <c r="M29" s="31"/>
      <c r="N29" s="34">
        <f t="shared" si="2"/>
        <v>8.4377999999999993</v>
      </c>
      <c r="O29" s="35">
        <f t="shared" si="3"/>
        <v>0.28571428571428564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39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Rates!A40</f>
        <v>Foregone Revenue Recovery (2013) - effective until December 31, 2014 (2014)</v>
      </c>
      <c r="C32" s="25"/>
      <c r="D32" s="63" t="s">
        <v>80</v>
      </c>
      <c r="E32" s="27"/>
      <c r="F32" s="32">
        <f>Rates!D40</f>
        <v>2.9999999999999997E-4</v>
      </c>
      <c r="G32" s="29">
        <f t="shared" ref="G32:G39" si="6">$F$18</f>
        <v>287</v>
      </c>
      <c r="H32" s="30">
        <f t="shared" si="0"/>
        <v>8.6099999999999996E-2</v>
      </c>
      <c r="I32" s="31"/>
      <c r="J32" s="32">
        <f>Rates!F40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-8.6099999999999996E-2</v>
      </c>
      <c r="O32" s="35">
        <f t="shared" si="3"/>
        <v>-1</v>
      </c>
    </row>
    <row r="33" spans="2:15" ht="30" x14ac:dyDescent="0.25">
      <c r="B33" s="183" t="str">
        <f>Rates!A41</f>
        <v>Foregone Revenue Recovery (2014) - effective until December 31, 2014 (2014)</v>
      </c>
      <c r="C33" s="25"/>
      <c r="D33" s="63" t="s">
        <v>80</v>
      </c>
      <c r="E33" s="27"/>
      <c r="F33" s="32">
        <f>Rates!D41</f>
        <v>5.0000000000000001E-4</v>
      </c>
      <c r="G33" s="29">
        <f t="shared" si="6"/>
        <v>287</v>
      </c>
      <c r="H33" s="30">
        <f t="shared" ref="H33" si="7">G33*F33</f>
        <v>0.14350000000000002</v>
      </c>
      <c r="I33" s="31"/>
      <c r="J33" s="32">
        <f>Rates!F41</f>
        <v>0</v>
      </c>
      <c r="K33" s="29">
        <f t="shared" si="5"/>
        <v>287</v>
      </c>
      <c r="L33" s="30">
        <f t="shared" ref="L33" si="8">K33*J33</f>
        <v>0</v>
      </c>
      <c r="M33" s="31"/>
      <c r="N33" s="34">
        <f t="shared" ref="N33" si="9">L33-H33</f>
        <v>-0.14350000000000002</v>
      </c>
      <c r="O33" s="35">
        <f t="shared" ref="O33" si="10">IF((H33)=0,"",(N33/H33))</f>
        <v>-1</v>
      </c>
    </row>
    <row r="34" spans="2:15" ht="30" x14ac:dyDescent="0.25">
      <c r="B34" s="183" t="str">
        <f>Rates!A7</f>
        <v>Tax Changes - effective until December 31, 2014</v>
      </c>
      <c r="C34" s="25"/>
      <c r="D34" s="63" t="s">
        <v>80</v>
      </c>
      <c r="E34" s="27"/>
      <c r="F34" s="32">
        <f>Rates!D46</f>
        <v>-5.9999999999999995E-4</v>
      </c>
      <c r="G34" s="29">
        <f t="shared" si="6"/>
        <v>287</v>
      </c>
      <c r="H34" s="30">
        <f t="shared" si="0"/>
        <v>-0.17219999999999999</v>
      </c>
      <c r="I34" s="31"/>
      <c r="J34" s="32">
        <f>Rates!F46</f>
        <v>0</v>
      </c>
      <c r="K34" s="29">
        <f t="shared" si="5"/>
        <v>287</v>
      </c>
      <c r="L34" s="30">
        <f t="shared" si="1"/>
        <v>0</v>
      </c>
      <c r="M34" s="31"/>
      <c r="N34" s="34">
        <f t="shared" si="2"/>
        <v>0.17219999999999999</v>
      </c>
      <c r="O34" s="35">
        <f t="shared" si="3"/>
        <v>-1</v>
      </c>
    </row>
    <row r="35" spans="2:15" ht="30" x14ac:dyDescent="0.25">
      <c r="B35" s="183" t="str">
        <f>Rates!A42</f>
        <v>Deferral/Variance Account Disposition - effective until June 30, 2019</v>
      </c>
      <c r="C35" s="25"/>
      <c r="D35" s="63" t="s">
        <v>80</v>
      </c>
      <c r="E35" s="27"/>
      <c r="F35" s="32">
        <f>Rates!D42</f>
        <v>3.0700000000000002E-2</v>
      </c>
      <c r="G35" s="29">
        <f t="shared" si="6"/>
        <v>287</v>
      </c>
      <c r="H35" s="30">
        <f t="shared" si="0"/>
        <v>8.8109000000000002</v>
      </c>
      <c r="I35" s="31"/>
      <c r="J35" s="32">
        <f>Rates!F42</f>
        <v>3.0700000000000002E-2</v>
      </c>
      <c r="K35" s="29">
        <f t="shared" si="5"/>
        <v>287</v>
      </c>
      <c r="L35" s="30">
        <f t="shared" si="1"/>
        <v>8.8109000000000002</v>
      </c>
      <c r="M35" s="31"/>
      <c r="N35" s="34">
        <f t="shared" si="2"/>
        <v>0</v>
      </c>
      <c r="O35" s="35">
        <f t="shared" si="3"/>
        <v>0</v>
      </c>
    </row>
    <row r="36" spans="2:15" ht="45" x14ac:dyDescent="0.25">
      <c r="B36" s="183" t="str">
        <f>Rates!A67</f>
        <v>Rate Rider for the Disposition of Account 1575 &amp; 1576 - effective until December 31, 2019</v>
      </c>
      <c r="C36" s="25"/>
      <c r="D36" s="63" t="s">
        <v>80</v>
      </c>
      <c r="E36" s="27"/>
      <c r="F36" s="32">
        <f>Rates!D50</f>
        <v>0</v>
      </c>
      <c r="G36" s="29">
        <f t="shared" si="6"/>
        <v>287</v>
      </c>
      <c r="H36" s="30">
        <f t="shared" si="0"/>
        <v>0</v>
      </c>
      <c r="I36" s="31"/>
      <c r="J36" s="32">
        <f>Rates!F50</f>
        <v>-1.9E-3</v>
      </c>
      <c r="K36" s="29">
        <f t="shared" si="5"/>
        <v>287</v>
      </c>
      <c r="L36" s="30">
        <f t="shared" si="1"/>
        <v>-0.54530000000000001</v>
      </c>
      <c r="M36" s="31"/>
      <c r="N36" s="34">
        <f t="shared" si="2"/>
        <v>-0.54530000000000001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287</v>
      </c>
      <c r="H37" s="30">
        <f t="shared" si="0"/>
        <v>0</v>
      </c>
      <c r="I37" s="31"/>
      <c r="J37" s="32"/>
      <c r="K37" s="29">
        <f t="shared" si="5"/>
        <v>287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287</v>
      </c>
      <c r="H39" s="30">
        <f t="shared" si="0"/>
        <v>0</v>
      </c>
      <c r="I39" s="31"/>
      <c r="J39" s="32"/>
      <c r="K39" s="29">
        <f t="shared" si="5"/>
        <v>287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73.410600000000002</v>
      </c>
      <c r="I40" s="44"/>
      <c r="J40" s="45"/>
      <c r="K40" s="46"/>
      <c r="L40" s="43">
        <f>SUM(L23:L39)</f>
        <v>78.825700000000012</v>
      </c>
      <c r="M40" s="44"/>
      <c r="N40" s="47">
        <f t="shared" si="2"/>
        <v>5.4151000000000096</v>
      </c>
      <c r="O40" s="48">
        <f t="shared" si="3"/>
        <v>7.376455171324045E-2</v>
      </c>
    </row>
    <row r="41" spans="2:15" ht="38.25" x14ac:dyDescent="0.25">
      <c r="B41" s="50" t="str">
        <f>Rates!A47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Rates!D47</f>
        <v>0</v>
      </c>
      <c r="G41" s="29">
        <f>$F$18</f>
        <v>287</v>
      </c>
      <c r="H41" s="30">
        <f>G41*F41</f>
        <v>0</v>
      </c>
      <c r="I41" s="31"/>
      <c r="J41" s="32">
        <f>Rates!F47</f>
        <v>-1.29E-2</v>
      </c>
      <c r="K41" s="29">
        <f>$F$18</f>
        <v>287</v>
      </c>
      <c r="L41" s="30">
        <f>K41*J41</f>
        <v>-3.7023000000000001</v>
      </c>
      <c r="M41" s="31"/>
      <c r="N41" s="34">
        <f>L41-H41</f>
        <v>-3.7023000000000001</v>
      </c>
      <c r="O41" s="35" t="str">
        <f>IF((H41)=0,"",(N41/H41))</f>
        <v/>
      </c>
    </row>
    <row r="42" spans="2:15" ht="38.25" x14ac:dyDescent="0.25">
      <c r="B42" s="50" t="str">
        <f>Rates!A48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Rates!D48</f>
        <v>0</v>
      </c>
      <c r="G42" s="29">
        <f t="shared" ref="G42:G45" si="11">$F$18</f>
        <v>287</v>
      </c>
      <c r="H42" s="30">
        <f t="shared" ref="H42:H46" si="12">G42*F42</f>
        <v>0</v>
      </c>
      <c r="I42" s="51"/>
      <c r="J42" s="32">
        <f>Rates!F48</f>
        <v>2.01E-2</v>
      </c>
      <c r="K42" s="29">
        <f t="shared" ref="K42:K45" si="13">$F$18</f>
        <v>287</v>
      </c>
      <c r="L42" s="30">
        <f t="shared" ref="L42:L46" si="14">K42*J42</f>
        <v>5.7686999999999999</v>
      </c>
      <c r="M42" s="52"/>
      <c r="N42" s="34">
        <f t="shared" ref="N42:N46" si="15">L42-H42</f>
        <v>5.7686999999999999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11"/>
        <v>287</v>
      </c>
      <c r="H43" s="30">
        <f t="shared" si="12"/>
        <v>0</v>
      </c>
      <c r="I43" s="51"/>
      <c r="J43" s="32"/>
      <c r="K43" s="29">
        <f t="shared" si="13"/>
        <v>287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11"/>
        <v>287</v>
      </c>
      <c r="H44" s="30">
        <f t="shared" si="12"/>
        <v>0</v>
      </c>
      <c r="I44" s="51"/>
      <c r="J44" s="32"/>
      <c r="K44" s="29">
        <f t="shared" si="13"/>
        <v>287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11"/>
        <v>287</v>
      </c>
      <c r="H45" s="30">
        <f>G45*F45</f>
        <v>0</v>
      </c>
      <c r="I45" s="31"/>
      <c r="J45" s="32"/>
      <c r="K45" s="29">
        <f t="shared" si="13"/>
        <v>287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Rates!D87</f>
        <v>8.949E-2</v>
      </c>
      <c r="G46" s="55">
        <f>$F$18*(1+$F$65)-$F$18</f>
        <v>24.796800000000019</v>
      </c>
      <c r="H46" s="30">
        <f t="shared" si="12"/>
        <v>2.2190656320000017</v>
      </c>
      <c r="I46" s="31"/>
      <c r="J46" s="56">
        <f>Rates!F87</f>
        <v>8.949E-2</v>
      </c>
      <c r="K46" s="55">
        <f>$F$18*(1+$J$65)-$F$18</f>
        <v>26.317899999999952</v>
      </c>
      <c r="L46" s="30">
        <f t="shared" si="14"/>
        <v>2.3551888709999957</v>
      </c>
      <c r="M46" s="31"/>
      <c r="N46" s="34">
        <f t="shared" si="15"/>
        <v>0.13612323899999401</v>
      </c>
      <c r="O46" s="35">
        <f t="shared" si="16"/>
        <v>6.1342592592589847E-2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Rates!D55</f>
        <v>0.79</v>
      </c>
      <c r="G47" s="29">
        <v>1</v>
      </c>
      <c r="H47" s="30">
        <f>G47*F47</f>
        <v>0.79</v>
      </c>
      <c r="I47" s="31"/>
      <c r="J47" s="54">
        <f>Rates!F55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76.419665632000005</v>
      </c>
      <c r="I48" s="44"/>
      <c r="J48" s="60"/>
      <c r="K48" s="62"/>
      <c r="L48" s="61">
        <f>SUM(L41:L47)+L40</f>
        <v>84.037288871000001</v>
      </c>
      <c r="M48" s="44"/>
      <c r="N48" s="47">
        <f t="shared" ref="N48:N62" si="17">L48-H48</f>
        <v>7.6176232389999967</v>
      </c>
      <c r="O48" s="48">
        <f t="shared" ref="O48:O62" si="18">IF((H48)=0,"",(N48/H48))</f>
        <v>9.9681452097458406E-2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Rates!D51</f>
        <v>7.0000000000000001E-3</v>
      </c>
      <c r="G49" s="65">
        <f>F18*(1+F65)</f>
        <v>311.79680000000002</v>
      </c>
      <c r="H49" s="30">
        <f>G49*F49</f>
        <v>2.1825776000000001</v>
      </c>
      <c r="I49" s="31"/>
      <c r="J49" s="32">
        <f>Rates!F51</f>
        <v>7.1999999999999998E-3</v>
      </c>
      <c r="K49" s="66">
        <f>F18*(1+J65)</f>
        <v>313.31789999999995</v>
      </c>
      <c r="L49" s="30">
        <f>K49*J49</f>
        <v>2.2558888799999997</v>
      </c>
      <c r="M49" s="31"/>
      <c r="N49" s="34">
        <f t="shared" si="17"/>
        <v>7.3311279999999535E-2</v>
      </c>
      <c r="O49" s="35">
        <f t="shared" si="18"/>
        <v>3.3589312013464961E-2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Rates!D52</f>
        <v>5.1000000000000004E-3</v>
      </c>
      <c r="G50" s="65">
        <f>G49</f>
        <v>311.79680000000002</v>
      </c>
      <c r="H50" s="30">
        <f>G50*F50</f>
        <v>1.5901636800000003</v>
      </c>
      <c r="I50" s="31"/>
      <c r="J50" s="32">
        <f>Rates!F52</f>
        <v>5.1999999999999998E-3</v>
      </c>
      <c r="K50" s="66">
        <f>K49</f>
        <v>313.31789999999995</v>
      </c>
      <c r="L50" s="30">
        <f>K50*J50</f>
        <v>1.6292530799999996</v>
      </c>
      <c r="M50" s="31"/>
      <c r="N50" s="34">
        <f t="shared" si="17"/>
        <v>3.9089399999999275E-2</v>
      </c>
      <c r="O50" s="35">
        <f t="shared" si="18"/>
        <v>2.4581997747552167E-2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80.19240691200001</v>
      </c>
      <c r="I51" s="69"/>
      <c r="J51" s="70"/>
      <c r="K51" s="71"/>
      <c r="L51" s="61">
        <f>SUM(L48:L50)</f>
        <v>87.922430831</v>
      </c>
      <c r="M51" s="69"/>
      <c r="N51" s="47">
        <f t="shared" si="17"/>
        <v>7.73002391899999</v>
      </c>
      <c r="O51" s="48">
        <f t="shared" si="18"/>
        <v>9.6393464377277194E-2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Rates!D53</f>
        <v>4.4000000000000003E-3</v>
      </c>
      <c r="G52" s="65">
        <f>G50</f>
        <v>311.79680000000002</v>
      </c>
      <c r="H52" s="74">
        <f t="shared" ref="H52:H56" si="19">G52*F52</f>
        <v>1.3719059200000001</v>
      </c>
      <c r="I52" s="31"/>
      <c r="J52" s="75">
        <f>Rates!F53</f>
        <v>4.4000000000000003E-3</v>
      </c>
      <c r="K52" s="66">
        <f>K50</f>
        <v>313.31789999999995</v>
      </c>
      <c r="L52" s="74">
        <f t="shared" ref="L52:L56" si="20">K52*J52</f>
        <v>1.3785987599999998</v>
      </c>
      <c r="M52" s="31"/>
      <c r="N52" s="34">
        <f t="shared" si="17"/>
        <v>6.6928399999997001E-3</v>
      </c>
      <c r="O52" s="76">
        <f t="shared" si="18"/>
        <v>4.8784977908687063E-3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Rates!D54</f>
        <v>1.2999999999999999E-3</v>
      </c>
      <c r="G53" s="65">
        <f>G50</f>
        <v>311.79680000000002</v>
      </c>
      <c r="H53" s="74">
        <f t="shared" si="19"/>
        <v>0.40533584</v>
      </c>
      <c r="I53" s="31"/>
      <c r="J53" s="75">
        <f>Rates!F54</f>
        <v>1.2999999999999999E-3</v>
      </c>
      <c r="K53" s="66">
        <f>K50</f>
        <v>313.31789999999995</v>
      </c>
      <c r="L53" s="74">
        <f t="shared" si="20"/>
        <v>0.40731326999999989</v>
      </c>
      <c r="M53" s="31"/>
      <c r="N53" s="34">
        <f t="shared" si="17"/>
        <v>1.9774299999998912E-3</v>
      </c>
      <c r="O53" s="76">
        <f t="shared" si="18"/>
        <v>4.8784977908686569E-3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Rates!D56</f>
        <v>0.25</v>
      </c>
      <c r="G54" s="29">
        <v>1</v>
      </c>
      <c r="H54" s="74">
        <f t="shared" si="19"/>
        <v>0.25</v>
      </c>
      <c r="I54" s="31"/>
      <c r="J54" s="75">
        <f>Rates!F56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Rates!D75</f>
        <v>2E-3</v>
      </c>
      <c r="G55" s="77">
        <f>F18</f>
        <v>287</v>
      </c>
      <c r="H55" s="74">
        <f t="shared" si="19"/>
        <v>0.57400000000000007</v>
      </c>
      <c r="I55" s="31"/>
      <c r="J55" s="75">
        <f>Rates!F75</f>
        <v>2E-3</v>
      </c>
      <c r="K55" s="78">
        <f>F18</f>
        <v>287</v>
      </c>
      <c r="L55" s="74">
        <f t="shared" si="20"/>
        <v>0.57400000000000007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108</v>
      </c>
      <c r="C56" s="25"/>
      <c r="D56" s="26" t="s">
        <v>80</v>
      </c>
      <c r="E56" s="27"/>
      <c r="F56" s="79">
        <f>Rates!D87</f>
        <v>8.949E-2</v>
      </c>
      <c r="G56" s="80">
        <f>F18</f>
        <v>287</v>
      </c>
      <c r="H56" s="74">
        <f t="shared" si="19"/>
        <v>25.683630000000001</v>
      </c>
      <c r="I56" s="31"/>
      <c r="J56" s="73">
        <f>Rates!F87</f>
        <v>8.949E-2</v>
      </c>
      <c r="K56" s="80">
        <f>G56</f>
        <v>287</v>
      </c>
      <c r="L56" s="74">
        <f t="shared" si="20"/>
        <v>25.683630000000001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105</v>
      </c>
      <c r="C58" s="25"/>
      <c r="D58" s="25"/>
      <c r="E58" s="25"/>
      <c r="F58" s="101"/>
      <c r="G58" s="102"/>
      <c r="H58" s="103">
        <f>SUM(H52:H56,H51)</f>
        <v>108.47727867200001</v>
      </c>
      <c r="I58" s="104"/>
      <c r="J58" s="105"/>
      <c r="K58" s="105"/>
      <c r="L58" s="181">
        <f>SUM(L52:L56,L51)</f>
        <v>116.215972861</v>
      </c>
      <c r="M58" s="106"/>
      <c r="N58" s="107">
        <f t="shared" ref="N58" si="21">L58-H58</f>
        <v>7.7386941889999861</v>
      </c>
      <c r="O58" s="108">
        <f t="shared" ref="O58" si="22">IF((H58)=0,"",(N58/H58))</f>
        <v>7.1339309795918446E-2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14.102046227360002</v>
      </c>
      <c r="I59" s="113"/>
      <c r="J59" s="114">
        <v>0.13</v>
      </c>
      <c r="K59" s="113"/>
      <c r="L59" s="115">
        <f>L58*J59</f>
        <v>15.10807647193</v>
      </c>
      <c r="M59" s="116"/>
      <c r="N59" s="117">
        <f t="shared" si="17"/>
        <v>1.0060302445699971</v>
      </c>
      <c r="O59" s="118">
        <f t="shared" si="18"/>
        <v>7.1339309795918376E-2</v>
      </c>
      <c r="S59" s="81"/>
    </row>
    <row r="60" spans="2:19" x14ac:dyDescent="0.25">
      <c r="B60" s="119" t="s">
        <v>52</v>
      </c>
      <c r="C60" s="25"/>
      <c r="D60" s="25"/>
      <c r="E60" s="25"/>
      <c r="F60" s="120"/>
      <c r="G60" s="111"/>
      <c r="H60" s="112">
        <f>H58+H59</f>
        <v>122.57932489936002</v>
      </c>
      <c r="I60" s="113"/>
      <c r="J60" s="113"/>
      <c r="K60" s="113"/>
      <c r="L60" s="115">
        <f>L58+L59</f>
        <v>131.32404933293</v>
      </c>
      <c r="M60" s="116"/>
      <c r="N60" s="117">
        <f t="shared" si="17"/>
        <v>8.744724433569985</v>
      </c>
      <c r="O60" s="118">
        <f t="shared" si="18"/>
        <v>7.133930979591846E-2</v>
      </c>
      <c r="S60" s="81"/>
    </row>
    <row r="61" spans="2:19" x14ac:dyDescent="0.25">
      <c r="B61" s="225" t="s">
        <v>53</v>
      </c>
      <c r="C61" s="225"/>
      <c r="D61" s="225"/>
      <c r="E61" s="25"/>
      <c r="F61" s="120"/>
      <c r="G61" s="111"/>
      <c r="H61" s="121">
        <f>ROUND(-H60*10%,2)</f>
        <v>-12.26</v>
      </c>
      <c r="I61" s="113"/>
      <c r="J61" s="113"/>
      <c r="K61" s="113"/>
      <c r="L61" s="122">
        <f>ROUND(-L60*10%,2)</f>
        <v>-13.13</v>
      </c>
      <c r="M61" s="116"/>
      <c r="N61" s="123">
        <f t="shared" si="17"/>
        <v>-0.87000000000000099</v>
      </c>
      <c r="O61" s="124">
        <f t="shared" si="18"/>
        <v>7.0962479608482953E-2</v>
      </c>
    </row>
    <row r="62" spans="2:19" ht="15.75" thickBot="1" x14ac:dyDescent="0.3">
      <c r="B62" s="226" t="s">
        <v>47</v>
      </c>
      <c r="C62" s="226"/>
      <c r="D62" s="226"/>
      <c r="E62" s="125"/>
      <c r="F62" s="126"/>
      <c r="G62" s="127"/>
      <c r="H62" s="128">
        <f>H60+H61</f>
        <v>110.31932489936001</v>
      </c>
      <c r="I62" s="129"/>
      <c r="J62" s="129"/>
      <c r="K62" s="129"/>
      <c r="L62" s="130">
        <f>L60+L61</f>
        <v>118.19404933293001</v>
      </c>
      <c r="M62" s="131"/>
      <c r="N62" s="132">
        <f t="shared" si="17"/>
        <v>7.8747244335699946</v>
      </c>
      <c r="O62" s="133">
        <f t="shared" si="18"/>
        <v>7.1381187663664511E-2</v>
      </c>
    </row>
    <row r="63" spans="2:19" s="89" customFormat="1" ht="15.75" thickBot="1" x14ac:dyDescent="0.25">
      <c r="B63" s="134"/>
      <c r="C63" s="135"/>
      <c r="D63" s="136"/>
      <c r="E63" s="135"/>
      <c r="F63" s="93"/>
      <c r="G63" s="137"/>
      <c r="H63" s="95"/>
      <c r="I63" s="138"/>
      <c r="J63" s="93"/>
      <c r="K63" s="139"/>
      <c r="L63" s="95"/>
      <c r="M63" s="138"/>
      <c r="N63" s="140"/>
      <c r="O63" s="99"/>
    </row>
    <row r="64" spans="2:19" x14ac:dyDescent="0.25">
      <c r="L64" s="81"/>
    </row>
    <row r="65" spans="1:10" x14ac:dyDescent="0.25">
      <c r="B65" s="16" t="s">
        <v>50</v>
      </c>
      <c r="F65" s="179">
        <f>Rates!D80</f>
        <v>8.6400000000000005E-2</v>
      </c>
      <c r="J65" s="179">
        <f>Rates!F80</f>
        <v>9.1700000000000004E-2</v>
      </c>
    </row>
    <row r="67" spans="1:10" x14ac:dyDescent="0.25">
      <c r="A67" s="180"/>
      <c r="B67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1:D61"/>
    <mergeCell ref="B62:D6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49:D50 D41:D47 D63 D23:D39 D52:D57">
      <formula1>"Monthly, per kWh, per kW"</formula1>
    </dataValidation>
    <dataValidation type="list" allowBlank="1" showInputMessage="1" showErrorMessage="1" sqref="E49:E50 E41:E47 E23:E39 E63 E52:E57">
      <formula1>#REF!</formula1>
    </dataValidation>
  </dataValidation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Rates</vt:lpstr>
      <vt:lpstr>Residential - R1 RPP</vt:lpstr>
      <vt:lpstr>Residential - R1 Non-RPP</vt:lpstr>
      <vt:lpstr>Residential - R2 Non-RPP</vt:lpstr>
      <vt:lpstr>Residential - R2 Non-RPP Int.</vt:lpstr>
      <vt:lpstr>Residential - R2 RPP</vt:lpstr>
      <vt:lpstr>Seasonal RPP</vt:lpstr>
      <vt:lpstr>Seasonal Non-RPP</vt:lpstr>
      <vt:lpstr>Street Lighting Non-RPP</vt:lpstr>
      <vt:lpstr>Street Lighting_2 Non-RPP</vt:lpstr>
      <vt:lpstr>'Residential - R1 Non-RPP'!Print_Area</vt:lpstr>
      <vt:lpstr>'Residential - R1 RPP'!Print_Area</vt:lpstr>
      <vt:lpstr>'Residential - R2 Non-RPP'!Print_Area</vt:lpstr>
      <vt:lpstr>'Residential - R2 Non-RPP Int.'!Print_Area</vt:lpstr>
      <vt:lpstr>'Residential - R2 RPP'!Print_Area</vt:lpstr>
      <vt:lpstr>'Seasonal Non-RPP'!Print_Area</vt:lpstr>
      <vt:lpstr>'Seasonal RPP'!Print_Area</vt:lpstr>
      <vt:lpstr>'Street Lighting Non-RPP'!Print_Area</vt:lpstr>
      <vt:lpstr>'Street Lighting_2 Non-RPP'!Print_Area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2014-04-25T12:49:41Z</cp:lastPrinted>
  <dcterms:created xsi:type="dcterms:W3CDTF">2014-04-09T13:49:52Z</dcterms:created>
  <dcterms:modified xsi:type="dcterms:W3CDTF">2014-08-01T19:58:13Z</dcterms:modified>
</cp:coreProperties>
</file>