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600" windowHeight="8970" activeTab="9"/>
  </bookViews>
  <sheets>
    <sheet name="Cover" sheetId="10" r:id="rId1"/>
    <sheet name="Rates" sheetId="1" r:id="rId2"/>
    <sheet name="FE - Residential RPP" sheetId="54" r:id="rId3"/>
    <sheet name="FE - Residential" sheetId="32" r:id="rId4"/>
    <sheet name="FE - GS &lt; 50 kW RPP" sheetId="57" r:id="rId5"/>
    <sheet name="FE - GS &lt; 50 kW" sheetId="35" r:id="rId6"/>
    <sheet name="FE - GS &gt; 50 kW" sheetId="41" r:id="rId7"/>
    <sheet name="FE - USL" sheetId="38" r:id="rId8"/>
    <sheet name="FE - Sentinel Lgt" sheetId="44" r:id="rId9"/>
    <sheet name="FE - Street Lgt" sheetId="47" r:id="rId10"/>
    <sheet name="EOP - Residential RPP" sheetId="55" r:id="rId11"/>
    <sheet name="EOP - Residential" sheetId="33" r:id="rId12"/>
    <sheet name="EOP - GS &lt; 50 kW RPP" sheetId="58" r:id="rId13"/>
    <sheet name="EOP - GS &lt; 50 kW" sheetId="36" r:id="rId14"/>
    <sheet name="EOP - GS &gt; 50 kW" sheetId="42" r:id="rId15"/>
    <sheet name="EOP - USL" sheetId="39" r:id="rId16"/>
    <sheet name="EOP - Sentinel Lgt" sheetId="45" r:id="rId17"/>
    <sheet name="EOP - Street Lgt" sheetId="48" r:id="rId18"/>
    <sheet name="PC - Residential RPP" sheetId="56" r:id="rId19"/>
    <sheet name="PC - Residential" sheetId="34" r:id="rId20"/>
    <sheet name="PC - GS &lt; 50 KW RPP" sheetId="59" r:id="rId21"/>
    <sheet name="PC - GS &lt; 50 KW" sheetId="37" r:id="rId22"/>
    <sheet name="PC - GS &gt; 50 kW" sheetId="43" r:id="rId23"/>
    <sheet name="PC - USL" sheetId="40" r:id="rId24"/>
    <sheet name="PC - Sentinel Lgt" sheetId="46" r:id="rId25"/>
    <sheet name="PC - Street Lgt" sheetId="49" r:id="rId26"/>
    <sheet name="Summary - FE" sheetId="51" r:id="rId27"/>
    <sheet name="Summary - EOP" sheetId="52" r:id="rId28"/>
    <sheet name="Summary - PC" sheetId="53" r:id="rId29"/>
    <sheet name="Sheet1" sheetId="50" r:id="rId30"/>
  </sheets>
  <calcPr calcId="145621"/>
</workbook>
</file>

<file path=xl/calcChain.xml><?xml version="1.0" encoding="utf-8"?>
<calcChain xmlns="http://schemas.openxmlformats.org/spreadsheetml/2006/main">
  <c r="C11" i="52" l="1"/>
  <c r="C23" i="52" s="1"/>
  <c r="C9" i="52"/>
  <c r="C21" i="52" s="1"/>
  <c r="C11" i="51"/>
  <c r="C23" i="51" s="1"/>
  <c r="C9" i="51"/>
  <c r="C21" i="51" s="1"/>
  <c r="C11" i="53"/>
  <c r="C23" i="53" s="1"/>
  <c r="C9" i="53"/>
  <c r="C21" i="53" s="1"/>
  <c r="G43" i="59" l="1"/>
  <c r="C43" i="59"/>
  <c r="B43" i="59"/>
  <c r="G41" i="59"/>
  <c r="C41" i="59"/>
  <c r="B41" i="59"/>
  <c r="G38" i="59"/>
  <c r="D38" i="59"/>
  <c r="H38" i="59" s="1"/>
  <c r="C38" i="59"/>
  <c r="B38" i="59"/>
  <c r="H37" i="59"/>
  <c r="G37" i="59"/>
  <c r="D37" i="59"/>
  <c r="C37" i="59"/>
  <c r="E37" i="59" s="1"/>
  <c r="B37" i="59"/>
  <c r="G36" i="59"/>
  <c r="D36" i="59"/>
  <c r="H36" i="59" s="1"/>
  <c r="C36" i="59"/>
  <c r="E36" i="59" s="1"/>
  <c r="B36" i="59"/>
  <c r="G35" i="59"/>
  <c r="D35" i="59"/>
  <c r="H35" i="59" s="1"/>
  <c r="C35" i="59"/>
  <c r="E35" i="59" s="1"/>
  <c r="B35" i="59"/>
  <c r="H34" i="59"/>
  <c r="G34" i="59"/>
  <c r="C34" i="59"/>
  <c r="E34" i="59" s="1"/>
  <c r="B34" i="59"/>
  <c r="G33" i="59"/>
  <c r="C33" i="59"/>
  <c r="B33" i="59"/>
  <c r="G32" i="59"/>
  <c r="C32" i="59"/>
  <c r="B32" i="59"/>
  <c r="G30" i="59"/>
  <c r="C30" i="59"/>
  <c r="B30" i="59"/>
  <c r="G29" i="59"/>
  <c r="C29" i="59"/>
  <c r="B29" i="59"/>
  <c r="G27" i="59"/>
  <c r="D27" i="59"/>
  <c r="H27" i="59" s="1"/>
  <c r="C27" i="59"/>
  <c r="B27" i="59"/>
  <c r="H26" i="59"/>
  <c r="G26" i="59"/>
  <c r="D26" i="59"/>
  <c r="C26" i="59"/>
  <c r="E26" i="59" s="1"/>
  <c r="B26" i="59"/>
  <c r="G25" i="59"/>
  <c r="D25" i="59"/>
  <c r="H25" i="59" s="1"/>
  <c r="I25" i="59" s="1"/>
  <c r="C25" i="59"/>
  <c r="E25" i="59" s="1"/>
  <c r="L25" i="59" s="1"/>
  <c r="B25" i="59"/>
  <c r="G24" i="59"/>
  <c r="D24" i="59"/>
  <c r="H24" i="59" s="1"/>
  <c r="C24" i="59"/>
  <c r="E24" i="59" s="1"/>
  <c r="B24" i="59"/>
  <c r="D23" i="59"/>
  <c r="H23" i="59" s="1"/>
  <c r="I23" i="59" s="1"/>
  <c r="C23" i="59"/>
  <c r="B23" i="59"/>
  <c r="G22" i="59"/>
  <c r="D22" i="59"/>
  <c r="H22" i="59" s="1"/>
  <c r="C22" i="59"/>
  <c r="E22" i="59" s="1"/>
  <c r="L22" i="59" s="1"/>
  <c r="B22" i="59"/>
  <c r="G21" i="59"/>
  <c r="D21" i="59"/>
  <c r="H21" i="59" s="1"/>
  <c r="C21" i="59"/>
  <c r="E21" i="59" s="1"/>
  <c r="B21" i="59"/>
  <c r="G20" i="59"/>
  <c r="D20" i="59"/>
  <c r="H20" i="59" s="1"/>
  <c r="C20" i="59"/>
  <c r="B20" i="59"/>
  <c r="G19" i="59"/>
  <c r="C19" i="59"/>
  <c r="G17" i="59"/>
  <c r="D17" i="59"/>
  <c r="H17" i="59" s="1"/>
  <c r="C17" i="59"/>
  <c r="B17" i="59"/>
  <c r="G16" i="59"/>
  <c r="D16" i="59"/>
  <c r="H16" i="59" s="1"/>
  <c r="C16" i="59"/>
  <c r="B16" i="59"/>
  <c r="G15" i="59"/>
  <c r="D15" i="59"/>
  <c r="H15" i="59" s="1"/>
  <c r="C15" i="59"/>
  <c r="B15" i="59"/>
  <c r="H14" i="59"/>
  <c r="G14" i="59"/>
  <c r="D14" i="59"/>
  <c r="C14" i="59"/>
  <c r="E14" i="59" s="1"/>
  <c r="B14" i="59"/>
  <c r="C9" i="59"/>
  <c r="C5" i="59"/>
  <c r="D32" i="59" s="1"/>
  <c r="H32" i="59" s="1"/>
  <c r="B3" i="59"/>
  <c r="B2" i="59"/>
  <c r="G22" i="48"/>
  <c r="G21" i="48"/>
  <c r="G20" i="48"/>
  <c r="C22" i="48"/>
  <c r="C21" i="48"/>
  <c r="C20" i="48"/>
  <c r="G22" i="42"/>
  <c r="G21" i="42"/>
  <c r="G20" i="42"/>
  <c r="C22" i="42"/>
  <c r="C21" i="42"/>
  <c r="C20" i="42"/>
  <c r="G24" i="36"/>
  <c r="G23" i="36"/>
  <c r="G22" i="36"/>
  <c r="C24" i="36"/>
  <c r="C23" i="36"/>
  <c r="C22" i="36"/>
  <c r="G24" i="58"/>
  <c r="G22" i="58"/>
  <c r="C24" i="58"/>
  <c r="E24" i="58" s="1"/>
  <c r="L24" i="58" s="1"/>
  <c r="C23" i="58"/>
  <c r="C22" i="58"/>
  <c r="G22" i="47"/>
  <c r="G21" i="47"/>
  <c r="G20" i="47"/>
  <c r="C22" i="47"/>
  <c r="C21" i="47"/>
  <c r="C20" i="47"/>
  <c r="G21" i="44"/>
  <c r="G20" i="44"/>
  <c r="C22" i="44"/>
  <c r="C21" i="44"/>
  <c r="C20" i="44"/>
  <c r="G20" i="38"/>
  <c r="G21" i="38"/>
  <c r="G22" i="38"/>
  <c r="C22" i="38"/>
  <c r="C21" i="38"/>
  <c r="C20" i="38"/>
  <c r="G22" i="44"/>
  <c r="G42" i="58"/>
  <c r="C42" i="58"/>
  <c r="B42" i="58"/>
  <c r="G40" i="58"/>
  <c r="C40" i="58"/>
  <c r="B40" i="58"/>
  <c r="G37" i="58"/>
  <c r="D37" i="58"/>
  <c r="H37" i="58" s="1"/>
  <c r="C37" i="58"/>
  <c r="B37" i="58"/>
  <c r="G36" i="58"/>
  <c r="D36" i="58"/>
  <c r="H36" i="58" s="1"/>
  <c r="C36" i="58"/>
  <c r="B36" i="58"/>
  <c r="H35" i="58"/>
  <c r="G35" i="58"/>
  <c r="I35" i="58" s="1"/>
  <c r="D35" i="58"/>
  <c r="C35" i="58"/>
  <c r="E35" i="58" s="1"/>
  <c r="B35" i="58"/>
  <c r="H34" i="58"/>
  <c r="G34" i="58"/>
  <c r="D34" i="58"/>
  <c r="C34" i="58"/>
  <c r="B34" i="58"/>
  <c r="H33" i="58"/>
  <c r="G33" i="58"/>
  <c r="I33" i="58" s="1"/>
  <c r="K33" i="58" s="1"/>
  <c r="C33" i="58"/>
  <c r="E33" i="58" s="1"/>
  <c r="B33" i="58"/>
  <c r="G32" i="58"/>
  <c r="C32" i="58"/>
  <c r="B32" i="58"/>
  <c r="G31" i="58"/>
  <c r="C31" i="58"/>
  <c r="B31" i="58"/>
  <c r="G29" i="58"/>
  <c r="C29" i="58"/>
  <c r="B29" i="58"/>
  <c r="G28" i="58"/>
  <c r="C28" i="58"/>
  <c r="B28" i="58"/>
  <c r="G26" i="58"/>
  <c r="D26" i="58"/>
  <c r="H26" i="58" s="1"/>
  <c r="C26" i="58"/>
  <c r="B26" i="58"/>
  <c r="G25" i="58"/>
  <c r="D25" i="58"/>
  <c r="H25" i="58" s="1"/>
  <c r="C25" i="58"/>
  <c r="B25" i="58"/>
  <c r="D24" i="58"/>
  <c r="H24" i="58" s="1"/>
  <c r="B24" i="58"/>
  <c r="D23" i="58"/>
  <c r="H23" i="58" s="1"/>
  <c r="I23" i="58" s="1"/>
  <c r="B23" i="58"/>
  <c r="D22" i="58"/>
  <c r="H22" i="58" s="1"/>
  <c r="B22" i="58"/>
  <c r="G21" i="58"/>
  <c r="D21" i="58"/>
  <c r="H21" i="58" s="1"/>
  <c r="C21" i="58"/>
  <c r="E21" i="58" s="1"/>
  <c r="B21" i="58"/>
  <c r="G20" i="58"/>
  <c r="D20" i="58"/>
  <c r="H20" i="58" s="1"/>
  <c r="C20" i="58"/>
  <c r="E20" i="58" s="1"/>
  <c r="B20" i="58"/>
  <c r="G19" i="58"/>
  <c r="C19" i="58"/>
  <c r="H17" i="58"/>
  <c r="I17" i="58" s="1"/>
  <c r="G17" i="58"/>
  <c r="D17" i="58"/>
  <c r="C17" i="58"/>
  <c r="E17" i="58" s="1"/>
  <c r="B17" i="58"/>
  <c r="G16" i="58"/>
  <c r="D16" i="58"/>
  <c r="H16" i="58" s="1"/>
  <c r="I16" i="58" s="1"/>
  <c r="C16" i="58"/>
  <c r="B16" i="58"/>
  <c r="G15" i="58"/>
  <c r="D15" i="58"/>
  <c r="H15" i="58" s="1"/>
  <c r="C15" i="58"/>
  <c r="E15" i="58" s="1"/>
  <c r="B15" i="58"/>
  <c r="G14" i="58"/>
  <c r="D14" i="58"/>
  <c r="H14" i="58" s="1"/>
  <c r="C14" i="58"/>
  <c r="B14" i="58"/>
  <c r="C9" i="58"/>
  <c r="C5" i="58"/>
  <c r="D29" i="58" s="1"/>
  <c r="H29" i="58" s="1"/>
  <c r="B3" i="58"/>
  <c r="B2" i="58"/>
  <c r="G42" i="57"/>
  <c r="C42" i="57"/>
  <c r="B42" i="57"/>
  <c r="G40" i="57"/>
  <c r="C40" i="57"/>
  <c r="B40" i="57"/>
  <c r="G37" i="57"/>
  <c r="D37" i="57"/>
  <c r="H37" i="57" s="1"/>
  <c r="I37" i="57" s="1"/>
  <c r="C37" i="57"/>
  <c r="B37" i="57"/>
  <c r="G36" i="57"/>
  <c r="D36" i="57"/>
  <c r="H36" i="57" s="1"/>
  <c r="C36" i="57"/>
  <c r="B36" i="57"/>
  <c r="G35" i="57"/>
  <c r="D35" i="57"/>
  <c r="H35" i="57" s="1"/>
  <c r="C35" i="57"/>
  <c r="B35" i="57"/>
  <c r="G34" i="57"/>
  <c r="D34" i="57"/>
  <c r="H34" i="57" s="1"/>
  <c r="C34" i="57"/>
  <c r="E34" i="57" s="1"/>
  <c r="L34" i="57" s="1"/>
  <c r="B34" i="57"/>
  <c r="H33" i="57"/>
  <c r="G33" i="57"/>
  <c r="C33" i="57"/>
  <c r="E33" i="57" s="1"/>
  <c r="B33" i="57"/>
  <c r="G32" i="57"/>
  <c r="C32" i="57"/>
  <c r="B32" i="57"/>
  <c r="G31" i="57"/>
  <c r="C31" i="57"/>
  <c r="B31" i="57"/>
  <c r="G29" i="57"/>
  <c r="C29" i="57"/>
  <c r="B29" i="57"/>
  <c r="G28" i="57"/>
  <c r="C28" i="57"/>
  <c r="B28" i="57"/>
  <c r="G26" i="57"/>
  <c r="D26" i="57"/>
  <c r="H26" i="57" s="1"/>
  <c r="C26" i="57"/>
  <c r="B26" i="57"/>
  <c r="G25" i="57"/>
  <c r="D25" i="57"/>
  <c r="H25" i="57" s="1"/>
  <c r="C25" i="57"/>
  <c r="E25" i="57" s="1"/>
  <c r="B25" i="57"/>
  <c r="G24" i="57"/>
  <c r="D24" i="57"/>
  <c r="H24" i="57" s="1"/>
  <c r="C24" i="57"/>
  <c r="E24" i="57" s="1"/>
  <c r="L24" i="57" s="1"/>
  <c r="B24" i="57"/>
  <c r="H23" i="57"/>
  <c r="I23" i="57" s="1"/>
  <c r="D23" i="57"/>
  <c r="C23" i="57"/>
  <c r="E23" i="57" s="1"/>
  <c r="L23" i="57" s="1"/>
  <c r="B23" i="57"/>
  <c r="G22" i="57"/>
  <c r="D22" i="57"/>
  <c r="H22" i="57" s="1"/>
  <c r="C22" i="57"/>
  <c r="B22" i="57"/>
  <c r="G21" i="57"/>
  <c r="D21" i="57"/>
  <c r="H21" i="57" s="1"/>
  <c r="C21" i="57"/>
  <c r="E21" i="57" s="1"/>
  <c r="B21" i="57"/>
  <c r="G20" i="57"/>
  <c r="D20" i="57"/>
  <c r="H20" i="57" s="1"/>
  <c r="C20" i="57"/>
  <c r="B20" i="57"/>
  <c r="G19" i="57"/>
  <c r="C19" i="57"/>
  <c r="G17" i="57"/>
  <c r="D17" i="57"/>
  <c r="H17" i="57" s="1"/>
  <c r="I17" i="57" s="1"/>
  <c r="C17" i="57"/>
  <c r="E17" i="57" s="1"/>
  <c r="B17" i="57"/>
  <c r="G16" i="57"/>
  <c r="D16" i="57"/>
  <c r="H16" i="57" s="1"/>
  <c r="C16" i="57"/>
  <c r="B16" i="57"/>
  <c r="G15" i="57"/>
  <c r="D15" i="57"/>
  <c r="H15" i="57" s="1"/>
  <c r="C15" i="57"/>
  <c r="E15" i="57" s="1"/>
  <c r="B15" i="57"/>
  <c r="G14" i="57"/>
  <c r="D14" i="57"/>
  <c r="H14" i="57" s="1"/>
  <c r="C14" i="57"/>
  <c r="B14" i="57"/>
  <c r="C9" i="57"/>
  <c r="C5" i="57"/>
  <c r="D29" i="57" s="1"/>
  <c r="H29" i="57" s="1"/>
  <c r="B3" i="57"/>
  <c r="B2" i="57"/>
  <c r="G43" i="56"/>
  <c r="C43" i="56"/>
  <c r="B43" i="56"/>
  <c r="G41" i="56"/>
  <c r="C41" i="56"/>
  <c r="B41" i="56"/>
  <c r="G38" i="56"/>
  <c r="D38" i="56"/>
  <c r="H38" i="56" s="1"/>
  <c r="C38" i="56"/>
  <c r="B38" i="56"/>
  <c r="G37" i="56"/>
  <c r="D37" i="56"/>
  <c r="H37" i="56" s="1"/>
  <c r="C37" i="56"/>
  <c r="B37" i="56"/>
  <c r="G36" i="56"/>
  <c r="D36" i="56"/>
  <c r="H36" i="56" s="1"/>
  <c r="C36" i="56"/>
  <c r="B36" i="56"/>
  <c r="G35" i="56"/>
  <c r="D35" i="56"/>
  <c r="H35" i="56" s="1"/>
  <c r="C35" i="56"/>
  <c r="B35" i="56"/>
  <c r="H34" i="56"/>
  <c r="G34" i="56"/>
  <c r="C34" i="56"/>
  <c r="E34" i="56" s="1"/>
  <c r="B34" i="56"/>
  <c r="G33" i="56"/>
  <c r="C33" i="56"/>
  <c r="B33" i="56"/>
  <c r="G32" i="56"/>
  <c r="C32" i="56"/>
  <c r="B32" i="56"/>
  <c r="G30" i="56"/>
  <c r="C30" i="56"/>
  <c r="B30" i="56"/>
  <c r="G29" i="56"/>
  <c r="C29" i="56"/>
  <c r="B29" i="56"/>
  <c r="G27" i="56"/>
  <c r="D27" i="56"/>
  <c r="H27" i="56" s="1"/>
  <c r="C27" i="56"/>
  <c r="B27" i="56"/>
  <c r="H26" i="56"/>
  <c r="G26" i="56"/>
  <c r="D26" i="56"/>
  <c r="C26" i="56"/>
  <c r="B26" i="56"/>
  <c r="G25" i="56"/>
  <c r="D25" i="56"/>
  <c r="H25" i="56" s="1"/>
  <c r="C25" i="56"/>
  <c r="E25" i="56" s="1"/>
  <c r="L25" i="56" s="1"/>
  <c r="B25" i="56"/>
  <c r="G24" i="56"/>
  <c r="D24" i="56"/>
  <c r="H24" i="56" s="1"/>
  <c r="C24" i="56"/>
  <c r="B24" i="56"/>
  <c r="D23" i="56"/>
  <c r="H23" i="56" s="1"/>
  <c r="I23" i="56" s="1"/>
  <c r="C23" i="56"/>
  <c r="B23" i="56"/>
  <c r="H22" i="56"/>
  <c r="G22" i="56"/>
  <c r="D22" i="56"/>
  <c r="C22" i="56"/>
  <c r="E22" i="56" s="1"/>
  <c r="L22" i="56" s="1"/>
  <c r="B22" i="56"/>
  <c r="G21" i="56"/>
  <c r="D21" i="56"/>
  <c r="H21" i="56" s="1"/>
  <c r="I21" i="56" s="1"/>
  <c r="C21" i="56"/>
  <c r="B21" i="56"/>
  <c r="G20" i="56"/>
  <c r="D20" i="56"/>
  <c r="H20" i="56" s="1"/>
  <c r="I20" i="56" s="1"/>
  <c r="C20" i="56"/>
  <c r="B20" i="56"/>
  <c r="G19" i="56"/>
  <c r="C19" i="56"/>
  <c r="G17" i="56"/>
  <c r="D17" i="56"/>
  <c r="H17" i="56" s="1"/>
  <c r="C17" i="56"/>
  <c r="B17" i="56"/>
  <c r="H16" i="56"/>
  <c r="G16" i="56"/>
  <c r="D16" i="56"/>
  <c r="C16" i="56"/>
  <c r="E16" i="56" s="1"/>
  <c r="B16" i="56"/>
  <c r="H15" i="56"/>
  <c r="G15" i="56"/>
  <c r="D15" i="56"/>
  <c r="C15" i="56"/>
  <c r="B15" i="56"/>
  <c r="G14" i="56"/>
  <c r="D14" i="56"/>
  <c r="H14" i="56" s="1"/>
  <c r="C14" i="56"/>
  <c r="B14" i="56"/>
  <c r="C9" i="56"/>
  <c r="C5" i="56"/>
  <c r="D33" i="56" s="1"/>
  <c r="B3" i="56"/>
  <c r="B2" i="56"/>
  <c r="G42" i="55"/>
  <c r="C42" i="55"/>
  <c r="B42" i="55"/>
  <c r="G40" i="55"/>
  <c r="C40" i="55"/>
  <c r="B40" i="55"/>
  <c r="G37" i="55"/>
  <c r="D37" i="55"/>
  <c r="H37" i="55" s="1"/>
  <c r="C37" i="55"/>
  <c r="B37" i="55"/>
  <c r="G36" i="55"/>
  <c r="D36" i="55"/>
  <c r="H36" i="55" s="1"/>
  <c r="C36" i="55"/>
  <c r="B36" i="55"/>
  <c r="H35" i="55"/>
  <c r="G35" i="55"/>
  <c r="D35" i="55"/>
  <c r="C35" i="55"/>
  <c r="E35" i="55" s="1"/>
  <c r="B35" i="55"/>
  <c r="G34" i="55"/>
  <c r="D34" i="55"/>
  <c r="H34" i="55" s="1"/>
  <c r="I34" i="55" s="1"/>
  <c r="C34" i="55"/>
  <c r="B34" i="55"/>
  <c r="H33" i="55"/>
  <c r="G33" i="55"/>
  <c r="I33" i="55" s="1"/>
  <c r="C33" i="55"/>
  <c r="E33" i="55" s="1"/>
  <c r="B33" i="55"/>
  <c r="G32" i="55"/>
  <c r="C32" i="55"/>
  <c r="B32" i="55"/>
  <c r="G31" i="55"/>
  <c r="C31" i="55"/>
  <c r="B31" i="55"/>
  <c r="G29" i="55"/>
  <c r="C29" i="55"/>
  <c r="B29" i="55"/>
  <c r="G28" i="55"/>
  <c r="C28" i="55"/>
  <c r="B28" i="55"/>
  <c r="G26" i="55"/>
  <c r="D26" i="55"/>
  <c r="H26" i="55" s="1"/>
  <c r="C26" i="55"/>
  <c r="B26" i="55"/>
  <c r="G25" i="55"/>
  <c r="D25" i="55"/>
  <c r="H25" i="55" s="1"/>
  <c r="C25" i="55"/>
  <c r="E25" i="55" s="1"/>
  <c r="B25" i="55"/>
  <c r="G24" i="55"/>
  <c r="D24" i="55"/>
  <c r="H24" i="55" s="1"/>
  <c r="C24" i="55"/>
  <c r="E24" i="55" s="1"/>
  <c r="L24" i="55" s="1"/>
  <c r="B24" i="55"/>
  <c r="D23" i="55"/>
  <c r="H23" i="55" s="1"/>
  <c r="C23" i="55"/>
  <c r="E23" i="55" s="1"/>
  <c r="L23" i="55" s="1"/>
  <c r="B23" i="55"/>
  <c r="G22" i="55"/>
  <c r="D22" i="55"/>
  <c r="H22" i="55" s="1"/>
  <c r="C22" i="55"/>
  <c r="B22" i="55"/>
  <c r="G21" i="55"/>
  <c r="D21" i="55"/>
  <c r="H21" i="55" s="1"/>
  <c r="C21" i="55"/>
  <c r="E21" i="55" s="1"/>
  <c r="B21" i="55"/>
  <c r="G20" i="55"/>
  <c r="D20" i="55"/>
  <c r="H20" i="55" s="1"/>
  <c r="C20" i="55"/>
  <c r="B20" i="55"/>
  <c r="G19" i="55"/>
  <c r="C19" i="55"/>
  <c r="G17" i="55"/>
  <c r="D17" i="55"/>
  <c r="H17" i="55" s="1"/>
  <c r="C17" i="55"/>
  <c r="B17" i="55"/>
  <c r="G16" i="55"/>
  <c r="D16" i="55"/>
  <c r="H16" i="55" s="1"/>
  <c r="C16" i="55"/>
  <c r="B16" i="55"/>
  <c r="G15" i="55"/>
  <c r="D15" i="55"/>
  <c r="H15" i="55" s="1"/>
  <c r="C15" i="55"/>
  <c r="E15" i="55" s="1"/>
  <c r="B15" i="55"/>
  <c r="G14" i="55"/>
  <c r="D14" i="55"/>
  <c r="H14" i="55" s="1"/>
  <c r="C14" i="55"/>
  <c r="E14" i="55" s="1"/>
  <c r="B14" i="55"/>
  <c r="C9" i="55"/>
  <c r="C5" i="55"/>
  <c r="D29" i="55" s="1"/>
  <c r="H29" i="55" s="1"/>
  <c r="B3" i="55"/>
  <c r="B2" i="55"/>
  <c r="G42" i="54"/>
  <c r="C42" i="54"/>
  <c r="B42" i="54"/>
  <c r="G40" i="54"/>
  <c r="C40" i="54"/>
  <c r="B40" i="54"/>
  <c r="G37" i="54"/>
  <c r="D37" i="54"/>
  <c r="H37" i="54" s="1"/>
  <c r="C37" i="54"/>
  <c r="B37" i="54"/>
  <c r="H36" i="54"/>
  <c r="G36" i="54"/>
  <c r="D36" i="54"/>
  <c r="C36" i="54"/>
  <c r="E36" i="54" s="1"/>
  <c r="B36" i="54"/>
  <c r="G35" i="54"/>
  <c r="D35" i="54"/>
  <c r="H35" i="54" s="1"/>
  <c r="C35" i="54"/>
  <c r="E35" i="54" s="1"/>
  <c r="B35" i="54"/>
  <c r="G34" i="54"/>
  <c r="D34" i="54"/>
  <c r="H34" i="54" s="1"/>
  <c r="I34" i="54" s="1"/>
  <c r="C34" i="54"/>
  <c r="E34" i="54" s="1"/>
  <c r="L34" i="54" s="1"/>
  <c r="B34" i="54"/>
  <c r="H33" i="54"/>
  <c r="G33" i="54"/>
  <c r="I33" i="54" s="1"/>
  <c r="C33" i="54"/>
  <c r="E33" i="54" s="1"/>
  <c r="B33" i="54"/>
  <c r="G32" i="54"/>
  <c r="C32" i="54"/>
  <c r="B32" i="54"/>
  <c r="G31" i="54"/>
  <c r="C31" i="54"/>
  <c r="B31" i="54"/>
  <c r="G29" i="54"/>
  <c r="C29" i="54"/>
  <c r="B29" i="54"/>
  <c r="G28" i="54"/>
  <c r="C28" i="54"/>
  <c r="B28" i="54"/>
  <c r="G26" i="54"/>
  <c r="D26" i="54"/>
  <c r="H26" i="54" s="1"/>
  <c r="I26" i="54" s="1"/>
  <c r="C26" i="54"/>
  <c r="B26" i="54"/>
  <c r="G25" i="54"/>
  <c r="D25" i="54"/>
  <c r="H25" i="54" s="1"/>
  <c r="C25" i="54"/>
  <c r="E25" i="54" s="1"/>
  <c r="B25" i="54"/>
  <c r="G24" i="54"/>
  <c r="D24" i="54"/>
  <c r="H24" i="54" s="1"/>
  <c r="C24" i="54"/>
  <c r="E24" i="54" s="1"/>
  <c r="L24" i="54" s="1"/>
  <c r="B24" i="54"/>
  <c r="D23" i="54"/>
  <c r="H23" i="54" s="1"/>
  <c r="I23" i="54" s="1"/>
  <c r="C23" i="54"/>
  <c r="E23" i="54" s="1"/>
  <c r="L23" i="54" s="1"/>
  <c r="B23" i="54"/>
  <c r="G22" i="54"/>
  <c r="D22" i="54"/>
  <c r="H22" i="54" s="1"/>
  <c r="C22" i="54"/>
  <c r="B22" i="54"/>
  <c r="G21" i="54"/>
  <c r="D21" i="54"/>
  <c r="H21" i="54" s="1"/>
  <c r="C21" i="54"/>
  <c r="B21" i="54"/>
  <c r="G20" i="54"/>
  <c r="D20" i="54"/>
  <c r="H20" i="54" s="1"/>
  <c r="C20" i="54"/>
  <c r="B20" i="54"/>
  <c r="G19" i="54"/>
  <c r="C19" i="54"/>
  <c r="G17" i="54"/>
  <c r="D17" i="54"/>
  <c r="H17" i="54" s="1"/>
  <c r="C17" i="54"/>
  <c r="B17" i="54"/>
  <c r="G16" i="54"/>
  <c r="D16" i="54"/>
  <c r="H16" i="54" s="1"/>
  <c r="C16" i="54"/>
  <c r="B16" i="54"/>
  <c r="G15" i="54"/>
  <c r="D15" i="54"/>
  <c r="H15" i="54" s="1"/>
  <c r="C15" i="54"/>
  <c r="B15" i="54"/>
  <c r="G14" i="54"/>
  <c r="D14" i="54"/>
  <c r="H14" i="54" s="1"/>
  <c r="C14" i="54"/>
  <c r="B14" i="54"/>
  <c r="C9" i="54"/>
  <c r="C5" i="54"/>
  <c r="D31" i="54" s="1"/>
  <c r="B3" i="54"/>
  <c r="B2" i="54"/>
  <c r="K17" i="57" l="1"/>
  <c r="E25" i="58"/>
  <c r="K23" i="54"/>
  <c r="D19" i="55"/>
  <c r="E19" i="55" s="1"/>
  <c r="I25" i="55"/>
  <c r="E27" i="56"/>
  <c r="E37" i="56"/>
  <c r="I15" i="57"/>
  <c r="K15" i="57" s="1"/>
  <c r="L15" i="57" s="1"/>
  <c r="E17" i="54"/>
  <c r="I36" i="54"/>
  <c r="K36" i="54" s="1"/>
  <c r="I35" i="55"/>
  <c r="K35" i="55" s="1"/>
  <c r="I16" i="56"/>
  <c r="K16" i="56" s="1"/>
  <c r="L16" i="56" s="1"/>
  <c r="I22" i="56"/>
  <c r="I34" i="56"/>
  <c r="E36" i="57"/>
  <c r="D19" i="59"/>
  <c r="E19" i="59" s="1"/>
  <c r="I20" i="59"/>
  <c r="I34" i="59"/>
  <c r="I36" i="59"/>
  <c r="K34" i="55"/>
  <c r="I15" i="54"/>
  <c r="I20" i="54"/>
  <c r="E14" i="54"/>
  <c r="E15" i="54"/>
  <c r="E20" i="54"/>
  <c r="E21" i="54"/>
  <c r="I14" i="55"/>
  <c r="E17" i="55"/>
  <c r="E20" i="55"/>
  <c r="I26" i="55"/>
  <c r="D28" i="55"/>
  <c r="H28" i="55" s="1"/>
  <c r="I28" i="55" s="1"/>
  <c r="E36" i="55"/>
  <c r="E17" i="56"/>
  <c r="I26" i="56"/>
  <c r="E36" i="56"/>
  <c r="E14" i="57"/>
  <c r="E20" i="57"/>
  <c r="I33" i="57"/>
  <c r="K33" i="57" s="1"/>
  <c r="E35" i="57"/>
  <c r="E14" i="58"/>
  <c r="I15" i="58"/>
  <c r="K15" i="58" s="1"/>
  <c r="L15" i="58" s="1"/>
  <c r="I20" i="58"/>
  <c r="E36" i="58"/>
  <c r="E23" i="58"/>
  <c r="L23" i="58" s="1"/>
  <c r="E15" i="59"/>
  <c r="E16" i="59"/>
  <c r="E20" i="59"/>
  <c r="I26" i="59"/>
  <c r="K26" i="59" s="1"/>
  <c r="L26" i="59" s="1"/>
  <c r="I37" i="59"/>
  <c r="K34" i="56"/>
  <c r="I21" i="54"/>
  <c r="K21" i="54" s="1"/>
  <c r="I20" i="55"/>
  <c r="E34" i="55"/>
  <c r="E15" i="56"/>
  <c r="E21" i="56"/>
  <c r="K21" i="56" s="1"/>
  <c r="L21" i="56" s="1"/>
  <c r="E23" i="56"/>
  <c r="E26" i="56"/>
  <c r="E38" i="56"/>
  <c r="I14" i="57"/>
  <c r="I20" i="57"/>
  <c r="K20" i="57" s="1"/>
  <c r="I34" i="57"/>
  <c r="I35" i="57"/>
  <c r="K35" i="57" s="1"/>
  <c r="I14" i="58"/>
  <c r="K14" i="58" s="1"/>
  <c r="L14" i="58" s="1"/>
  <c r="E34" i="58"/>
  <c r="I14" i="59"/>
  <c r="I16" i="59"/>
  <c r="D33" i="59"/>
  <c r="H33" i="59" s="1"/>
  <c r="I25" i="54"/>
  <c r="K25" i="54" s="1"/>
  <c r="L25" i="54" s="1"/>
  <c r="K33" i="54"/>
  <c r="I24" i="55"/>
  <c r="D31" i="55"/>
  <c r="H31" i="55" s="1"/>
  <c r="I31" i="55" s="1"/>
  <c r="I37" i="56"/>
  <c r="K37" i="56" s="1"/>
  <c r="L37" i="56" s="1"/>
  <c r="I24" i="57"/>
  <c r="D19" i="58"/>
  <c r="I24" i="58"/>
  <c r="K24" i="58" s="1"/>
  <c r="I22" i="59"/>
  <c r="K25" i="59"/>
  <c r="D30" i="59"/>
  <c r="H30" i="59" s="1"/>
  <c r="I30" i="59" s="1"/>
  <c r="I33" i="59"/>
  <c r="K36" i="59"/>
  <c r="L36" i="59" s="1"/>
  <c r="H19" i="57"/>
  <c r="I19" i="57" s="1"/>
  <c r="D32" i="57"/>
  <c r="H32" i="57" s="1"/>
  <c r="I32" i="57" s="1"/>
  <c r="I16" i="54"/>
  <c r="I22" i="54"/>
  <c r="K34" i="54"/>
  <c r="I37" i="54"/>
  <c r="I16" i="55"/>
  <c r="E28" i="55"/>
  <c r="I14" i="56"/>
  <c r="I24" i="56"/>
  <c r="I35" i="56"/>
  <c r="I26" i="57"/>
  <c r="D28" i="57"/>
  <c r="H28" i="57" s="1"/>
  <c r="I28" i="57" s="1"/>
  <c r="D31" i="57"/>
  <c r="K34" i="57"/>
  <c r="E19" i="58"/>
  <c r="I17" i="59"/>
  <c r="I21" i="59"/>
  <c r="K21" i="59" s="1"/>
  <c r="L21" i="59" s="1"/>
  <c r="E30" i="59"/>
  <c r="K30" i="59" s="1"/>
  <c r="L30" i="59" s="1"/>
  <c r="I22" i="55"/>
  <c r="L34" i="56"/>
  <c r="I16" i="57"/>
  <c r="D19" i="57"/>
  <c r="K23" i="57"/>
  <c r="K24" i="57"/>
  <c r="E28" i="57"/>
  <c r="K17" i="58"/>
  <c r="H19" i="58"/>
  <c r="I19" i="58" s="1"/>
  <c r="K20" i="58"/>
  <c r="L20" i="58" s="1"/>
  <c r="D32" i="58"/>
  <c r="H32" i="58" s="1"/>
  <c r="I32" i="58" s="1"/>
  <c r="I37" i="58"/>
  <c r="I15" i="59"/>
  <c r="I17" i="54"/>
  <c r="K17" i="54" s="1"/>
  <c r="L17" i="54" s="1"/>
  <c r="I17" i="55"/>
  <c r="H19" i="55"/>
  <c r="I19" i="55" s="1"/>
  <c r="K25" i="55"/>
  <c r="L25" i="55" s="1"/>
  <c r="D32" i="55"/>
  <c r="H32" i="55" s="1"/>
  <c r="I32" i="55" s="1"/>
  <c r="I37" i="55"/>
  <c r="I15" i="56"/>
  <c r="K15" i="56" s="1"/>
  <c r="L15" i="56" s="1"/>
  <c r="I25" i="56"/>
  <c r="K25" i="56" s="1"/>
  <c r="K26" i="56"/>
  <c r="I36" i="56"/>
  <c r="K36" i="56" s="1"/>
  <c r="L36" i="56" s="1"/>
  <c r="E19" i="57"/>
  <c r="I22" i="57"/>
  <c r="I26" i="58"/>
  <c r="D28" i="58"/>
  <c r="H28" i="58" s="1"/>
  <c r="I28" i="58" s="1"/>
  <c r="D31" i="58"/>
  <c r="H31" i="58" s="1"/>
  <c r="I34" i="58"/>
  <c r="K35" i="58"/>
  <c r="L35" i="58" s="1"/>
  <c r="I24" i="59"/>
  <c r="K24" i="59" s="1"/>
  <c r="I27" i="59"/>
  <c r="I35" i="59"/>
  <c r="K35" i="59" s="1"/>
  <c r="L35" i="59" s="1"/>
  <c r="K37" i="59"/>
  <c r="L37" i="59" s="1"/>
  <c r="I32" i="59"/>
  <c r="K14" i="59"/>
  <c r="L14" i="59" s="1"/>
  <c r="K16" i="59"/>
  <c r="L16" i="59" s="1"/>
  <c r="L24" i="59"/>
  <c r="I38" i="59"/>
  <c r="K20" i="59"/>
  <c r="L20" i="59" s="1"/>
  <c r="K22" i="59"/>
  <c r="E32" i="59"/>
  <c r="K34" i="59"/>
  <c r="L34" i="59" s="1"/>
  <c r="E17" i="59"/>
  <c r="E23" i="59"/>
  <c r="L23" i="59" s="1"/>
  <c r="E27" i="59"/>
  <c r="D29" i="59"/>
  <c r="H29" i="59" s="1"/>
  <c r="I29" i="59" s="1"/>
  <c r="E38" i="59"/>
  <c r="H19" i="59"/>
  <c r="I19" i="59" s="1"/>
  <c r="K19" i="59" s="1"/>
  <c r="L19" i="59" s="1"/>
  <c r="I22" i="58"/>
  <c r="I23" i="55"/>
  <c r="K23" i="55" s="1"/>
  <c r="E29" i="58"/>
  <c r="L33" i="58"/>
  <c r="L17" i="58"/>
  <c r="I25" i="58"/>
  <c r="K25" i="58" s="1"/>
  <c r="L25" i="58" s="1"/>
  <c r="I29" i="58"/>
  <c r="I21" i="58"/>
  <c r="K21" i="58" s="1"/>
  <c r="L21" i="58" s="1"/>
  <c r="I31" i="58"/>
  <c r="I36" i="58"/>
  <c r="K36" i="58" s="1"/>
  <c r="L36" i="58" s="1"/>
  <c r="E22" i="58"/>
  <c r="L22" i="58" s="1"/>
  <c r="E26" i="58"/>
  <c r="E37" i="58"/>
  <c r="K37" i="58" s="1"/>
  <c r="E16" i="58"/>
  <c r="E29" i="57"/>
  <c r="L33" i="57"/>
  <c r="K14" i="57"/>
  <c r="L14" i="57" s="1"/>
  <c r="L17" i="57"/>
  <c r="I25" i="57"/>
  <c r="K25" i="57" s="1"/>
  <c r="L25" i="57" s="1"/>
  <c r="I29" i="57"/>
  <c r="I21" i="57"/>
  <c r="K21" i="57" s="1"/>
  <c r="L21" i="57" s="1"/>
  <c r="L35" i="57"/>
  <c r="I36" i="57"/>
  <c r="K36" i="57" s="1"/>
  <c r="L36" i="57" s="1"/>
  <c r="E22" i="57"/>
  <c r="L22" i="57" s="1"/>
  <c r="E26" i="57"/>
  <c r="E37" i="57"/>
  <c r="K37" i="57" s="1"/>
  <c r="E16" i="57"/>
  <c r="K22" i="56"/>
  <c r="H33" i="56"/>
  <c r="I33" i="56" s="1"/>
  <c r="E33" i="56"/>
  <c r="I17" i="56"/>
  <c r="L26" i="56"/>
  <c r="I27" i="56"/>
  <c r="K27" i="56" s="1"/>
  <c r="L27" i="56" s="1"/>
  <c r="I38" i="56"/>
  <c r="K38" i="56" s="1"/>
  <c r="L38" i="56" s="1"/>
  <c r="D29" i="56"/>
  <c r="E14" i="56"/>
  <c r="E20" i="56"/>
  <c r="K20" i="56" s="1"/>
  <c r="E24" i="56"/>
  <c r="D30" i="56"/>
  <c r="H30" i="56" s="1"/>
  <c r="I30" i="56" s="1"/>
  <c r="E35" i="56"/>
  <c r="H19" i="56"/>
  <c r="I19" i="56" s="1"/>
  <c r="D32" i="56"/>
  <c r="H32" i="56" s="1"/>
  <c r="I32" i="56" s="1"/>
  <c r="D19" i="56"/>
  <c r="E19" i="56" s="1"/>
  <c r="E29" i="55"/>
  <c r="K14" i="55"/>
  <c r="L14" i="55" s="1"/>
  <c r="I29" i="55"/>
  <c r="L34" i="55"/>
  <c r="I21" i="55"/>
  <c r="K21" i="55" s="1"/>
  <c r="L21" i="55" s="1"/>
  <c r="L35" i="55"/>
  <c r="I36" i="55"/>
  <c r="I15" i="55"/>
  <c r="K15" i="55" s="1"/>
  <c r="L15" i="55" s="1"/>
  <c r="K24" i="55"/>
  <c r="K33" i="55"/>
  <c r="L33" i="55" s="1"/>
  <c r="E16" i="55"/>
  <c r="E22" i="55"/>
  <c r="L22" i="55" s="1"/>
  <c r="E26" i="55"/>
  <c r="K26" i="55" s="1"/>
  <c r="E37" i="55"/>
  <c r="L33" i="54"/>
  <c r="I35" i="54"/>
  <c r="K35" i="54" s="1"/>
  <c r="L35" i="54" s="1"/>
  <c r="H31" i="54"/>
  <c r="I31" i="54" s="1"/>
  <c r="E31" i="54"/>
  <c r="L21" i="54"/>
  <c r="I24" i="54"/>
  <c r="K24" i="54" s="1"/>
  <c r="I14" i="54"/>
  <c r="L36" i="54"/>
  <c r="H19" i="54"/>
  <c r="I19" i="54" s="1"/>
  <c r="D32" i="54"/>
  <c r="E16" i="54"/>
  <c r="D19" i="54"/>
  <c r="E19" i="54" s="1"/>
  <c r="E22" i="54"/>
  <c r="L22" i="54" s="1"/>
  <c r="E26" i="54"/>
  <c r="K26" i="54" s="1"/>
  <c r="D28" i="54"/>
  <c r="H28" i="54" s="1"/>
  <c r="I28" i="54" s="1"/>
  <c r="E37" i="54"/>
  <c r="K37" i="54" s="1"/>
  <c r="D29" i="54"/>
  <c r="H29" i="54" s="1"/>
  <c r="I29" i="54" s="1"/>
  <c r="G20" i="49"/>
  <c r="G21" i="49"/>
  <c r="G22" i="49"/>
  <c r="G23" i="49"/>
  <c r="C20" i="49"/>
  <c r="C21" i="49"/>
  <c r="C22" i="49"/>
  <c r="C23" i="49"/>
  <c r="G19" i="46"/>
  <c r="G20" i="46"/>
  <c r="G21" i="46"/>
  <c r="G22" i="46"/>
  <c r="C19" i="46"/>
  <c r="C20" i="46"/>
  <c r="C21" i="46"/>
  <c r="C22" i="46"/>
  <c r="G20" i="40"/>
  <c r="G21" i="40"/>
  <c r="G22" i="40"/>
  <c r="G23" i="40"/>
  <c r="C20" i="40"/>
  <c r="C21" i="40"/>
  <c r="C22" i="40"/>
  <c r="C23" i="40"/>
  <c r="E23" i="40" s="1"/>
  <c r="G20" i="43"/>
  <c r="G21" i="43"/>
  <c r="G22" i="43"/>
  <c r="G23" i="43"/>
  <c r="C20" i="43"/>
  <c r="C21" i="43"/>
  <c r="C22" i="43"/>
  <c r="C23" i="43"/>
  <c r="E23" i="43" s="1"/>
  <c r="G22" i="37"/>
  <c r="G23" i="37"/>
  <c r="G24" i="37"/>
  <c r="G25" i="37"/>
  <c r="C22" i="37"/>
  <c r="C23" i="37"/>
  <c r="C24" i="37"/>
  <c r="C25" i="37"/>
  <c r="G22" i="34"/>
  <c r="G23" i="34"/>
  <c r="G24" i="34"/>
  <c r="G25" i="34"/>
  <c r="C22" i="34"/>
  <c r="C23" i="34"/>
  <c r="C24" i="34"/>
  <c r="C25" i="34"/>
  <c r="E25" i="34" s="1"/>
  <c r="G19" i="45"/>
  <c r="G20" i="45"/>
  <c r="G21" i="45"/>
  <c r="C19" i="45"/>
  <c r="C20" i="45"/>
  <c r="C21" i="45"/>
  <c r="G19" i="39"/>
  <c r="G20" i="39"/>
  <c r="G21" i="39"/>
  <c r="C19" i="39"/>
  <c r="C20" i="39"/>
  <c r="C21" i="39"/>
  <c r="E21" i="39" s="1"/>
  <c r="G22" i="33"/>
  <c r="G23" i="33"/>
  <c r="G24" i="33"/>
  <c r="C22" i="33"/>
  <c r="C23" i="33"/>
  <c r="C24" i="33"/>
  <c r="I21" i="47"/>
  <c r="G20" i="41"/>
  <c r="G21" i="41"/>
  <c r="G22" i="41"/>
  <c r="C20" i="41"/>
  <c r="C21" i="41"/>
  <c r="C22" i="41"/>
  <c r="G22" i="35"/>
  <c r="G23" i="35"/>
  <c r="G24" i="35"/>
  <c r="C22" i="35"/>
  <c r="C23" i="35"/>
  <c r="C24" i="35"/>
  <c r="G22" i="32"/>
  <c r="G23" i="32"/>
  <c r="G24" i="32"/>
  <c r="C22" i="32"/>
  <c r="C23" i="32"/>
  <c r="C24" i="32"/>
  <c r="E21" i="48"/>
  <c r="L21" i="48" s="1"/>
  <c r="I24" i="33"/>
  <c r="D23" i="49"/>
  <c r="H23" i="49" s="1"/>
  <c r="D21" i="49"/>
  <c r="H21" i="49" s="1"/>
  <c r="D20" i="49"/>
  <c r="E20" i="49" s="1"/>
  <c r="D22" i="46"/>
  <c r="H22" i="46" s="1"/>
  <c r="D20" i="46"/>
  <c r="H20" i="46" s="1"/>
  <c r="D19" i="46"/>
  <c r="H19" i="46" s="1"/>
  <c r="H21" i="40"/>
  <c r="D23" i="40"/>
  <c r="H23" i="40" s="1"/>
  <c r="D21" i="40"/>
  <c r="E21" i="40" s="1"/>
  <c r="D20" i="40"/>
  <c r="H20" i="40" s="1"/>
  <c r="H23" i="43"/>
  <c r="D23" i="43"/>
  <c r="D21" i="43"/>
  <c r="H21" i="43" s="1"/>
  <c r="I21" i="43" s="1"/>
  <c r="D20" i="43"/>
  <c r="H20" i="43" s="1"/>
  <c r="H22" i="37"/>
  <c r="D25" i="37"/>
  <c r="H25" i="37" s="1"/>
  <c r="D23" i="37"/>
  <c r="H23" i="37" s="1"/>
  <c r="I23" i="37" s="1"/>
  <c r="D22" i="37"/>
  <c r="D25" i="34"/>
  <c r="H25" i="34" s="1"/>
  <c r="D23" i="34"/>
  <c r="H23" i="34" s="1"/>
  <c r="I23" i="34" s="1"/>
  <c r="D22" i="34"/>
  <c r="H22" i="34" s="1"/>
  <c r="H22" i="48"/>
  <c r="I22" i="48" s="1"/>
  <c r="D22" i="48"/>
  <c r="E22" i="48" s="1"/>
  <c r="D21" i="48"/>
  <c r="H21" i="48" s="1"/>
  <c r="I21" i="48" s="1"/>
  <c r="D20" i="48"/>
  <c r="H19" i="45"/>
  <c r="D21" i="45"/>
  <c r="H21" i="45" s="1"/>
  <c r="D20" i="45"/>
  <c r="H20" i="45" s="1"/>
  <c r="D19" i="45"/>
  <c r="H20" i="39"/>
  <c r="D21" i="39"/>
  <c r="H21" i="39" s="1"/>
  <c r="D20" i="39"/>
  <c r="E20" i="39" s="1"/>
  <c r="D19" i="39"/>
  <c r="H19" i="39" s="1"/>
  <c r="D22" i="42"/>
  <c r="H22" i="42" s="1"/>
  <c r="I22" i="42" s="1"/>
  <c r="D21" i="42"/>
  <c r="H21" i="42" s="1"/>
  <c r="I21" i="42" s="1"/>
  <c r="D20" i="42"/>
  <c r="H20" i="42" s="1"/>
  <c r="I20" i="42" s="1"/>
  <c r="H24" i="36"/>
  <c r="I24" i="36" s="1"/>
  <c r="D24" i="36"/>
  <c r="E24" i="36" s="1"/>
  <c r="L24" i="36" s="1"/>
  <c r="D23" i="36"/>
  <c r="E23" i="36" s="1"/>
  <c r="L23" i="36" s="1"/>
  <c r="D22" i="36"/>
  <c r="H22" i="36" s="1"/>
  <c r="I22" i="36" s="1"/>
  <c r="H22" i="33"/>
  <c r="D24" i="33"/>
  <c r="H24" i="33" s="1"/>
  <c r="D23" i="33"/>
  <c r="D22" i="33"/>
  <c r="E22" i="33" s="1"/>
  <c r="H21" i="47"/>
  <c r="D22" i="47"/>
  <c r="E22" i="47" s="1"/>
  <c r="D21" i="47"/>
  <c r="E21" i="47" s="1"/>
  <c r="L21" i="47" s="1"/>
  <c r="D20" i="47"/>
  <c r="D22" i="44"/>
  <c r="D21" i="44"/>
  <c r="D20" i="44"/>
  <c r="E20" i="44" s="1"/>
  <c r="H22" i="38"/>
  <c r="I22" i="38" s="1"/>
  <c r="D22" i="38"/>
  <c r="E22" i="38" s="1"/>
  <c r="D21" i="38"/>
  <c r="E21" i="38" s="1"/>
  <c r="L21" i="38" s="1"/>
  <c r="D20" i="38"/>
  <c r="H20" i="41"/>
  <c r="D22" i="41"/>
  <c r="H22" i="41" s="1"/>
  <c r="D21" i="41"/>
  <c r="H21" i="41" s="1"/>
  <c r="D20" i="41"/>
  <c r="H23" i="35"/>
  <c r="D24" i="35"/>
  <c r="H24" i="35" s="1"/>
  <c r="D23" i="35"/>
  <c r="D22" i="35"/>
  <c r="D24" i="32"/>
  <c r="H24" i="32" s="1"/>
  <c r="D23" i="32"/>
  <c r="H23" i="32" s="1"/>
  <c r="D22" i="32"/>
  <c r="H22" i="32" s="1"/>
  <c r="H21" i="38" l="1"/>
  <c r="I21" i="38" s="1"/>
  <c r="H20" i="44"/>
  <c r="I20" i="44" s="1"/>
  <c r="H22" i="47"/>
  <c r="I22" i="47" s="1"/>
  <c r="E23" i="32"/>
  <c r="L23" i="32" s="1"/>
  <c r="I22" i="32"/>
  <c r="E21" i="41"/>
  <c r="L21" i="41" s="1"/>
  <c r="I20" i="41"/>
  <c r="K36" i="55"/>
  <c r="L36" i="55" s="1"/>
  <c r="I18" i="58"/>
  <c r="E20" i="42"/>
  <c r="I21" i="41"/>
  <c r="E19" i="39"/>
  <c r="E21" i="49"/>
  <c r="E22" i="32"/>
  <c r="E24" i="35"/>
  <c r="K24" i="35" s="1"/>
  <c r="I23" i="35"/>
  <c r="E20" i="41"/>
  <c r="I20" i="45"/>
  <c r="E21" i="43"/>
  <c r="L21" i="43" s="1"/>
  <c r="I21" i="40"/>
  <c r="K29" i="58"/>
  <c r="K23" i="58"/>
  <c r="K14" i="56"/>
  <c r="L14" i="56" s="1"/>
  <c r="H23" i="36"/>
  <c r="I23" i="36" s="1"/>
  <c r="H20" i="49"/>
  <c r="E21" i="42"/>
  <c r="L21" i="42" s="1"/>
  <c r="E20" i="45"/>
  <c r="L20" i="45" s="1"/>
  <c r="E22" i="42"/>
  <c r="K31" i="54"/>
  <c r="K17" i="55"/>
  <c r="L17" i="55" s="1"/>
  <c r="I18" i="57"/>
  <c r="I27" i="57" s="1"/>
  <c r="E31" i="55"/>
  <c r="E18" i="59"/>
  <c r="K15" i="54"/>
  <c r="L15" i="54" s="1"/>
  <c r="L17" i="56"/>
  <c r="E21" i="44"/>
  <c r="L21" i="44" s="1"/>
  <c r="H21" i="44"/>
  <c r="I21" i="44" s="1"/>
  <c r="I24" i="35"/>
  <c r="E22" i="35"/>
  <c r="H22" i="35"/>
  <c r="E24" i="32"/>
  <c r="E21" i="45"/>
  <c r="L21" i="45" s="1"/>
  <c r="L20" i="57"/>
  <c r="E20" i="47"/>
  <c r="L20" i="47" s="1"/>
  <c r="H20" i="47"/>
  <c r="I20" i="47" s="1"/>
  <c r="E22" i="36"/>
  <c r="I20" i="39"/>
  <c r="K20" i="39" s="1"/>
  <c r="I25" i="34"/>
  <c r="K25" i="34" s="1"/>
  <c r="E25" i="37"/>
  <c r="I25" i="37"/>
  <c r="I23" i="43"/>
  <c r="K23" i="43" s="1"/>
  <c r="I23" i="40"/>
  <c r="E22" i="46"/>
  <c r="I22" i="46"/>
  <c r="E23" i="49"/>
  <c r="L23" i="49" s="1"/>
  <c r="I23" i="49"/>
  <c r="K28" i="57"/>
  <c r="L28" i="57" s="1"/>
  <c r="E22" i="44"/>
  <c r="H22" i="44"/>
  <c r="I22" i="44" s="1"/>
  <c r="E23" i="33"/>
  <c r="L23" i="33" s="1"/>
  <c r="H23" i="33"/>
  <c r="I23" i="33" s="1"/>
  <c r="K23" i="33" s="1"/>
  <c r="E23" i="34"/>
  <c r="L23" i="34" s="1"/>
  <c r="L23" i="56"/>
  <c r="K23" i="56"/>
  <c r="H20" i="38"/>
  <c r="I20" i="38" s="1"/>
  <c r="K20" i="38" s="1"/>
  <c r="E20" i="38"/>
  <c r="E20" i="48"/>
  <c r="L20" i="48" s="1"/>
  <c r="H20" i="48"/>
  <c r="I20" i="48" s="1"/>
  <c r="I21" i="39"/>
  <c r="K21" i="39" s="1"/>
  <c r="I19" i="45"/>
  <c r="E32" i="55"/>
  <c r="K32" i="55" s="1"/>
  <c r="L32" i="55" s="1"/>
  <c r="E28" i="58"/>
  <c r="K28" i="58" s="1"/>
  <c r="L28" i="58" s="1"/>
  <c r="K31" i="55"/>
  <c r="L31" i="55" s="1"/>
  <c r="K20" i="55"/>
  <c r="L20" i="55" s="1"/>
  <c r="I22" i="35"/>
  <c r="K22" i="35" s="1"/>
  <c r="I23" i="32"/>
  <c r="E22" i="41"/>
  <c r="I22" i="33"/>
  <c r="K22" i="33" s="1"/>
  <c r="I19" i="39"/>
  <c r="K19" i="39" s="1"/>
  <c r="I21" i="45"/>
  <c r="K21" i="45" s="1"/>
  <c r="E22" i="34"/>
  <c r="I22" i="34"/>
  <c r="E22" i="37"/>
  <c r="K22" i="37" s="1"/>
  <c r="I22" i="37"/>
  <c r="E20" i="43"/>
  <c r="I20" i="43"/>
  <c r="E20" i="40"/>
  <c r="L20" i="40" s="1"/>
  <c r="I20" i="40"/>
  <c r="E19" i="46"/>
  <c r="L19" i="46" s="1"/>
  <c r="I19" i="46"/>
  <c r="I20" i="49"/>
  <c r="K20" i="49" s="1"/>
  <c r="K22" i="55"/>
  <c r="K17" i="56"/>
  <c r="E31" i="58"/>
  <c r="K31" i="58" s="1"/>
  <c r="L31" i="58" s="1"/>
  <c r="K20" i="54"/>
  <c r="L20" i="54" s="1"/>
  <c r="I24" i="32"/>
  <c r="E23" i="35"/>
  <c r="L23" i="35" s="1"/>
  <c r="I22" i="41"/>
  <c r="E24" i="33"/>
  <c r="L24" i="33" s="1"/>
  <c r="E19" i="45"/>
  <c r="K19" i="45" s="1"/>
  <c r="E23" i="37"/>
  <c r="K23" i="37" s="1"/>
  <c r="E20" i="46"/>
  <c r="I20" i="46"/>
  <c r="K20" i="46" s="1"/>
  <c r="I21" i="49"/>
  <c r="K33" i="56"/>
  <c r="E33" i="59"/>
  <c r="K33" i="59" s="1"/>
  <c r="K34" i="58"/>
  <c r="L34" i="58" s="1"/>
  <c r="K15" i="59"/>
  <c r="L15" i="59" s="1"/>
  <c r="K19" i="58"/>
  <c r="L19" i="58" s="1"/>
  <c r="K35" i="56"/>
  <c r="K16" i="55"/>
  <c r="L16" i="55" s="1"/>
  <c r="H31" i="57"/>
  <c r="I31" i="57" s="1"/>
  <c r="E31" i="57"/>
  <c r="K21" i="41"/>
  <c r="E29" i="54"/>
  <c r="K29" i="54" s="1"/>
  <c r="L29" i="54" s="1"/>
  <c r="K23" i="36"/>
  <c r="K23" i="32"/>
  <c r="K28" i="55"/>
  <c r="L28" i="55" s="1"/>
  <c r="I18" i="56"/>
  <c r="I18" i="59"/>
  <c r="K18" i="59" s="1"/>
  <c r="L18" i="59" s="1"/>
  <c r="K21" i="38"/>
  <c r="K21" i="44"/>
  <c r="K29" i="55"/>
  <c r="L29" i="55" s="1"/>
  <c r="K19" i="56"/>
  <c r="L19" i="56" s="1"/>
  <c r="E32" i="57"/>
  <c r="K32" i="57" s="1"/>
  <c r="E32" i="58"/>
  <c r="K32" i="58" s="1"/>
  <c r="L32" i="58" s="1"/>
  <c r="K19" i="55"/>
  <c r="L19" i="55" s="1"/>
  <c r="K19" i="57"/>
  <c r="L19" i="57" s="1"/>
  <c r="K23" i="59"/>
  <c r="E28" i="59"/>
  <c r="L33" i="59"/>
  <c r="K38" i="59"/>
  <c r="L38" i="59" s="1"/>
  <c r="I28" i="59"/>
  <c r="K17" i="59"/>
  <c r="L17" i="59" s="1"/>
  <c r="K27" i="59"/>
  <c r="L27" i="59" s="1"/>
  <c r="K32" i="59"/>
  <c r="L32" i="59" s="1"/>
  <c r="E29" i="59"/>
  <c r="K21" i="48"/>
  <c r="K21" i="42"/>
  <c r="L16" i="58"/>
  <c r="L37" i="58"/>
  <c r="K16" i="58"/>
  <c r="L29" i="58"/>
  <c r="E18" i="58"/>
  <c r="K18" i="58" s="1"/>
  <c r="K22" i="58"/>
  <c r="I27" i="58"/>
  <c r="K26" i="58"/>
  <c r="L26" i="58" s="1"/>
  <c r="L29" i="57"/>
  <c r="K16" i="57"/>
  <c r="L16" i="57" s="1"/>
  <c r="K22" i="57"/>
  <c r="K26" i="57"/>
  <c r="L26" i="57" s="1"/>
  <c r="L37" i="57"/>
  <c r="K29" i="57"/>
  <c r="E18" i="57"/>
  <c r="L24" i="56"/>
  <c r="K24" i="56"/>
  <c r="L20" i="56"/>
  <c r="E32" i="56"/>
  <c r="I28" i="56"/>
  <c r="L35" i="56"/>
  <c r="E18" i="56"/>
  <c r="L33" i="56"/>
  <c r="H29" i="56"/>
  <c r="I29" i="56" s="1"/>
  <c r="E29" i="56"/>
  <c r="E30" i="56"/>
  <c r="K30" i="56" s="1"/>
  <c r="I18" i="55"/>
  <c r="L26" i="55"/>
  <c r="E18" i="55"/>
  <c r="K37" i="55"/>
  <c r="L37" i="55" s="1"/>
  <c r="K14" i="54"/>
  <c r="L14" i="54" s="1"/>
  <c r="I18" i="54"/>
  <c r="E28" i="54"/>
  <c r="K19" i="54"/>
  <c r="L19" i="54" s="1"/>
  <c r="L31" i="54"/>
  <c r="E18" i="54"/>
  <c r="K22" i="54"/>
  <c r="L26" i="54"/>
  <c r="H32" i="54"/>
  <c r="I32" i="54" s="1"/>
  <c r="E32" i="54"/>
  <c r="L37" i="54"/>
  <c r="K16" i="54"/>
  <c r="L16" i="54" s="1"/>
  <c r="K21" i="49"/>
  <c r="K20" i="45"/>
  <c r="L21" i="49"/>
  <c r="L20" i="49"/>
  <c r="K22" i="46"/>
  <c r="L22" i="46"/>
  <c r="L20" i="46"/>
  <c r="K21" i="40"/>
  <c r="K23" i="40"/>
  <c r="L23" i="40"/>
  <c r="L21" i="40"/>
  <c r="K20" i="43"/>
  <c r="L20" i="43"/>
  <c r="L23" i="43"/>
  <c r="K25" i="37"/>
  <c r="L25" i="37"/>
  <c r="L23" i="37"/>
  <c r="K22" i="34"/>
  <c r="L22" i="34"/>
  <c r="L25" i="34"/>
  <c r="K22" i="48"/>
  <c r="L22" i="48"/>
  <c r="L19" i="45"/>
  <c r="L21" i="39"/>
  <c r="L19" i="39"/>
  <c r="L20" i="39"/>
  <c r="K20" i="42"/>
  <c r="K22" i="42"/>
  <c r="L22" i="42"/>
  <c r="L20" i="42"/>
  <c r="K22" i="36"/>
  <c r="K24" i="36"/>
  <c r="L22" i="36"/>
  <c r="K24" i="33"/>
  <c r="L22" i="33"/>
  <c r="K22" i="47"/>
  <c r="L22" i="47"/>
  <c r="K21" i="47"/>
  <c r="K20" i="44"/>
  <c r="L20" i="44"/>
  <c r="K22" i="38"/>
  <c r="L22" i="38"/>
  <c r="L20" i="38"/>
  <c r="K20" i="41"/>
  <c r="L20" i="41"/>
  <c r="L22" i="41"/>
  <c r="L22" i="35"/>
  <c r="K22" i="32"/>
  <c r="L22" i="32"/>
  <c r="B23" i="49"/>
  <c r="B21" i="49"/>
  <c r="B20" i="49"/>
  <c r="B22" i="46"/>
  <c r="B20" i="46"/>
  <c r="B19" i="46"/>
  <c r="B23" i="40"/>
  <c r="B21" i="40"/>
  <c r="B20" i="40"/>
  <c r="B23" i="43"/>
  <c r="B21" i="43"/>
  <c r="B20" i="43"/>
  <c r="B25" i="37"/>
  <c r="B23" i="37"/>
  <c r="B22" i="37"/>
  <c r="B25" i="34"/>
  <c r="B23" i="34"/>
  <c r="B22" i="34"/>
  <c r="B21" i="48"/>
  <c r="B22" i="48"/>
  <c r="B20" i="48"/>
  <c r="B20" i="45"/>
  <c r="B21" i="45"/>
  <c r="B19" i="45"/>
  <c r="B20" i="39"/>
  <c r="B21" i="39"/>
  <c r="B19" i="39"/>
  <c r="B21" i="42"/>
  <c r="B22" i="42"/>
  <c r="B20" i="42"/>
  <c r="B23" i="36"/>
  <c r="B24" i="36"/>
  <c r="B22" i="36"/>
  <c r="B23" i="33"/>
  <c r="B24" i="33"/>
  <c r="B22" i="33"/>
  <c r="B21" i="47"/>
  <c r="B22" i="47"/>
  <c r="B20" i="47"/>
  <c r="B21" i="44"/>
  <c r="B22" i="44"/>
  <c r="B20" i="44"/>
  <c r="B21" i="38"/>
  <c r="B22" i="38"/>
  <c r="B20" i="38"/>
  <c r="B21" i="41"/>
  <c r="B22" i="41"/>
  <c r="B20" i="41"/>
  <c r="B23" i="35"/>
  <c r="B24" i="35"/>
  <c r="B22" i="35"/>
  <c r="B23" i="32"/>
  <c r="B24" i="32"/>
  <c r="B22" i="32"/>
  <c r="K21" i="43" l="1"/>
  <c r="L24" i="35"/>
  <c r="K22" i="41"/>
  <c r="K19" i="46"/>
  <c r="K22" i="44"/>
  <c r="L22" i="37"/>
  <c r="K24" i="32"/>
  <c r="K20" i="48"/>
  <c r="K23" i="49"/>
  <c r="K20" i="40"/>
  <c r="K32" i="54"/>
  <c r="L24" i="32"/>
  <c r="K23" i="35"/>
  <c r="L22" i="44"/>
  <c r="K20" i="47"/>
  <c r="K29" i="56"/>
  <c r="L29" i="56" s="1"/>
  <c r="L32" i="57"/>
  <c r="K23" i="34"/>
  <c r="K31" i="57"/>
  <c r="L31" i="57" s="1"/>
  <c r="E31" i="59"/>
  <c r="F11" i="53" s="1"/>
  <c r="I31" i="59"/>
  <c r="G11" i="53" s="1"/>
  <c r="K28" i="59"/>
  <c r="L28" i="59" s="1"/>
  <c r="K29" i="59"/>
  <c r="L29" i="59" s="1"/>
  <c r="I30" i="58"/>
  <c r="G11" i="52" s="1"/>
  <c r="E27" i="58"/>
  <c r="K27" i="58" s="1"/>
  <c r="L18" i="58"/>
  <c r="I30" i="57"/>
  <c r="G11" i="51" s="1"/>
  <c r="E27" i="57"/>
  <c r="K18" i="57"/>
  <c r="L18" i="57" s="1"/>
  <c r="I31" i="56"/>
  <c r="G9" i="53" s="1"/>
  <c r="E28" i="56"/>
  <c r="K28" i="56" s="1"/>
  <c r="K32" i="56"/>
  <c r="L32" i="56" s="1"/>
  <c r="L30" i="56"/>
  <c r="K18" i="56"/>
  <c r="L18" i="56" s="1"/>
  <c r="E27" i="55"/>
  <c r="K18" i="55"/>
  <c r="L18" i="55" s="1"/>
  <c r="I27" i="55"/>
  <c r="E27" i="54"/>
  <c r="K18" i="54"/>
  <c r="L18" i="54" s="1"/>
  <c r="I27" i="54"/>
  <c r="L32" i="54"/>
  <c r="K28" i="54"/>
  <c r="L28" i="54" s="1"/>
  <c r="B3" i="40"/>
  <c r="H11" i="53" l="1"/>
  <c r="I11" i="53" s="1"/>
  <c r="K31" i="59"/>
  <c r="L31" i="59" s="1"/>
  <c r="I40" i="59"/>
  <c r="E40" i="59"/>
  <c r="I39" i="58"/>
  <c r="L27" i="58"/>
  <c r="E30" i="58"/>
  <c r="E30" i="57"/>
  <c r="F11" i="51" s="1"/>
  <c r="H11" i="51" s="1"/>
  <c r="I11" i="51" s="1"/>
  <c r="K27" i="57"/>
  <c r="L27" i="57" s="1"/>
  <c r="I39" i="57"/>
  <c r="I40" i="56"/>
  <c r="K31" i="56"/>
  <c r="L28" i="56"/>
  <c r="E31" i="56"/>
  <c r="F9" i="53" s="1"/>
  <c r="E30" i="55"/>
  <c r="F9" i="52" s="1"/>
  <c r="I30" i="55"/>
  <c r="G9" i="52" s="1"/>
  <c r="H9" i="52" s="1"/>
  <c r="I9" i="52" s="1"/>
  <c r="K27" i="55"/>
  <c r="L27" i="55" s="1"/>
  <c r="E30" i="54"/>
  <c r="F9" i="51" s="1"/>
  <c r="I30" i="54"/>
  <c r="G9" i="51" s="1"/>
  <c r="K27" i="54"/>
  <c r="L27" i="54" s="1"/>
  <c r="G31" i="39"/>
  <c r="D31" i="39"/>
  <c r="C31" i="39"/>
  <c r="B31" i="39"/>
  <c r="D32" i="38"/>
  <c r="G32" i="38"/>
  <c r="C32" i="38"/>
  <c r="B32" i="38"/>
  <c r="H9" i="51" l="1"/>
  <c r="K30" i="58"/>
  <c r="F11" i="52"/>
  <c r="H11" i="52" s="1"/>
  <c r="I11" i="52" s="1"/>
  <c r="I9" i="53"/>
  <c r="H9" i="53"/>
  <c r="I9" i="51"/>
  <c r="E41" i="59"/>
  <c r="E42" i="59" s="1"/>
  <c r="I41" i="59"/>
  <c r="K40" i="59"/>
  <c r="L40" i="59" s="1"/>
  <c r="E39" i="58"/>
  <c r="K39" i="58" s="1"/>
  <c r="L30" i="58"/>
  <c r="I40" i="58"/>
  <c r="E39" i="57"/>
  <c r="I40" i="57"/>
  <c r="K39" i="57"/>
  <c r="K30" i="57"/>
  <c r="L30" i="57" s="1"/>
  <c r="I41" i="56"/>
  <c r="L31" i="56"/>
  <c r="E40" i="56"/>
  <c r="K30" i="55"/>
  <c r="L30" i="55" s="1"/>
  <c r="I39" i="55"/>
  <c r="E39" i="55"/>
  <c r="E39" i="54"/>
  <c r="K30" i="54"/>
  <c r="L30" i="54" s="1"/>
  <c r="I39" i="54"/>
  <c r="D16" i="53"/>
  <c r="D28" i="53" s="1"/>
  <c r="D15" i="53"/>
  <c r="D27" i="53" s="1"/>
  <c r="D13" i="53"/>
  <c r="D25" i="53" s="1"/>
  <c r="C16" i="53"/>
  <c r="C28" i="53" s="1"/>
  <c r="C15" i="53"/>
  <c r="C27" i="53" s="1"/>
  <c r="C14" i="53"/>
  <c r="C26" i="53" s="1"/>
  <c r="C13" i="53"/>
  <c r="C25" i="53" s="1"/>
  <c r="C12" i="53"/>
  <c r="C24" i="53" s="1"/>
  <c r="C10" i="53"/>
  <c r="C22" i="53" s="1"/>
  <c r="D16" i="52"/>
  <c r="D28" i="52" s="1"/>
  <c r="D15" i="52"/>
  <c r="D27" i="52" s="1"/>
  <c r="D13" i="52"/>
  <c r="D25" i="52" s="1"/>
  <c r="C16" i="52"/>
  <c r="C28" i="52" s="1"/>
  <c r="C15" i="52"/>
  <c r="C27" i="52" s="1"/>
  <c r="C14" i="52"/>
  <c r="C26" i="52" s="1"/>
  <c r="C13" i="52"/>
  <c r="C25" i="52" s="1"/>
  <c r="C12" i="52"/>
  <c r="C24" i="52" s="1"/>
  <c r="C10" i="52"/>
  <c r="C22" i="52" s="1"/>
  <c r="D16" i="51"/>
  <c r="D28" i="51" s="1"/>
  <c r="D15" i="51"/>
  <c r="D27" i="51" s="1"/>
  <c r="D13" i="51"/>
  <c r="D25" i="51" s="1"/>
  <c r="C16" i="51"/>
  <c r="C28" i="51" s="1"/>
  <c r="C15" i="51"/>
  <c r="C27" i="51" s="1"/>
  <c r="C14" i="51"/>
  <c r="C26" i="51" s="1"/>
  <c r="C13" i="51"/>
  <c r="C25" i="51" s="1"/>
  <c r="C12" i="51"/>
  <c r="C24" i="51" s="1"/>
  <c r="C10" i="51"/>
  <c r="C22" i="51" s="1"/>
  <c r="K41" i="59" l="1"/>
  <c r="E43" i="59"/>
  <c r="E44" i="59" s="1"/>
  <c r="F23" i="53" s="1"/>
  <c r="I42" i="59"/>
  <c r="L41" i="59"/>
  <c r="L39" i="58"/>
  <c r="E40" i="58"/>
  <c r="K40" i="58" s="1"/>
  <c r="I41" i="58"/>
  <c r="L39" i="57"/>
  <c r="E40" i="57"/>
  <c r="K40" i="57" s="1"/>
  <c r="I41" i="57"/>
  <c r="E41" i="56"/>
  <c r="K41" i="56" s="1"/>
  <c r="I42" i="56"/>
  <c r="K40" i="56"/>
  <c r="L40" i="56" s="1"/>
  <c r="E40" i="55"/>
  <c r="I40" i="55"/>
  <c r="I41" i="55" s="1"/>
  <c r="K39" i="55"/>
  <c r="L39" i="55" s="1"/>
  <c r="E40" i="54"/>
  <c r="E41" i="54" s="1"/>
  <c r="I40" i="54"/>
  <c r="K39" i="54"/>
  <c r="L39" i="54" s="1"/>
  <c r="G27" i="49"/>
  <c r="G26" i="49"/>
  <c r="C27" i="49"/>
  <c r="C26" i="49"/>
  <c r="G24" i="49"/>
  <c r="G19" i="49"/>
  <c r="G18" i="49"/>
  <c r="G17" i="49"/>
  <c r="C24" i="49"/>
  <c r="C19" i="49"/>
  <c r="C18" i="49"/>
  <c r="G15" i="49"/>
  <c r="G14" i="49"/>
  <c r="C15" i="49"/>
  <c r="C14" i="49"/>
  <c r="B3" i="49"/>
  <c r="G38" i="49"/>
  <c r="C38" i="49"/>
  <c r="B38" i="49"/>
  <c r="G36" i="49"/>
  <c r="C36" i="49"/>
  <c r="B36" i="49"/>
  <c r="G33" i="49"/>
  <c r="D33" i="49"/>
  <c r="H33" i="49" s="1"/>
  <c r="C33" i="49"/>
  <c r="B33" i="49"/>
  <c r="G32" i="49"/>
  <c r="D32" i="49"/>
  <c r="H32" i="49" s="1"/>
  <c r="C32" i="49"/>
  <c r="B32" i="49"/>
  <c r="G31" i="49"/>
  <c r="H31" i="49"/>
  <c r="C31" i="49"/>
  <c r="B31" i="49"/>
  <c r="G30" i="49"/>
  <c r="C30" i="49"/>
  <c r="B30" i="49"/>
  <c r="G29" i="49"/>
  <c r="C29" i="49"/>
  <c r="B29" i="49"/>
  <c r="D27" i="49"/>
  <c r="H27" i="49" s="1"/>
  <c r="B27" i="49"/>
  <c r="D26" i="49"/>
  <c r="B26" i="49"/>
  <c r="D24" i="49"/>
  <c r="H24" i="49" s="1"/>
  <c r="B24" i="49"/>
  <c r="D22" i="49"/>
  <c r="B22" i="49"/>
  <c r="D19" i="49"/>
  <c r="H19" i="49" s="1"/>
  <c r="B19" i="49"/>
  <c r="D18" i="49"/>
  <c r="B18" i="49"/>
  <c r="C17" i="49"/>
  <c r="D15" i="49"/>
  <c r="H15" i="49" s="1"/>
  <c r="B15" i="49"/>
  <c r="D14" i="49"/>
  <c r="B14" i="49"/>
  <c r="C9" i="49"/>
  <c r="C5" i="49"/>
  <c r="D29" i="49" s="1"/>
  <c r="H29" i="49" s="1"/>
  <c r="B2" i="49"/>
  <c r="G26" i="48"/>
  <c r="G25" i="48"/>
  <c r="C26" i="48"/>
  <c r="C25" i="48"/>
  <c r="G15" i="48"/>
  <c r="G14" i="48"/>
  <c r="G23" i="48"/>
  <c r="G19" i="48"/>
  <c r="G18" i="48"/>
  <c r="G17" i="48"/>
  <c r="C23" i="48"/>
  <c r="C19" i="48"/>
  <c r="C18" i="48"/>
  <c r="C15" i="48"/>
  <c r="C14" i="48"/>
  <c r="D32" i="47"/>
  <c r="D32" i="48"/>
  <c r="H32" i="48" s="1"/>
  <c r="B3" i="48"/>
  <c r="G37" i="48"/>
  <c r="C37" i="48"/>
  <c r="B37" i="48"/>
  <c r="G35" i="48"/>
  <c r="C35" i="48"/>
  <c r="B35" i="48"/>
  <c r="G32" i="48"/>
  <c r="C32" i="48"/>
  <c r="B32" i="48"/>
  <c r="G31" i="48"/>
  <c r="D31" i="48"/>
  <c r="H31" i="48" s="1"/>
  <c r="C31" i="48"/>
  <c r="B31" i="48"/>
  <c r="G30" i="48"/>
  <c r="H30" i="48"/>
  <c r="C30" i="48"/>
  <c r="B30" i="48"/>
  <c r="G29" i="48"/>
  <c r="C29" i="48"/>
  <c r="B29" i="48"/>
  <c r="G28" i="48"/>
  <c r="C28" i="48"/>
  <c r="B28" i="48"/>
  <c r="D26" i="48"/>
  <c r="H26" i="48" s="1"/>
  <c r="B26" i="48"/>
  <c r="D25" i="48"/>
  <c r="H25" i="48" s="1"/>
  <c r="B25" i="48"/>
  <c r="D23" i="48"/>
  <c r="H23" i="48" s="1"/>
  <c r="B23" i="48"/>
  <c r="D19" i="48"/>
  <c r="H19" i="48" s="1"/>
  <c r="I19" i="48" s="1"/>
  <c r="B19" i="48"/>
  <c r="D18" i="48"/>
  <c r="H18" i="48" s="1"/>
  <c r="B18" i="48"/>
  <c r="C17" i="48"/>
  <c r="D15" i="48"/>
  <c r="H15" i="48" s="1"/>
  <c r="B15" i="48"/>
  <c r="D14" i="48"/>
  <c r="H14" i="48" s="1"/>
  <c r="B14" i="48"/>
  <c r="C9" i="48"/>
  <c r="C5" i="48"/>
  <c r="D17" i="48" s="1"/>
  <c r="B2" i="48"/>
  <c r="G26" i="47"/>
  <c r="G25" i="47"/>
  <c r="C26" i="47"/>
  <c r="C25" i="47"/>
  <c r="G15" i="47"/>
  <c r="G14" i="47"/>
  <c r="G23" i="47"/>
  <c r="G19" i="47"/>
  <c r="G18" i="47"/>
  <c r="G17" i="47"/>
  <c r="C23" i="47"/>
  <c r="C19" i="47"/>
  <c r="C18" i="47"/>
  <c r="C15" i="47"/>
  <c r="C14" i="47"/>
  <c r="B3" i="47"/>
  <c r="G37" i="47"/>
  <c r="C37" i="47"/>
  <c r="B37" i="47"/>
  <c r="G35" i="47"/>
  <c r="C35" i="47"/>
  <c r="B35" i="47"/>
  <c r="G32" i="47"/>
  <c r="C32" i="47"/>
  <c r="B32" i="47"/>
  <c r="G31" i="47"/>
  <c r="D31" i="47"/>
  <c r="H31" i="47" s="1"/>
  <c r="C31" i="47"/>
  <c r="B31" i="47"/>
  <c r="G30" i="47"/>
  <c r="H30" i="47"/>
  <c r="C30" i="47"/>
  <c r="B30" i="47"/>
  <c r="G29" i="47"/>
  <c r="C29" i="47"/>
  <c r="B29" i="47"/>
  <c r="G28" i="47"/>
  <c r="C28" i="47"/>
  <c r="B28" i="47"/>
  <c r="D26" i="47"/>
  <c r="H26" i="47" s="1"/>
  <c r="B26" i="47"/>
  <c r="D25" i="47"/>
  <c r="H25" i="47" s="1"/>
  <c r="B25" i="47"/>
  <c r="D23" i="47"/>
  <c r="H23" i="47" s="1"/>
  <c r="B23" i="47"/>
  <c r="D19" i="47"/>
  <c r="H19" i="47" s="1"/>
  <c r="B19" i="47"/>
  <c r="D18" i="47"/>
  <c r="B18" i="47"/>
  <c r="C17" i="47"/>
  <c r="D15" i="47"/>
  <c r="H15" i="47" s="1"/>
  <c r="B15" i="47"/>
  <c r="D14" i="47"/>
  <c r="H14" i="47" s="1"/>
  <c r="B14" i="47"/>
  <c r="C9" i="47"/>
  <c r="C5" i="47"/>
  <c r="D28" i="47" s="1"/>
  <c r="B2" i="47"/>
  <c r="D21" i="46"/>
  <c r="G23" i="46"/>
  <c r="G18" i="46"/>
  <c r="G17" i="46"/>
  <c r="C23" i="46"/>
  <c r="C18" i="46"/>
  <c r="B21" i="46"/>
  <c r="G15" i="46"/>
  <c r="G14" i="46"/>
  <c r="C15" i="46"/>
  <c r="C14" i="46"/>
  <c r="B3" i="46"/>
  <c r="B2" i="46"/>
  <c r="G37" i="46"/>
  <c r="C37" i="46"/>
  <c r="B37" i="46"/>
  <c r="G35" i="46"/>
  <c r="C35" i="46"/>
  <c r="B35" i="46"/>
  <c r="G32" i="46"/>
  <c r="D32" i="46"/>
  <c r="H32" i="46" s="1"/>
  <c r="C32" i="46"/>
  <c r="B32" i="46"/>
  <c r="G31" i="46"/>
  <c r="D31" i="46"/>
  <c r="H31" i="46" s="1"/>
  <c r="C31" i="46"/>
  <c r="B31" i="46"/>
  <c r="H30" i="46"/>
  <c r="G30" i="46"/>
  <c r="C30" i="46"/>
  <c r="E30" i="46" s="1"/>
  <c r="B30" i="46"/>
  <c r="G29" i="46"/>
  <c r="C29" i="46"/>
  <c r="B29" i="46"/>
  <c r="G28" i="46"/>
  <c r="C28" i="46"/>
  <c r="B28" i="46"/>
  <c r="G26" i="46"/>
  <c r="D26" i="46"/>
  <c r="H26" i="46" s="1"/>
  <c r="C26" i="46"/>
  <c r="B26" i="46"/>
  <c r="G25" i="46"/>
  <c r="D25" i="46"/>
  <c r="H25" i="46" s="1"/>
  <c r="C25" i="46"/>
  <c r="B25" i="46"/>
  <c r="D23" i="46"/>
  <c r="B23" i="46"/>
  <c r="D18" i="46"/>
  <c r="H18" i="46" s="1"/>
  <c r="B18" i="46"/>
  <c r="C17" i="46"/>
  <c r="D15" i="46"/>
  <c r="H15" i="46" s="1"/>
  <c r="B15" i="46"/>
  <c r="D14" i="46"/>
  <c r="B14" i="46"/>
  <c r="C9" i="46"/>
  <c r="C5" i="46"/>
  <c r="G30" i="45"/>
  <c r="C30" i="45"/>
  <c r="G25" i="45"/>
  <c r="G24" i="45"/>
  <c r="C25" i="45"/>
  <c r="C24" i="45"/>
  <c r="G22" i="45"/>
  <c r="G18" i="45"/>
  <c r="G17" i="45"/>
  <c r="C22" i="45"/>
  <c r="C18" i="45"/>
  <c r="G15" i="45"/>
  <c r="G14" i="45"/>
  <c r="C15" i="45"/>
  <c r="C14" i="45"/>
  <c r="B3" i="45"/>
  <c r="B2" i="45"/>
  <c r="G36" i="45"/>
  <c r="C36" i="45"/>
  <c r="B36" i="45"/>
  <c r="G34" i="45"/>
  <c r="C34" i="45"/>
  <c r="B34" i="45"/>
  <c r="G31" i="45"/>
  <c r="D31" i="45"/>
  <c r="H31" i="45" s="1"/>
  <c r="C31" i="45"/>
  <c r="B31" i="45"/>
  <c r="D30" i="45"/>
  <c r="B30" i="45"/>
  <c r="H29" i="45"/>
  <c r="G29" i="45"/>
  <c r="C29" i="45"/>
  <c r="E29" i="45" s="1"/>
  <c r="B29" i="45"/>
  <c r="G28" i="45"/>
  <c r="C28" i="45"/>
  <c r="B28" i="45"/>
  <c r="G27" i="45"/>
  <c r="C27" i="45"/>
  <c r="B27" i="45"/>
  <c r="D25" i="45"/>
  <c r="B25" i="45"/>
  <c r="D24" i="45"/>
  <c r="B24" i="45"/>
  <c r="D22" i="45"/>
  <c r="H22" i="45" s="1"/>
  <c r="B22" i="45"/>
  <c r="D18" i="45"/>
  <c r="H18" i="45" s="1"/>
  <c r="B18" i="45"/>
  <c r="C17" i="45"/>
  <c r="D15" i="45"/>
  <c r="H15" i="45" s="1"/>
  <c r="B15" i="45"/>
  <c r="D14" i="45"/>
  <c r="B14" i="45"/>
  <c r="C9" i="45"/>
  <c r="C5" i="45"/>
  <c r="D27" i="45" s="1"/>
  <c r="H27" i="45" s="1"/>
  <c r="D33" i="43"/>
  <c r="H33" i="43" s="1"/>
  <c r="D32" i="42"/>
  <c r="H32" i="42" s="1"/>
  <c r="D32" i="41"/>
  <c r="H32" i="41" s="1"/>
  <c r="D32" i="44"/>
  <c r="H32" i="44" s="1"/>
  <c r="G26" i="44"/>
  <c r="G25" i="44"/>
  <c r="C26" i="44"/>
  <c r="C25" i="44"/>
  <c r="G23" i="44"/>
  <c r="G19" i="44"/>
  <c r="G18" i="44"/>
  <c r="G17" i="44"/>
  <c r="C23" i="44"/>
  <c r="C19" i="44"/>
  <c r="C18" i="44"/>
  <c r="G15" i="44"/>
  <c r="G14" i="44"/>
  <c r="C15" i="44"/>
  <c r="C14" i="44"/>
  <c r="B3" i="44"/>
  <c r="G37" i="44"/>
  <c r="C37" i="44"/>
  <c r="B37" i="44"/>
  <c r="G35" i="44"/>
  <c r="C35" i="44"/>
  <c r="B35" i="44"/>
  <c r="G32" i="44"/>
  <c r="C32" i="44"/>
  <c r="B32" i="44"/>
  <c r="G31" i="44"/>
  <c r="D31" i="44"/>
  <c r="C31" i="44"/>
  <c r="B31" i="44"/>
  <c r="H30" i="44"/>
  <c r="G30" i="44"/>
  <c r="C30" i="44"/>
  <c r="E30" i="44" s="1"/>
  <c r="B30" i="44"/>
  <c r="G29" i="44"/>
  <c r="C29" i="44"/>
  <c r="B29" i="44"/>
  <c r="G28" i="44"/>
  <c r="C28" i="44"/>
  <c r="B28" i="44"/>
  <c r="D26" i="44"/>
  <c r="B26" i="44"/>
  <c r="D25" i="44"/>
  <c r="B25" i="44"/>
  <c r="D23" i="44"/>
  <c r="H23" i="44" s="1"/>
  <c r="B23" i="44"/>
  <c r="D19" i="44"/>
  <c r="H19" i="44" s="1"/>
  <c r="B19" i="44"/>
  <c r="D18" i="44"/>
  <c r="H18" i="44" s="1"/>
  <c r="B18" i="44"/>
  <c r="C17" i="44"/>
  <c r="D15" i="44"/>
  <c r="H15" i="44" s="1"/>
  <c r="B15" i="44"/>
  <c r="D14" i="44"/>
  <c r="B14" i="44"/>
  <c r="C9" i="44"/>
  <c r="C5" i="44"/>
  <c r="D28" i="44" s="1"/>
  <c r="H28" i="44" s="1"/>
  <c r="B2" i="44"/>
  <c r="G32" i="43"/>
  <c r="C32" i="43"/>
  <c r="G27" i="43"/>
  <c r="G26" i="43"/>
  <c r="C27" i="43"/>
  <c r="C26" i="43"/>
  <c r="G24" i="43"/>
  <c r="G19" i="43"/>
  <c r="G18" i="43"/>
  <c r="G17" i="43"/>
  <c r="C19" i="43"/>
  <c r="C18" i="43"/>
  <c r="C24" i="43"/>
  <c r="G15" i="43"/>
  <c r="G14" i="43"/>
  <c r="C15" i="43"/>
  <c r="C14" i="43"/>
  <c r="D22" i="43"/>
  <c r="H22" i="43" s="1"/>
  <c r="B22" i="43"/>
  <c r="B3" i="43"/>
  <c r="B2" i="43"/>
  <c r="G38" i="43"/>
  <c r="C38" i="43"/>
  <c r="B38" i="43"/>
  <c r="G36" i="43"/>
  <c r="C36" i="43"/>
  <c r="B36" i="43"/>
  <c r="G33" i="43"/>
  <c r="C33" i="43"/>
  <c r="B33" i="43"/>
  <c r="D32" i="43"/>
  <c r="H32" i="43" s="1"/>
  <c r="B32" i="43"/>
  <c r="H31" i="43"/>
  <c r="G31" i="43"/>
  <c r="C31" i="43"/>
  <c r="E31" i="43" s="1"/>
  <c r="B31" i="43"/>
  <c r="G30" i="43"/>
  <c r="C30" i="43"/>
  <c r="B30" i="43"/>
  <c r="G29" i="43"/>
  <c r="C29" i="43"/>
  <c r="B29" i="43"/>
  <c r="D27" i="43"/>
  <c r="H27" i="43" s="1"/>
  <c r="B27" i="43"/>
  <c r="D26" i="43"/>
  <c r="H26" i="43" s="1"/>
  <c r="B26" i="43"/>
  <c r="D24" i="43"/>
  <c r="H24" i="43" s="1"/>
  <c r="B24" i="43"/>
  <c r="D19" i="43"/>
  <c r="H19" i="43" s="1"/>
  <c r="B19" i="43"/>
  <c r="D18" i="43"/>
  <c r="H18" i="43" s="1"/>
  <c r="B18" i="43"/>
  <c r="C17" i="43"/>
  <c r="D15" i="43"/>
  <c r="H15" i="43" s="1"/>
  <c r="B15" i="43"/>
  <c r="D14" i="43"/>
  <c r="H14" i="43" s="1"/>
  <c r="B14" i="43"/>
  <c r="C9" i="43"/>
  <c r="C5" i="43"/>
  <c r="D29" i="43" s="1"/>
  <c r="H29" i="43" s="1"/>
  <c r="G31" i="42"/>
  <c r="C31" i="42"/>
  <c r="G25" i="42"/>
  <c r="C26" i="42"/>
  <c r="C25" i="42"/>
  <c r="G23" i="42"/>
  <c r="G19" i="42"/>
  <c r="G18" i="42"/>
  <c r="G17" i="42"/>
  <c r="C23" i="42"/>
  <c r="C19" i="42"/>
  <c r="C18" i="42"/>
  <c r="C15" i="42"/>
  <c r="C14" i="42"/>
  <c r="B3" i="42"/>
  <c r="B2" i="42"/>
  <c r="G37" i="42"/>
  <c r="C37" i="42"/>
  <c r="B37" i="42"/>
  <c r="G35" i="42"/>
  <c r="C35" i="42"/>
  <c r="B35" i="42"/>
  <c r="G32" i="42"/>
  <c r="C32" i="42"/>
  <c r="B32" i="42"/>
  <c r="D31" i="42"/>
  <c r="H31" i="42" s="1"/>
  <c r="B31" i="42"/>
  <c r="G30" i="42"/>
  <c r="H30" i="42"/>
  <c r="C30" i="42"/>
  <c r="E30" i="42" s="1"/>
  <c r="B30" i="42"/>
  <c r="G29" i="42"/>
  <c r="C29" i="42"/>
  <c r="B29" i="42"/>
  <c r="G28" i="42"/>
  <c r="C28" i="42"/>
  <c r="B28" i="42"/>
  <c r="G26" i="42"/>
  <c r="D26" i="42"/>
  <c r="H26" i="42" s="1"/>
  <c r="B26" i="42"/>
  <c r="D25" i="42"/>
  <c r="H25" i="42" s="1"/>
  <c r="B25" i="42"/>
  <c r="D23" i="42"/>
  <c r="H23" i="42" s="1"/>
  <c r="B23" i="42"/>
  <c r="D19" i="42"/>
  <c r="B19" i="42"/>
  <c r="D18" i="42"/>
  <c r="H18" i="42" s="1"/>
  <c r="B18" i="42"/>
  <c r="C17" i="42"/>
  <c r="G15" i="42"/>
  <c r="D15" i="42"/>
  <c r="B15" i="42"/>
  <c r="G14" i="42"/>
  <c r="D14" i="42"/>
  <c r="H14" i="42" s="1"/>
  <c r="B14" i="42"/>
  <c r="C9" i="42"/>
  <c r="C5" i="42"/>
  <c r="H17" i="42" s="1"/>
  <c r="G32" i="41"/>
  <c r="C32" i="41"/>
  <c r="B32" i="41"/>
  <c r="G26" i="41"/>
  <c r="G25" i="41"/>
  <c r="D26" i="41"/>
  <c r="D25" i="41"/>
  <c r="C26" i="41"/>
  <c r="C25" i="41"/>
  <c r="G23" i="41"/>
  <c r="G19" i="41"/>
  <c r="G18" i="41"/>
  <c r="G17" i="41"/>
  <c r="C23" i="41"/>
  <c r="C19" i="41"/>
  <c r="C18" i="41"/>
  <c r="D23" i="41"/>
  <c r="H23" i="41" s="1"/>
  <c r="D19" i="41"/>
  <c r="H19" i="41" s="1"/>
  <c r="D18" i="41"/>
  <c r="H18" i="41" s="1"/>
  <c r="D15" i="41"/>
  <c r="H15" i="41" s="1"/>
  <c r="G15" i="41"/>
  <c r="G14" i="41"/>
  <c r="C15" i="41"/>
  <c r="C14" i="41"/>
  <c r="B3" i="41"/>
  <c r="G37" i="41"/>
  <c r="C37" i="41"/>
  <c r="B37" i="41"/>
  <c r="G35" i="41"/>
  <c r="C35" i="41"/>
  <c r="B35" i="41"/>
  <c r="G31" i="41"/>
  <c r="D31" i="41"/>
  <c r="H31" i="41" s="1"/>
  <c r="C31" i="41"/>
  <c r="B31" i="41"/>
  <c r="G30" i="41"/>
  <c r="H30" i="41"/>
  <c r="C30" i="41"/>
  <c r="B30" i="41"/>
  <c r="G29" i="41"/>
  <c r="C29" i="41"/>
  <c r="B29" i="41"/>
  <c r="G28" i="41"/>
  <c r="C28" i="41"/>
  <c r="B28" i="41"/>
  <c r="B26" i="41"/>
  <c r="B25" i="41"/>
  <c r="B23" i="41"/>
  <c r="B19" i="41"/>
  <c r="B18" i="41"/>
  <c r="C17" i="41"/>
  <c r="B15" i="41"/>
  <c r="D14" i="41"/>
  <c r="H14" i="41" s="1"/>
  <c r="B14" i="41"/>
  <c r="C9" i="41"/>
  <c r="C5" i="41"/>
  <c r="D29" i="41" s="1"/>
  <c r="H29" i="41" s="1"/>
  <c r="B2" i="41"/>
  <c r="D22" i="40"/>
  <c r="D24" i="37"/>
  <c r="D24" i="34"/>
  <c r="G27" i="40"/>
  <c r="G26" i="40"/>
  <c r="C27" i="40"/>
  <c r="C26" i="40"/>
  <c r="G24" i="40"/>
  <c r="G19" i="40"/>
  <c r="G18" i="40"/>
  <c r="G17" i="40"/>
  <c r="C24" i="40"/>
  <c r="C19" i="40"/>
  <c r="C18" i="40"/>
  <c r="G15" i="40"/>
  <c r="G14" i="40"/>
  <c r="C15" i="40"/>
  <c r="C14" i="40"/>
  <c r="G32" i="40"/>
  <c r="C32" i="40"/>
  <c r="G34" i="35"/>
  <c r="C34" i="35"/>
  <c r="G35" i="34"/>
  <c r="C35" i="34"/>
  <c r="G35" i="37"/>
  <c r="C35" i="37"/>
  <c r="G40" i="40"/>
  <c r="C40" i="40"/>
  <c r="B40" i="40"/>
  <c r="G38" i="40"/>
  <c r="C38" i="40"/>
  <c r="B38" i="40"/>
  <c r="G35" i="40"/>
  <c r="D35" i="40"/>
  <c r="H35" i="40" s="1"/>
  <c r="C35" i="40"/>
  <c r="B35" i="40"/>
  <c r="G34" i="40"/>
  <c r="D34" i="40"/>
  <c r="C34" i="40"/>
  <c r="B34" i="40"/>
  <c r="G33" i="40"/>
  <c r="D33" i="40"/>
  <c r="H33" i="40" s="1"/>
  <c r="C33" i="40"/>
  <c r="B33" i="40"/>
  <c r="D32" i="40"/>
  <c r="H32" i="40" s="1"/>
  <c r="B32" i="40"/>
  <c r="G31" i="40"/>
  <c r="H31" i="40"/>
  <c r="C31" i="40"/>
  <c r="E31" i="40" s="1"/>
  <c r="B31" i="40"/>
  <c r="G30" i="40"/>
  <c r="C30" i="40"/>
  <c r="B30" i="40"/>
  <c r="G29" i="40"/>
  <c r="C29" i="40"/>
  <c r="B29" i="40"/>
  <c r="B27" i="40"/>
  <c r="B26" i="40"/>
  <c r="D24" i="40"/>
  <c r="H24" i="40" s="1"/>
  <c r="B24" i="40"/>
  <c r="B22" i="40"/>
  <c r="D19" i="40"/>
  <c r="B19" i="40"/>
  <c r="D18" i="40"/>
  <c r="B18" i="40"/>
  <c r="C17" i="40"/>
  <c r="D15" i="40"/>
  <c r="H15" i="40" s="1"/>
  <c r="B15" i="40"/>
  <c r="D14" i="40"/>
  <c r="B14" i="40"/>
  <c r="C9" i="40"/>
  <c r="C5" i="40"/>
  <c r="D26" i="40" s="1"/>
  <c r="H26" i="40" s="1"/>
  <c r="B2" i="40"/>
  <c r="G25" i="39"/>
  <c r="G24" i="39"/>
  <c r="C25" i="39"/>
  <c r="C24" i="39"/>
  <c r="G22" i="39"/>
  <c r="G18" i="39"/>
  <c r="G17" i="39"/>
  <c r="C22" i="39"/>
  <c r="C18" i="39"/>
  <c r="G15" i="39"/>
  <c r="G14" i="39"/>
  <c r="C15" i="39"/>
  <c r="C14" i="39"/>
  <c r="B3" i="39"/>
  <c r="G36" i="39"/>
  <c r="C36" i="39"/>
  <c r="B36" i="39"/>
  <c r="G34" i="39"/>
  <c r="C34" i="39"/>
  <c r="B34" i="39"/>
  <c r="H31" i="39"/>
  <c r="G30" i="39"/>
  <c r="D30" i="39"/>
  <c r="H30" i="39" s="1"/>
  <c r="C30" i="39"/>
  <c r="B30" i="39"/>
  <c r="G29" i="39"/>
  <c r="H29" i="39"/>
  <c r="C29" i="39"/>
  <c r="B29" i="39"/>
  <c r="G28" i="39"/>
  <c r="C28" i="39"/>
  <c r="B28" i="39"/>
  <c r="G27" i="39"/>
  <c r="C27" i="39"/>
  <c r="B27" i="39"/>
  <c r="B25" i="39"/>
  <c r="B24" i="39"/>
  <c r="D22" i="39"/>
  <c r="H22" i="39" s="1"/>
  <c r="B22" i="39"/>
  <c r="D18" i="39"/>
  <c r="H18" i="39" s="1"/>
  <c r="B18" i="39"/>
  <c r="C17" i="39"/>
  <c r="D15" i="39"/>
  <c r="B15" i="39"/>
  <c r="D14" i="39"/>
  <c r="H14" i="39" s="1"/>
  <c r="B14" i="39"/>
  <c r="C9" i="39"/>
  <c r="C5" i="39"/>
  <c r="D24" i="39" s="1"/>
  <c r="H24" i="39" s="1"/>
  <c r="B2" i="39"/>
  <c r="G26" i="38"/>
  <c r="G25" i="38"/>
  <c r="C26" i="38"/>
  <c r="C25" i="38"/>
  <c r="G23" i="38"/>
  <c r="G19" i="38"/>
  <c r="G18" i="38"/>
  <c r="G17" i="38"/>
  <c r="C23" i="38"/>
  <c r="C19" i="38"/>
  <c r="C18" i="38"/>
  <c r="G15" i="38"/>
  <c r="G14" i="38"/>
  <c r="C15" i="38"/>
  <c r="C14" i="38"/>
  <c r="B3" i="38"/>
  <c r="G37" i="38"/>
  <c r="C37" i="38"/>
  <c r="B37" i="38"/>
  <c r="G35" i="38"/>
  <c r="C35" i="38"/>
  <c r="B35" i="38"/>
  <c r="H32" i="38"/>
  <c r="G31" i="38"/>
  <c r="D31" i="38"/>
  <c r="H31" i="38" s="1"/>
  <c r="C31" i="38"/>
  <c r="B31" i="38"/>
  <c r="G30" i="38"/>
  <c r="H30" i="38"/>
  <c r="C30" i="38"/>
  <c r="B30" i="38"/>
  <c r="G29" i="38"/>
  <c r="C29" i="38"/>
  <c r="B29" i="38"/>
  <c r="G28" i="38"/>
  <c r="C28" i="38"/>
  <c r="B28" i="38"/>
  <c r="B26" i="38"/>
  <c r="B25" i="38"/>
  <c r="D23" i="38"/>
  <c r="H23" i="38" s="1"/>
  <c r="B23" i="38"/>
  <c r="D19" i="38"/>
  <c r="H19" i="38" s="1"/>
  <c r="B19" i="38"/>
  <c r="D18" i="38"/>
  <c r="B18" i="38"/>
  <c r="C17" i="38"/>
  <c r="D15" i="38"/>
  <c r="B15" i="38"/>
  <c r="D14" i="38"/>
  <c r="H14" i="38" s="1"/>
  <c r="B14" i="38"/>
  <c r="C9" i="38"/>
  <c r="C5" i="38"/>
  <c r="D29" i="38" s="1"/>
  <c r="H29" i="38" s="1"/>
  <c r="B2" i="38"/>
  <c r="G30" i="37"/>
  <c r="G29" i="37"/>
  <c r="C30" i="37"/>
  <c r="C29" i="37"/>
  <c r="G27" i="37"/>
  <c r="G26" i="37"/>
  <c r="G21" i="37"/>
  <c r="G20" i="37"/>
  <c r="G19" i="37"/>
  <c r="C26" i="37"/>
  <c r="C21" i="37"/>
  <c r="C20" i="37"/>
  <c r="G17" i="37"/>
  <c r="G16" i="37"/>
  <c r="G15" i="37"/>
  <c r="G14" i="37"/>
  <c r="C15" i="37"/>
  <c r="C16" i="37"/>
  <c r="C17" i="37"/>
  <c r="C14" i="37"/>
  <c r="B3" i="37"/>
  <c r="G43" i="37"/>
  <c r="C43" i="37"/>
  <c r="B43" i="37"/>
  <c r="G41" i="37"/>
  <c r="C41" i="37"/>
  <c r="B41" i="37"/>
  <c r="G38" i="37"/>
  <c r="D38" i="37"/>
  <c r="H38" i="37" s="1"/>
  <c r="C38" i="37"/>
  <c r="B38" i="37"/>
  <c r="G37" i="37"/>
  <c r="D37" i="37"/>
  <c r="C37" i="37"/>
  <c r="B37" i="37"/>
  <c r="G36" i="37"/>
  <c r="D36" i="37"/>
  <c r="C36" i="37"/>
  <c r="B36" i="37"/>
  <c r="D35" i="37"/>
  <c r="H35" i="37" s="1"/>
  <c r="B35" i="37"/>
  <c r="H34" i="37"/>
  <c r="G34" i="37"/>
  <c r="C34" i="37"/>
  <c r="E34" i="37" s="1"/>
  <c r="B34" i="37"/>
  <c r="G33" i="37"/>
  <c r="C33" i="37"/>
  <c r="B33" i="37"/>
  <c r="G32" i="37"/>
  <c r="C32" i="37"/>
  <c r="B32" i="37"/>
  <c r="B30" i="37"/>
  <c r="B29" i="37"/>
  <c r="D27" i="37"/>
  <c r="C27" i="37"/>
  <c r="B27" i="37"/>
  <c r="D26" i="37"/>
  <c r="B26" i="37"/>
  <c r="B24" i="37"/>
  <c r="D21" i="37"/>
  <c r="B21" i="37"/>
  <c r="D20" i="37"/>
  <c r="H20" i="37" s="1"/>
  <c r="B20" i="37"/>
  <c r="C19" i="37"/>
  <c r="D17" i="37"/>
  <c r="H17" i="37" s="1"/>
  <c r="B17" i="37"/>
  <c r="D16" i="37"/>
  <c r="H16" i="37" s="1"/>
  <c r="B16" i="37"/>
  <c r="D15" i="37"/>
  <c r="H15" i="37" s="1"/>
  <c r="B15" i="37"/>
  <c r="D14" i="37"/>
  <c r="B14" i="37"/>
  <c r="C9" i="37"/>
  <c r="C5" i="37"/>
  <c r="D29" i="37" s="1"/>
  <c r="H29" i="37" s="1"/>
  <c r="B2" i="37"/>
  <c r="G25" i="36"/>
  <c r="C25" i="36"/>
  <c r="G34" i="36"/>
  <c r="C34" i="36"/>
  <c r="G29" i="36"/>
  <c r="G28" i="36"/>
  <c r="C29" i="36"/>
  <c r="C28" i="36"/>
  <c r="G26" i="36"/>
  <c r="G21" i="36"/>
  <c r="G20" i="36"/>
  <c r="G19" i="36"/>
  <c r="C21" i="36"/>
  <c r="C20" i="36"/>
  <c r="G17" i="36"/>
  <c r="G16" i="36"/>
  <c r="G15" i="36"/>
  <c r="G14" i="36"/>
  <c r="C15" i="36"/>
  <c r="C16" i="36"/>
  <c r="C17" i="36"/>
  <c r="C14" i="36"/>
  <c r="B3" i="36"/>
  <c r="B2" i="36"/>
  <c r="G42" i="36"/>
  <c r="C42" i="36"/>
  <c r="B42" i="36"/>
  <c r="G40" i="36"/>
  <c r="C40" i="36"/>
  <c r="B40" i="36"/>
  <c r="G37" i="36"/>
  <c r="D37" i="36"/>
  <c r="H37" i="36" s="1"/>
  <c r="C37" i="36"/>
  <c r="E37" i="36" s="1"/>
  <c r="B37" i="36"/>
  <c r="G36" i="36"/>
  <c r="D36" i="36"/>
  <c r="H36" i="36" s="1"/>
  <c r="C36" i="36"/>
  <c r="B36" i="36"/>
  <c r="G35" i="36"/>
  <c r="D35" i="36"/>
  <c r="C35" i="36"/>
  <c r="B35" i="36"/>
  <c r="D34" i="36"/>
  <c r="H34" i="36" s="1"/>
  <c r="B34" i="36"/>
  <c r="G33" i="36"/>
  <c r="H33" i="36"/>
  <c r="C33" i="36"/>
  <c r="E33" i="36" s="1"/>
  <c r="B33" i="36"/>
  <c r="G32" i="36"/>
  <c r="C32" i="36"/>
  <c r="B32" i="36"/>
  <c r="G31" i="36"/>
  <c r="C31" i="36"/>
  <c r="B31" i="36"/>
  <c r="B29" i="36"/>
  <c r="B28" i="36"/>
  <c r="D26" i="36"/>
  <c r="H26" i="36" s="1"/>
  <c r="C26" i="36"/>
  <c r="B26" i="36"/>
  <c r="D25" i="36"/>
  <c r="B25" i="36"/>
  <c r="D21" i="36"/>
  <c r="B21" i="36"/>
  <c r="D20" i="36"/>
  <c r="B20" i="36"/>
  <c r="C19" i="36"/>
  <c r="D17" i="36"/>
  <c r="H17" i="36" s="1"/>
  <c r="B17" i="36"/>
  <c r="D16" i="36"/>
  <c r="H16" i="36" s="1"/>
  <c r="B16" i="36"/>
  <c r="D15" i="36"/>
  <c r="H15" i="36" s="1"/>
  <c r="B15" i="36"/>
  <c r="D14" i="36"/>
  <c r="B14" i="36"/>
  <c r="C9" i="36"/>
  <c r="C5" i="36"/>
  <c r="D32" i="36" s="1"/>
  <c r="G29" i="35"/>
  <c r="G28" i="35"/>
  <c r="G26" i="35"/>
  <c r="G25" i="35"/>
  <c r="G21" i="35"/>
  <c r="G20" i="35"/>
  <c r="G19" i="35"/>
  <c r="C25" i="35"/>
  <c r="C29" i="35"/>
  <c r="C28" i="35"/>
  <c r="C21" i="35"/>
  <c r="C20" i="35"/>
  <c r="G17" i="35"/>
  <c r="G16" i="35"/>
  <c r="G15" i="35"/>
  <c r="G14" i="35"/>
  <c r="C15" i="35"/>
  <c r="C16" i="35"/>
  <c r="C17" i="35"/>
  <c r="C14" i="35"/>
  <c r="B3" i="35"/>
  <c r="G42" i="35"/>
  <c r="C42" i="35"/>
  <c r="B42" i="35"/>
  <c r="G40" i="35"/>
  <c r="C40" i="35"/>
  <c r="B40" i="35"/>
  <c r="G37" i="35"/>
  <c r="D37" i="35"/>
  <c r="H37" i="35" s="1"/>
  <c r="C37" i="35"/>
  <c r="B37" i="35"/>
  <c r="G36" i="35"/>
  <c r="D36" i="35"/>
  <c r="H36" i="35" s="1"/>
  <c r="C36" i="35"/>
  <c r="B36" i="35"/>
  <c r="G35" i="35"/>
  <c r="D35" i="35"/>
  <c r="H35" i="35" s="1"/>
  <c r="C35" i="35"/>
  <c r="B35" i="35"/>
  <c r="D34" i="35"/>
  <c r="B34" i="35"/>
  <c r="H33" i="35"/>
  <c r="G33" i="35"/>
  <c r="C33" i="35"/>
  <c r="E33" i="35" s="1"/>
  <c r="B33" i="35"/>
  <c r="G32" i="35"/>
  <c r="C32" i="35"/>
  <c r="B32" i="35"/>
  <c r="G31" i="35"/>
  <c r="C31" i="35"/>
  <c r="B31" i="35"/>
  <c r="B29" i="35"/>
  <c r="B28" i="35"/>
  <c r="D26" i="35"/>
  <c r="H26" i="35" s="1"/>
  <c r="C26" i="35"/>
  <c r="B26" i="35"/>
  <c r="D25" i="35"/>
  <c r="H25" i="35" s="1"/>
  <c r="B25" i="35"/>
  <c r="D21" i="35"/>
  <c r="B21" i="35"/>
  <c r="D20" i="35"/>
  <c r="H20" i="35" s="1"/>
  <c r="B20" i="35"/>
  <c r="C19" i="35"/>
  <c r="D17" i="35"/>
  <c r="H17" i="35" s="1"/>
  <c r="B17" i="35"/>
  <c r="D16" i="35"/>
  <c r="H16" i="35" s="1"/>
  <c r="B16" i="35"/>
  <c r="D15" i="35"/>
  <c r="B15" i="35"/>
  <c r="D14" i="35"/>
  <c r="H14" i="35" s="1"/>
  <c r="B14" i="35"/>
  <c r="C9" i="35"/>
  <c r="C5" i="35"/>
  <c r="B2" i="35"/>
  <c r="B3" i="34"/>
  <c r="B3" i="33"/>
  <c r="B3" i="32"/>
  <c r="B2" i="32"/>
  <c r="G30" i="34"/>
  <c r="G29" i="34"/>
  <c r="C30" i="34"/>
  <c r="C29" i="34"/>
  <c r="G27" i="34"/>
  <c r="G26" i="34"/>
  <c r="G21" i="34"/>
  <c r="G20" i="34"/>
  <c r="G19" i="34"/>
  <c r="B24" i="34"/>
  <c r="C26" i="34"/>
  <c r="C21" i="34"/>
  <c r="C20" i="34"/>
  <c r="G17" i="34"/>
  <c r="G16" i="34"/>
  <c r="G15" i="34"/>
  <c r="G14" i="34"/>
  <c r="C17" i="34"/>
  <c r="C16" i="34"/>
  <c r="C15" i="34"/>
  <c r="C14" i="34"/>
  <c r="B2" i="34"/>
  <c r="G43" i="34"/>
  <c r="C43" i="34"/>
  <c r="B43" i="34"/>
  <c r="G41" i="34"/>
  <c r="C41" i="34"/>
  <c r="B41" i="34"/>
  <c r="G38" i="34"/>
  <c r="D38" i="34"/>
  <c r="H38" i="34" s="1"/>
  <c r="C38" i="34"/>
  <c r="B38" i="34"/>
  <c r="G37" i="34"/>
  <c r="D37" i="34"/>
  <c r="H37" i="34" s="1"/>
  <c r="C37" i="34"/>
  <c r="B37" i="34"/>
  <c r="G36" i="34"/>
  <c r="D36" i="34"/>
  <c r="H36" i="34" s="1"/>
  <c r="C36" i="34"/>
  <c r="B36" i="34"/>
  <c r="D35" i="34"/>
  <c r="H35" i="34" s="1"/>
  <c r="B35" i="34"/>
  <c r="H34" i="34"/>
  <c r="G34" i="34"/>
  <c r="C34" i="34"/>
  <c r="E34" i="34" s="1"/>
  <c r="B34" i="34"/>
  <c r="G33" i="34"/>
  <c r="C33" i="34"/>
  <c r="B33" i="34"/>
  <c r="G32" i="34"/>
  <c r="C32" i="34"/>
  <c r="B32" i="34"/>
  <c r="B30" i="34"/>
  <c r="B29" i="34"/>
  <c r="D27" i="34"/>
  <c r="H27" i="34" s="1"/>
  <c r="C27" i="34"/>
  <c r="B27" i="34"/>
  <c r="D26" i="34"/>
  <c r="H26" i="34" s="1"/>
  <c r="B26" i="34"/>
  <c r="D21" i="34"/>
  <c r="H21" i="34" s="1"/>
  <c r="B21" i="34"/>
  <c r="D20" i="34"/>
  <c r="H20" i="34" s="1"/>
  <c r="B20" i="34"/>
  <c r="C19" i="34"/>
  <c r="D17" i="34"/>
  <c r="H17" i="34" s="1"/>
  <c r="B17" i="34"/>
  <c r="D16" i="34"/>
  <c r="H16" i="34" s="1"/>
  <c r="B16" i="34"/>
  <c r="D15" i="34"/>
  <c r="H15" i="34" s="1"/>
  <c r="B15" i="34"/>
  <c r="D14" i="34"/>
  <c r="H14" i="34" s="1"/>
  <c r="B14" i="34"/>
  <c r="C9" i="34"/>
  <c r="C5" i="34"/>
  <c r="D29" i="34" s="1"/>
  <c r="H29" i="34" s="1"/>
  <c r="B2" i="33"/>
  <c r="G34" i="33"/>
  <c r="C34" i="33"/>
  <c r="G29" i="33"/>
  <c r="G28" i="33"/>
  <c r="C29" i="33"/>
  <c r="C28" i="33"/>
  <c r="G26" i="33"/>
  <c r="G25" i="33"/>
  <c r="G21" i="33"/>
  <c r="G20" i="33"/>
  <c r="G19" i="33"/>
  <c r="C25" i="33"/>
  <c r="C21" i="33"/>
  <c r="C20" i="33"/>
  <c r="G17" i="33"/>
  <c r="G16" i="33"/>
  <c r="G15" i="33"/>
  <c r="G14" i="33"/>
  <c r="C17" i="33"/>
  <c r="C16" i="33"/>
  <c r="C15" i="33"/>
  <c r="C14" i="33"/>
  <c r="E24" i="43" l="1"/>
  <c r="H24" i="34"/>
  <c r="I24" i="34" s="1"/>
  <c r="K24" i="34" s="1"/>
  <c r="L24" i="34" s="1"/>
  <c r="E24" i="34"/>
  <c r="H22" i="40"/>
  <c r="I22" i="40" s="1"/>
  <c r="K22" i="40" s="1"/>
  <c r="L22" i="40" s="1"/>
  <c r="E22" i="40"/>
  <c r="H21" i="46"/>
  <c r="I21" i="46" s="1"/>
  <c r="K21" i="46" s="1"/>
  <c r="L21" i="46" s="1"/>
  <c r="E21" i="46"/>
  <c r="H22" i="49"/>
  <c r="I22" i="49" s="1"/>
  <c r="K22" i="49" s="1"/>
  <c r="L22" i="49" s="1"/>
  <c r="E22" i="49"/>
  <c r="H24" i="37"/>
  <c r="I24" i="37" s="1"/>
  <c r="K24" i="37" s="1"/>
  <c r="L24" i="37" s="1"/>
  <c r="E24" i="37"/>
  <c r="E41" i="57"/>
  <c r="E42" i="57" s="1"/>
  <c r="E43" i="57" s="1"/>
  <c r="F23" i="51" s="1"/>
  <c r="K40" i="54"/>
  <c r="L40" i="54" s="1"/>
  <c r="L43" i="59"/>
  <c r="I43" i="59"/>
  <c r="K43" i="59" s="1"/>
  <c r="K42" i="59"/>
  <c r="L42" i="59" s="1"/>
  <c r="L40" i="58"/>
  <c r="I42" i="58"/>
  <c r="E41" i="58"/>
  <c r="K41" i="58" s="1"/>
  <c r="I42" i="57"/>
  <c r="L40" i="57"/>
  <c r="I44" i="56"/>
  <c r="G21" i="53" s="1"/>
  <c r="I43" i="56"/>
  <c r="L41" i="56"/>
  <c r="E42" i="56"/>
  <c r="I43" i="55"/>
  <c r="G21" i="52" s="1"/>
  <c r="I42" i="55"/>
  <c r="K40" i="55"/>
  <c r="L40" i="55" s="1"/>
  <c r="E41" i="55"/>
  <c r="K41" i="55" s="1"/>
  <c r="E43" i="54"/>
  <c r="F21" i="51" s="1"/>
  <c r="E42" i="54"/>
  <c r="I41" i="54"/>
  <c r="E14" i="36"/>
  <c r="E14" i="35"/>
  <c r="E17" i="37"/>
  <c r="E26" i="46"/>
  <c r="I29" i="45"/>
  <c r="K29" i="45" s="1"/>
  <c r="L29" i="45" s="1"/>
  <c r="E15" i="39"/>
  <c r="I22" i="45"/>
  <c r="E18" i="49"/>
  <c r="E18" i="46"/>
  <c r="I26" i="46"/>
  <c r="E31" i="46"/>
  <c r="E32" i="40"/>
  <c r="E35" i="37"/>
  <c r="E16" i="34"/>
  <c r="I26" i="34"/>
  <c r="E14" i="34"/>
  <c r="E26" i="34"/>
  <c r="E35" i="34"/>
  <c r="E36" i="34"/>
  <c r="E15" i="45"/>
  <c r="E18" i="45"/>
  <c r="E14" i="42"/>
  <c r="E15" i="36"/>
  <c r="E36" i="36"/>
  <c r="E17" i="36"/>
  <c r="E26" i="36"/>
  <c r="I34" i="36"/>
  <c r="E32" i="47"/>
  <c r="E14" i="41"/>
  <c r="E26" i="35"/>
  <c r="I17" i="35"/>
  <c r="E37" i="35"/>
  <c r="I18" i="41"/>
  <c r="E25" i="45"/>
  <c r="E26" i="42"/>
  <c r="I18" i="46"/>
  <c r="I35" i="40"/>
  <c r="I30" i="47"/>
  <c r="E19" i="42"/>
  <c r="I19" i="47"/>
  <c r="I14" i="35"/>
  <c r="I20" i="35"/>
  <c r="I24" i="43"/>
  <c r="K24" i="43" s="1"/>
  <c r="L24" i="43" s="1"/>
  <c r="I37" i="34"/>
  <c r="E15" i="35"/>
  <c r="D29" i="47"/>
  <c r="H29" i="47" s="1"/>
  <c r="I29" i="47" s="1"/>
  <c r="E20" i="36"/>
  <c r="I17" i="37"/>
  <c r="I27" i="45"/>
  <c r="I27" i="49"/>
  <c r="E27" i="37"/>
  <c r="I34" i="37"/>
  <c r="K34" i="37" s="1"/>
  <c r="L34" i="37" s="1"/>
  <c r="I31" i="45"/>
  <c r="I16" i="35"/>
  <c r="I17" i="36"/>
  <c r="I26" i="36"/>
  <c r="I36" i="36"/>
  <c r="E26" i="37"/>
  <c r="I31" i="43"/>
  <c r="K31" i="43" s="1"/>
  <c r="L31" i="43" s="1"/>
  <c r="I22" i="43"/>
  <c r="E14" i="44"/>
  <c r="I32" i="42"/>
  <c r="E24" i="45"/>
  <c r="I25" i="46"/>
  <c r="H17" i="47"/>
  <c r="I17" i="47" s="1"/>
  <c r="H17" i="48"/>
  <c r="I17" i="48" s="1"/>
  <c r="I15" i="49"/>
  <c r="H17" i="49"/>
  <c r="I17" i="49" s="1"/>
  <c r="E14" i="37"/>
  <c r="E21" i="36"/>
  <c r="I34" i="34"/>
  <c r="K34" i="34" s="1"/>
  <c r="L34" i="34" s="1"/>
  <c r="I35" i="35"/>
  <c r="I16" i="36"/>
  <c r="I15" i="37"/>
  <c r="E37" i="37"/>
  <c r="I38" i="37"/>
  <c r="I14" i="41"/>
  <c r="E26" i="49"/>
  <c r="H26" i="49"/>
  <c r="I26" i="49" s="1"/>
  <c r="E27" i="49"/>
  <c r="E15" i="46"/>
  <c r="I31" i="46"/>
  <c r="E27" i="43"/>
  <c r="E26" i="43"/>
  <c r="E15" i="48"/>
  <c r="E31" i="48"/>
  <c r="H24" i="45"/>
  <c r="I24" i="45" s="1"/>
  <c r="E22" i="45"/>
  <c r="E27" i="45"/>
  <c r="H19" i="42"/>
  <c r="I19" i="42" s="1"/>
  <c r="E16" i="35"/>
  <c r="E25" i="42"/>
  <c r="I14" i="43"/>
  <c r="E21" i="35"/>
  <c r="H21" i="35"/>
  <c r="I21" i="35" s="1"/>
  <c r="H36" i="37"/>
  <c r="I36" i="37" s="1"/>
  <c r="E36" i="37"/>
  <c r="D17" i="42"/>
  <c r="E17" i="42" s="1"/>
  <c r="D28" i="42"/>
  <c r="H28" i="42" s="1"/>
  <c r="I28" i="42" s="1"/>
  <c r="I14" i="42"/>
  <c r="I25" i="42"/>
  <c r="I15" i="34"/>
  <c r="H20" i="36"/>
  <c r="I20" i="36" s="1"/>
  <c r="H15" i="42"/>
  <c r="I15" i="42" s="1"/>
  <c r="E15" i="42"/>
  <c r="E14" i="46"/>
  <c r="H14" i="46"/>
  <c r="I14" i="46" s="1"/>
  <c r="E20" i="34"/>
  <c r="E18" i="43"/>
  <c r="I32" i="44"/>
  <c r="D28" i="46"/>
  <c r="H28" i="46" s="1"/>
  <c r="I28" i="46" s="1"/>
  <c r="D29" i="46"/>
  <c r="H29" i="46" s="1"/>
  <c r="I29" i="46" s="1"/>
  <c r="E27" i="34"/>
  <c r="E37" i="34"/>
  <c r="E38" i="34"/>
  <c r="E15" i="34"/>
  <c r="E36" i="35"/>
  <c r="I37" i="35"/>
  <c r="I33" i="36"/>
  <c r="K33" i="36" s="1"/>
  <c r="L33" i="36" s="1"/>
  <c r="E35" i="36"/>
  <c r="E21" i="37"/>
  <c r="E38" i="37"/>
  <c r="E16" i="37"/>
  <c r="I14" i="38"/>
  <c r="I31" i="40"/>
  <c r="K31" i="40" s="1"/>
  <c r="L31" i="40" s="1"/>
  <c r="E30" i="45"/>
  <c r="E32" i="46"/>
  <c r="I23" i="47"/>
  <c r="E26" i="47"/>
  <c r="E24" i="49"/>
  <c r="I38" i="34"/>
  <c r="K38" i="34" s="1"/>
  <c r="L38" i="34" s="1"/>
  <c r="E17" i="34"/>
  <c r="I14" i="34"/>
  <c r="E21" i="34"/>
  <c r="I26" i="35"/>
  <c r="I37" i="36"/>
  <c r="K37" i="36" s="1"/>
  <c r="L37" i="36" s="1"/>
  <c r="E16" i="36"/>
  <c r="E34" i="36"/>
  <c r="E15" i="38"/>
  <c r="E14" i="38"/>
  <c r="D28" i="39"/>
  <c r="E28" i="39" s="1"/>
  <c r="I29" i="39"/>
  <c r="E33" i="40"/>
  <c r="E14" i="43"/>
  <c r="I28" i="44"/>
  <c r="I18" i="44"/>
  <c r="E25" i="44"/>
  <c r="I30" i="44"/>
  <c r="K30" i="44" s="1"/>
  <c r="L30" i="44" s="1"/>
  <c r="E31" i="44"/>
  <c r="L31" i="44" s="1"/>
  <c r="E31" i="45"/>
  <c r="E25" i="46"/>
  <c r="I32" i="46"/>
  <c r="I15" i="46"/>
  <c r="I23" i="48"/>
  <c r="E26" i="48"/>
  <c r="D28" i="48"/>
  <c r="H28" i="48" s="1"/>
  <c r="I28" i="48" s="1"/>
  <c r="D29" i="48"/>
  <c r="H29" i="48" s="1"/>
  <c r="I29" i="48" s="1"/>
  <c r="I30" i="48"/>
  <c r="E14" i="48"/>
  <c r="I29" i="49"/>
  <c r="D30" i="49"/>
  <c r="H30" i="49" s="1"/>
  <c r="I30" i="49" s="1"/>
  <c r="I31" i="49"/>
  <c r="I32" i="49"/>
  <c r="I33" i="35"/>
  <c r="K33" i="35" s="1"/>
  <c r="L33" i="35" s="1"/>
  <c r="I19" i="49"/>
  <c r="E14" i="49"/>
  <c r="E29" i="49"/>
  <c r="E32" i="49"/>
  <c r="E33" i="49"/>
  <c r="I33" i="49"/>
  <c r="E15" i="49"/>
  <c r="E19" i="49"/>
  <c r="H14" i="49"/>
  <c r="I14" i="49" s="1"/>
  <c r="E31" i="49"/>
  <c r="I24" i="49"/>
  <c r="D17" i="49"/>
  <c r="E17" i="49" s="1"/>
  <c r="H18" i="49"/>
  <c r="I18" i="49" s="1"/>
  <c r="I25" i="48"/>
  <c r="I31" i="48"/>
  <c r="E17" i="48"/>
  <c r="I32" i="48"/>
  <c r="E32" i="48"/>
  <c r="I26" i="48"/>
  <c r="E25" i="48"/>
  <c r="I15" i="48"/>
  <c r="E18" i="48"/>
  <c r="I14" i="48"/>
  <c r="E30" i="48"/>
  <c r="I18" i="48"/>
  <c r="E19" i="48"/>
  <c r="E23" i="48"/>
  <c r="I25" i="47"/>
  <c r="E18" i="47"/>
  <c r="E31" i="47"/>
  <c r="L31" i="47" s="1"/>
  <c r="E15" i="47"/>
  <c r="H18" i="47"/>
  <c r="I18" i="47" s="1"/>
  <c r="I31" i="47"/>
  <c r="I26" i="47"/>
  <c r="I15" i="47"/>
  <c r="E25" i="47"/>
  <c r="H32" i="47"/>
  <c r="I32" i="47" s="1"/>
  <c r="E14" i="47"/>
  <c r="I14" i="47"/>
  <c r="E30" i="47"/>
  <c r="H28" i="47"/>
  <c r="I28" i="47" s="1"/>
  <c r="E28" i="47"/>
  <c r="E23" i="47"/>
  <c r="D17" i="47"/>
  <c r="E17" i="47" s="1"/>
  <c r="E19" i="47"/>
  <c r="H17" i="46"/>
  <c r="I17" i="46" s="1"/>
  <c r="I30" i="46"/>
  <c r="K30" i="46" s="1"/>
  <c r="L30" i="46" s="1"/>
  <c r="H23" i="46"/>
  <c r="I23" i="46" s="1"/>
  <c r="E23" i="46"/>
  <c r="D17" i="46"/>
  <c r="E17" i="46" s="1"/>
  <c r="I18" i="45"/>
  <c r="I15" i="45"/>
  <c r="E14" i="45"/>
  <c r="D28" i="45"/>
  <c r="H28" i="45" s="1"/>
  <c r="I28" i="45" s="1"/>
  <c r="H14" i="45"/>
  <c r="I14" i="45" s="1"/>
  <c r="H17" i="45"/>
  <c r="I17" i="45" s="1"/>
  <c r="H25" i="45"/>
  <c r="I25" i="45" s="1"/>
  <c r="H30" i="45"/>
  <c r="I30" i="45" s="1"/>
  <c r="D17" i="45"/>
  <c r="E17" i="45" s="1"/>
  <c r="E26" i="44"/>
  <c r="I15" i="44"/>
  <c r="H25" i="44"/>
  <c r="I25" i="44" s="1"/>
  <c r="E23" i="44"/>
  <c r="E18" i="44"/>
  <c r="E19" i="44"/>
  <c r="I23" i="44"/>
  <c r="E15" i="44"/>
  <c r="E28" i="44"/>
  <c r="E32" i="44"/>
  <c r="I19" i="44"/>
  <c r="D29" i="44"/>
  <c r="H29" i="44" s="1"/>
  <c r="I29" i="44" s="1"/>
  <c r="H14" i="44"/>
  <c r="I14" i="44" s="1"/>
  <c r="H17" i="44"/>
  <c r="I17" i="44" s="1"/>
  <c r="H26" i="44"/>
  <c r="I26" i="44" s="1"/>
  <c r="H31" i="44"/>
  <c r="I31" i="44" s="1"/>
  <c r="D17" i="44"/>
  <c r="E17" i="44" s="1"/>
  <c r="I26" i="43"/>
  <c r="E22" i="43"/>
  <c r="I15" i="43"/>
  <c r="E19" i="43"/>
  <c r="E15" i="43"/>
  <c r="E32" i="43"/>
  <c r="E33" i="43"/>
  <c r="I33" i="43"/>
  <c r="I18" i="43"/>
  <c r="I27" i="43"/>
  <c r="I32" i="43"/>
  <c r="E29" i="43"/>
  <c r="I19" i="43"/>
  <c r="I29" i="43"/>
  <c r="D30" i="43"/>
  <c r="H30" i="43" s="1"/>
  <c r="I30" i="43" s="1"/>
  <c r="H17" i="43"/>
  <c r="I17" i="43" s="1"/>
  <c r="D17" i="43"/>
  <c r="E17" i="43" s="1"/>
  <c r="I18" i="42"/>
  <c r="I23" i="42"/>
  <c r="E23" i="42"/>
  <c r="I26" i="42"/>
  <c r="E31" i="42"/>
  <c r="E32" i="42"/>
  <c r="I31" i="42"/>
  <c r="I17" i="42"/>
  <c r="I30" i="42"/>
  <c r="K30" i="42" s="1"/>
  <c r="L30" i="42" s="1"/>
  <c r="E18" i="42"/>
  <c r="D29" i="42"/>
  <c r="H29" i="42" s="1"/>
  <c r="I29" i="42" s="1"/>
  <c r="I30" i="41"/>
  <c r="I32" i="41"/>
  <c r="E15" i="41"/>
  <c r="E19" i="41"/>
  <c r="E23" i="41"/>
  <c r="E31" i="41"/>
  <c r="L31" i="41" s="1"/>
  <c r="I23" i="41"/>
  <c r="E18" i="41"/>
  <c r="K18" i="41" s="1"/>
  <c r="L18" i="41" s="1"/>
  <c r="I29" i="41"/>
  <c r="E32" i="41"/>
  <c r="I15" i="41"/>
  <c r="I31" i="41"/>
  <c r="I19" i="41"/>
  <c r="E29" i="41"/>
  <c r="D17" i="41"/>
  <c r="E17" i="41" s="1"/>
  <c r="E30" i="41"/>
  <c r="D28" i="41"/>
  <c r="H28" i="41" s="1"/>
  <c r="I28" i="41" s="1"/>
  <c r="H17" i="41"/>
  <c r="I17" i="41" s="1"/>
  <c r="I26" i="40"/>
  <c r="I15" i="40"/>
  <c r="E18" i="40"/>
  <c r="I33" i="40"/>
  <c r="E34" i="40"/>
  <c r="E14" i="40"/>
  <c r="E19" i="40"/>
  <c r="H18" i="40"/>
  <c r="I18" i="40" s="1"/>
  <c r="E35" i="40"/>
  <c r="E24" i="40"/>
  <c r="E26" i="40"/>
  <c r="I24" i="40"/>
  <c r="E15" i="40"/>
  <c r="I32" i="40"/>
  <c r="D17" i="40"/>
  <c r="E17" i="40" s="1"/>
  <c r="D27" i="40"/>
  <c r="H27" i="40" s="1"/>
  <c r="I27" i="40" s="1"/>
  <c r="H14" i="40"/>
  <c r="I14" i="40" s="1"/>
  <c r="H19" i="40"/>
  <c r="I19" i="40" s="1"/>
  <c r="D29" i="40"/>
  <c r="H34" i="40"/>
  <c r="I34" i="40" s="1"/>
  <c r="D30" i="40"/>
  <c r="H17" i="40"/>
  <c r="I17" i="40" s="1"/>
  <c r="I24" i="39"/>
  <c r="I31" i="38"/>
  <c r="I32" i="38"/>
  <c r="E14" i="39"/>
  <c r="E30" i="39"/>
  <c r="E31" i="39"/>
  <c r="I30" i="39"/>
  <c r="I14" i="39"/>
  <c r="E18" i="39"/>
  <c r="E29" i="39"/>
  <c r="H17" i="39"/>
  <c r="I17" i="39" s="1"/>
  <c r="I18" i="39"/>
  <c r="D25" i="39"/>
  <c r="H25" i="39" s="1"/>
  <c r="I25" i="39" s="1"/>
  <c r="E22" i="39"/>
  <c r="I22" i="39"/>
  <c r="I31" i="39"/>
  <c r="E24" i="39"/>
  <c r="H15" i="39"/>
  <c r="I15" i="39" s="1"/>
  <c r="D27" i="39"/>
  <c r="D17" i="39"/>
  <c r="E17" i="39" s="1"/>
  <c r="E31" i="38"/>
  <c r="L31" i="38" s="1"/>
  <c r="I19" i="38"/>
  <c r="I23" i="38"/>
  <c r="E18" i="38"/>
  <c r="H15" i="38"/>
  <c r="I15" i="38" s="1"/>
  <c r="H18" i="38"/>
  <c r="I18" i="38" s="1"/>
  <c r="E23" i="38"/>
  <c r="E19" i="38"/>
  <c r="E29" i="38"/>
  <c r="E32" i="38"/>
  <c r="I30" i="38"/>
  <c r="I29" i="38"/>
  <c r="D17" i="38"/>
  <c r="E17" i="38" s="1"/>
  <c r="D25" i="38"/>
  <c r="H25" i="38" s="1"/>
  <c r="I25" i="38" s="1"/>
  <c r="D26" i="38"/>
  <c r="E30" i="38"/>
  <c r="D28" i="38"/>
  <c r="H28" i="38" s="1"/>
  <c r="I28" i="38" s="1"/>
  <c r="H17" i="38"/>
  <c r="I17" i="38" s="1"/>
  <c r="I29" i="37"/>
  <c r="I20" i="37"/>
  <c r="E15" i="37"/>
  <c r="E20" i="37"/>
  <c r="H26" i="37"/>
  <c r="I26" i="37" s="1"/>
  <c r="E29" i="37"/>
  <c r="I16" i="37"/>
  <c r="I35" i="37"/>
  <c r="D19" i="37"/>
  <c r="E19" i="37" s="1"/>
  <c r="D30" i="37"/>
  <c r="H30" i="37" s="1"/>
  <c r="I30" i="37" s="1"/>
  <c r="H14" i="37"/>
  <c r="I14" i="37" s="1"/>
  <c r="H21" i="37"/>
  <c r="I21" i="37" s="1"/>
  <c r="H27" i="37"/>
  <c r="I27" i="37" s="1"/>
  <c r="D32" i="37"/>
  <c r="H37" i="37"/>
  <c r="I37" i="37" s="1"/>
  <c r="D33" i="37"/>
  <c r="H19" i="37"/>
  <c r="I19" i="37" s="1"/>
  <c r="E25" i="36"/>
  <c r="I15" i="36"/>
  <c r="H32" i="36"/>
  <c r="I32" i="36" s="1"/>
  <c r="E32" i="36"/>
  <c r="D19" i="36"/>
  <c r="E19" i="36" s="1"/>
  <c r="D28" i="36"/>
  <c r="H28" i="36" s="1"/>
  <c r="I28" i="36" s="1"/>
  <c r="H14" i="36"/>
  <c r="I14" i="36" s="1"/>
  <c r="H21" i="36"/>
  <c r="I21" i="36" s="1"/>
  <c r="H25" i="36"/>
  <c r="I25" i="36" s="1"/>
  <c r="D29" i="36"/>
  <c r="H29" i="36" s="1"/>
  <c r="I29" i="36" s="1"/>
  <c r="H35" i="36"/>
  <c r="I35" i="36" s="1"/>
  <c r="D31" i="36"/>
  <c r="H19" i="36"/>
  <c r="I19" i="36" s="1"/>
  <c r="I25" i="35"/>
  <c r="H15" i="35"/>
  <c r="I15" i="35" s="1"/>
  <c r="E25" i="35"/>
  <c r="I36" i="35"/>
  <c r="E35" i="35"/>
  <c r="H34" i="35"/>
  <c r="I34" i="35" s="1"/>
  <c r="E34" i="35"/>
  <c r="E20" i="35"/>
  <c r="D28" i="35"/>
  <c r="D19" i="35"/>
  <c r="E19" i="35" s="1"/>
  <c r="D32" i="35"/>
  <c r="H32" i="35" s="1"/>
  <c r="I32" i="35" s="1"/>
  <c r="H19" i="35"/>
  <c r="I19" i="35" s="1"/>
  <c r="D29" i="35"/>
  <c r="E17" i="35"/>
  <c r="D31" i="35"/>
  <c r="H31" i="35" s="1"/>
  <c r="I31" i="35" s="1"/>
  <c r="H19" i="34"/>
  <c r="I19" i="34" s="1"/>
  <c r="I27" i="34"/>
  <c r="D33" i="34"/>
  <c r="H33" i="34" s="1"/>
  <c r="I33" i="34" s="1"/>
  <c r="I21" i="34"/>
  <c r="I16" i="34"/>
  <c r="I36" i="34"/>
  <c r="I29" i="34"/>
  <c r="D30" i="34"/>
  <c r="H30" i="34" s="1"/>
  <c r="I30" i="34" s="1"/>
  <c r="I17" i="34"/>
  <c r="E29" i="34"/>
  <c r="I20" i="34"/>
  <c r="I35" i="34"/>
  <c r="D32" i="34"/>
  <c r="D19" i="34"/>
  <c r="E19" i="34" s="1"/>
  <c r="G42" i="33"/>
  <c r="C42" i="33"/>
  <c r="B42" i="33"/>
  <c r="G40" i="33"/>
  <c r="C40" i="33"/>
  <c r="B40" i="33"/>
  <c r="G37" i="33"/>
  <c r="D37" i="33"/>
  <c r="H37" i="33" s="1"/>
  <c r="C37" i="33"/>
  <c r="E37" i="33" s="1"/>
  <c r="B37" i="33"/>
  <c r="G36" i="33"/>
  <c r="D36" i="33"/>
  <c r="H36" i="33" s="1"/>
  <c r="C36" i="33"/>
  <c r="E36" i="33" s="1"/>
  <c r="B36" i="33"/>
  <c r="G35" i="33"/>
  <c r="D35" i="33"/>
  <c r="H35" i="33" s="1"/>
  <c r="C35" i="33"/>
  <c r="B35" i="33"/>
  <c r="D34" i="33"/>
  <c r="H34" i="33" s="1"/>
  <c r="B34" i="33"/>
  <c r="H33" i="33"/>
  <c r="G33" i="33"/>
  <c r="C33" i="33"/>
  <c r="E33" i="33" s="1"/>
  <c r="B33" i="33"/>
  <c r="G32" i="33"/>
  <c r="C32" i="33"/>
  <c r="B32" i="33"/>
  <c r="G31" i="33"/>
  <c r="C31" i="33"/>
  <c r="B31" i="33"/>
  <c r="B29" i="33"/>
  <c r="B28" i="33"/>
  <c r="D26" i="33"/>
  <c r="H26" i="33" s="1"/>
  <c r="C26" i="33"/>
  <c r="B26" i="33"/>
  <c r="D25" i="33"/>
  <c r="H25" i="33" s="1"/>
  <c r="B25" i="33"/>
  <c r="D21" i="33"/>
  <c r="H21" i="33" s="1"/>
  <c r="E21" i="33"/>
  <c r="B21" i="33"/>
  <c r="D20" i="33"/>
  <c r="B20" i="33"/>
  <c r="C19" i="33"/>
  <c r="D17" i="33"/>
  <c r="B17" i="33"/>
  <c r="D16" i="33"/>
  <c r="E16" i="33" s="1"/>
  <c r="B16" i="33"/>
  <c r="D15" i="33"/>
  <c r="E15" i="33" s="1"/>
  <c r="B15" i="33"/>
  <c r="D14" i="33"/>
  <c r="H14" i="33" s="1"/>
  <c r="E14" i="33"/>
  <c r="B14" i="33"/>
  <c r="C9" i="33"/>
  <c r="C5" i="33"/>
  <c r="D28" i="33" s="1"/>
  <c r="D34" i="32"/>
  <c r="H34" i="32" s="1"/>
  <c r="K41" i="57" l="1"/>
  <c r="L41" i="57" s="1"/>
  <c r="K42" i="57"/>
  <c r="L42" i="57" s="1"/>
  <c r="I43" i="57"/>
  <c r="I44" i="59"/>
  <c r="I43" i="58"/>
  <c r="G23" i="52" s="1"/>
  <c r="L41" i="58"/>
  <c r="E42" i="58"/>
  <c r="E43" i="56"/>
  <c r="K43" i="56" s="1"/>
  <c r="K42" i="56"/>
  <c r="L42" i="56" s="1"/>
  <c r="L41" i="55"/>
  <c r="E42" i="55"/>
  <c r="E43" i="55" s="1"/>
  <c r="I42" i="54"/>
  <c r="K42" i="54" s="1"/>
  <c r="L42" i="54" s="1"/>
  <c r="K41" i="54"/>
  <c r="L41" i="54" s="1"/>
  <c r="K22" i="43"/>
  <c r="L22" i="43" s="1"/>
  <c r="K17" i="36"/>
  <c r="L17" i="36" s="1"/>
  <c r="K17" i="37"/>
  <c r="L17" i="37" s="1"/>
  <c r="K18" i="49"/>
  <c r="L18" i="49" s="1"/>
  <c r="K26" i="36"/>
  <c r="L26" i="36" s="1"/>
  <c r="K26" i="46"/>
  <c r="L26" i="46" s="1"/>
  <c r="K24" i="45"/>
  <c r="L24" i="45" s="1"/>
  <c r="K15" i="39"/>
  <c r="L15" i="39" s="1"/>
  <c r="K14" i="35"/>
  <c r="L14" i="35" s="1"/>
  <c r="K36" i="34"/>
  <c r="L36" i="34" s="1"/>
  <c r="K37" i="35"/>
  <c r="L37" i="35" s="1"/>
  <c r="K32" i="47"/>
  <c r="L32" i="47" s="1"/>
  <c r="K15" i="36"/>
  <c r="L15" i="36" s="1"/>
  <c r="K23" i="41"/>
  <c r="L23" i="41" s="1"/>
  <c r="K26" i="34"/>
  <c r="L26" i="34" s="1"/>
  <c r="K18" i="46"/>
  <c r="L18" i="46" s="1"/>
  <c r="K31" i="46"/>
  <c r="L31" i="46" s="1"/>
  <c r="K14" i="46"/>
  <c r="L14" i="46" s="1"/>
  <c r="K35" i="40"/>
  <c r="L35" i="40" s="1"/>
  <c r="K32" i="40"/>
  <c r="L32" i="40" s="1"/>
  <c r="K35" i="37"/>
  <c r="L35" i="37" s="1"/>
  <c r="K16" i="34"/>
  <c r="L16" i="34" s="1"/>
  <c r="K14" i="34"/>
  <c r="L14" i="34" s="1"/>
  <c r="K35" i="34"/>
  <c r="L35" i="34" s="1"/>
  <c r="K15" i="45"/>
  <c r="L15" i="45" s="1"/>
  <c r="K18" i="45"/>
  <c r="L18" i="45" s="1"/>
  <c r="K31" i="39"/>
  <c r="L31" i="39" s="1"/>
  <c r="K14" i="42"/>
  <c r="L14" i="42" s="1"/>
  <c r="K36" i="36"/>
  <c r="L36" i="36" s="1"/>
  <c r="K34" i="36"/>
  <c r="L34" i="36" s="1"/>
  <c r="H15" i="33"/>
  <c r="I15" i="33" s="1"/>
  <c r="K15" i="33" s="1"/>
  <c r="L15" i="33" s="1"/>
  <c r="H16" i="33"/>
  <c r="I16" i="33" s="1"/>
  <c r="K16" i="33" s="1"/>
  <c r="L16" i="33" s="1"/>
  <c r="E25" i="33"/>
  <c r="E26" i="33"/>
  <c r="K18" i="47"/>
  <c r="L18" i="47" s="1"/>
  <c r="K15" i="47"/>
  <c r="L15" i="47" s="1"/>
  <c r="K14" i="41"/>
  <c r="L14" i="41" s="1"/>
  <c r="K17" i="35"/>
  <c r="L17" i="35" s="1"/>
  <c r="K26" i="35"/>
  <c r="L26" i="35" s="1"/>
  <c r="E33" i="34"/>
  <c r="K33" i="34" s="1"/>
  <c r="L33" i="34" s="1"/>
  <c r="K26" i="42"/>
  <c r="L26" i="42" s="1"/>
  <c r="K30" i="47"/>
  <c r="L30" i="47" s="1"/>
  <c r="K35" i="36"/>
  <c r="L35" i="36" s="1"/>
  <c r="K21" i="36"/>
  <c r="L21" i="36" s="1"/>
  <c r="K20" i="36"/>
  <c r="L20" i="36" s="1"/>
  <c r="K29" i="37"/>
  <c r="L29" i="37" s="1"/>
  <c r="K25" i="45"/>
  <c r="L25" i="45" s="1"/>
  <c r="K19" i="42"/>
  <c r="L19" i="42" s="1"/>
  <c r="E29" i="47"/>
  <c r="K29" i="47" s="1"/>
  <c r="K18" i="43"/>
  <c r="L18" i="43" s="1"/>
  <c r="E29" i="46"/>
  <c r="K29" i="46" s="1"/>
  <c r="L29" i="46" s="1"/>
  <c r="K31" i="45"/>
  <c r="L31" i="45" s="1"/>
  <c r="K25" i="42"/>
  <c r="L25" i="42" s="1"/>
  <c r="K25" i="44"/>
  <c r="L25" i="44" s="1"/>
  <c r="K37" i="34"/>
  <c r="L37" i="34" s="1"/>
  <c r="K35" i="35"/>
  <c r="L35" i="35" s="1"/>
  <c r="K27" i="37"/>
  <c r="L27" i="37" s="1"/>
  <c r="K14" i="39"/>
  <c r="L14" i="39" s="1"/>
  <c r="K14" i="49"/>
  <c r="L14" i="49" s="1"/>
  <c r="K14" i="38"/>
  <c r="L14" i="38" s="1"/>
  <c r="K32" i="44"/>
  <c r="L32" i="44" s="1"/>
  <c r="K15" i="35"/>
  <c r="L15" i="35" s="1"/>
  <c r="K26" i="43"/>
  <c r="L26" i="43" s="1"/>
  <c r="K25" i="46"/>
  <c r="L25" i="46" s="1"/>
  <c r="K16" i="36"/>
  <c r="L16" i="36" s="1"/>
  <c r="K27" i="45"/>
  <c r="L27" i="45" s="1"/>
  <c r="K16" i="37"/>
  <c r="L16" i="37" s="1"/>
  <c r="K15" i="38"/>
  <c r="L15" i="38" s="1"/>
  <c r="K19" i="49"/>
  <c r="L19" i="49" s="1"/>
  <c r="K38" i="37"/>
  <c r="L38" i="37" s="1"/>
  <c r="K27" i="49"/>
  <c r="L27" i="49" s="1"/>
  <c r="K25" i="36"/>
  <c r="L25" i="36" s="1"/>
  <c r="K15" i="46"/>
  <c r="L15" i="46" s="1"/>
  <c r="K16" i="35"/>
  <c r="L16" i="35" s="1"/>
  <c r="K26" i="49"/>
  <c r="L26" i="49" s="1"/>
  <c r="K19" i="34"/>
  <c r="L19" i="34" s="1"/>
  <c r="K37" i="37"/>
  <c r="L37" i="37" s="1"/>
  <c r="K32" i="42"/>
  <c r="L32" i="42" s="1"/>
  <c r="E28" i="48"/>
  <c r="K28" i="48" s="1"/>
  <c r="L28" i="48" s="1"/>
  <c r="K31" i="48"/>
  <c r="L31" i="48" s="1"/>
  <c r="K15" i="42"/>
  <c r="L15" i="42" s="1"/>
  <c r="K21" i="35"/>
  <c r="L21" i="35" s="1"/>
  <c r="K17" i="34"/>
  <c r="L17" i="34" s="1"/>
  <c r="E30" i="34"/>
  <c r="K30" i="34" s="1"/>
  <c r="L30" i="34" s="1"/>
  <c r="K36" i="35"/>
  <c r="L36" i="35" s="1"/>
  <c r="K26" i="37"/>
  <c r="L26" i="37" s="1"/>
  <c r="K15" i="37"/>
  <c r="L15" i="37" s="1"/>
  <c r="K30" i="39"/>
  <c r="L30" i="39" s="1"/>
  <c r="K29" i="43"/>
  <c r="L29" i="43" s="1"/>
  <c r="E16" i="43"/>
  <c r="E25" i="43" s="1"/>
  <c r="K30" i="45"/>
  <c r="L30" i="45" s="1"/>
  <c r="I16" i="46"/>
  <c r="I24" i="46" s="1"/>
  <c r="K14" i="48"/>
  <c r="L14" i="48" s="1"/>
  <c r="K15" i="49"/>
  <c r="L15" i="49" s="1"/>
  <c r="K14" i="43"/>
  <c r="L14" i="43" s="1"/>
  <c r="K21" i="37"/>
  <c r="L21" i="37" s="1"/>
  <c r="K30" i="41"/>
  <c r="L30" i="41" s="1"/>
  <c r="K25" i="35"/>
  <c r="L25" i="35" s="1"/>
  <c r="E18" i="36"/>
  <c r="E27" i="36" s="1"/>
  <c r="K33" i="40"/>
  <c r="L33" i="40" s="1"/>
  <c r="K17" i="42"/>
  <c r="L17" i="42" s="1"/>
  <c r="K22" i="45"/>
  <c r="L22" i="45" s="1"/>
  <c r="K26" i="48"/>
  <c r="L26" i="48" s="1"/>
  <c r="K31" i="49"/>
  <c r="L31" i="49" s="1"/>
  <c r="K15" i="34"/>
  <c r="L15" i="34" s="1"/>
  <c r="K27" i="43"/>
  <c r="L27" i="43" s="1"/>
  <c r="K15" i="48"/>
  <c r="L15" i="48" s="1"/>
  <c r="E28" i="42"/>
  <c r="K28" i="42" s="1"/>
  <c r="L28" i="42" s="1"/>
  <c r="K25" i="47"/>
  <c r="L25" i="47" s="1"/>
  <c r="K18" i="44"/>
  <c r="L18" i="44" s="1"/>
  <c r="K28" i="44"/>
  <c r="L28" i="44" s="1"/>
  <c r="K31" i="44"/>
  <c r="K18" i="38"/>
  <c r="L18" i="38" s="1"/>
  <c r="K32" i="36"/>
  <c r="L32" i="36" s="1"/>
  <c r="K36" i="37"/>
  <c r="L36" i="37" s="1"/>
  <c r="E28" i="46"/>
  <c r="K28" i="46" s="1"/>
  <c r="L28" i="46" s="1"/>
  <c r="I37" i="33"/>
  <c r="K37" i="33" s="1"/>
  <c r="L37" i="33" s="1"/>
  <c r="E35" i="33"/>
  <c r="E18" i="34"/>
  <c r="E28" i="34" s="1"/>
  <c r="K27" i="34"/>
  <c r="L27" i="34" s="1"/>
  <c r="H28" i="39"/>
  <c r="I28" i="39" s="1"/>
  <c r="K28" i="39" s="1"/>
  <c r="L28" i="39" s="1"/>
  <c r="K26" i="40"/>
  <c r="L26" i="40" s="1"/>
  <c r="I16" i="42"/>
  <c r="I24" i="42" s="1"/>
  <c r="K18" i="42"/>
  <c r="L18" i="42" s="1"/>
  <c r="K33" i="43"/>
  <c r="L33" i="43" s="1"/>
  <c r="E28" i="45"/>
  <c r="K28" i="45" s="1"/>
  <c r="L28" i="45" s="1"/>
  <c r="K31" i="47"/>
  <c r="E29" i="48"/>
  <c r="K29" i="48" s="1"/>
  <c r="L29" i="48" s="1"/>
  <c r="K24" i="49"/>
  <c r="L24" i="49" s="1"/>
  <c r="K33" i="49"/>
  <c r="L33" i="49" s="1"/>
  <c r="K29" i="49"/>
  <c r="L29" i="49" s="1"/>
  <c r="K32" i="46"/>
  <c r="L32" i="46" s="1"/>
  <c r="E29" i="42"/>
  <c r="K29" i="42" s="1"/>
  <c r="L29" i="42" s="1"/>
  <c r="K21" i="34"/>
  <c r="L21" i="34" s="1"/>
  <c r="K20" i="34"/>
  <c r="L20" i="34" s="1"/>
  <c r="K29" i="39"/>
  <c r="L29" i="39" s="1"/>
  <c r="K32" i="38"/>
  <c r="L32" i="38" s="1"/>
  <c r="K26" i="47"/>
  <c r="L26" i="47" s="1"/>
  <c r="K30" i="48"/>
  <c r="L30" i="48" s="1"/>
  <c r="E30" i="49"/>
  <c r="K30" i="49" s="1"/>
  <c r="L30" i="49" s="1"/>
  <c r="I33" i="33"/>
  <c r="K33" i="33" s="1"/>
  <c r="L33" i="33" s="1"/>
  <c r="I16" i="49"/>
  <c r="I25" i="49" s="1"/>
  <c r="K32" i="49"/>
  <c r="L32" i="49" s="1"/>
  <c r="E16" i="49"/>
  <c r="E25" i="49" s="1"/>
  <c r="K17" i="49"/>
  <c r="L17" i="49" s="1"/>
  <c r="K25" i="48"/>
  <c r="L25" i="48" s="1"/>
  <c r="K17" i="48"/>
  <c r="L17" i="48" s="1"/>
  <c r="K18" i="48"/>
  <c r="L18" i="48" s="1"/>
  <c r="K32" i="48"/>
  <c r="L32" i="48" s="1"/>
  <c r="K19" i="48"/>
  <c r="L19" i="48" s="1"/>
  <c r="I16" i="48"/>
  <c r="I24" i="48" s="1"/>
  <c r="E16" i="48"/>
  <c r="K23" i="48"/>
  <c r="L23" i="48" s="1"/>
  <c r="K14" i="47"/>
  <c r="L14" i="47" s="1"/>
  <c r="I16" i="47"/>
  <c r="I24" i="47" s="1"/>
  <c r="K28" i="47"/>
  <c r="L28" i="47" s="1"/>
  <c r="K17" i="47"/>
  <c r="L17" i="47" s="1"/>
  <c r="K23" i="47"/>
  <c r="L23" i="47" s="1"/>
  <c r="E16" i="47"/>
  <c r="K19" i="47"/>
  <c r="L19" i="47" s="1"/>
  <c r="K17" i="46"/>
  <c r="L17" i="46" s="1"/>
  <c r="K23" i="46"/>
  <c r="L23" i="46" s="1"/>
  <c r="E16" i="46"/>
  <c r="E16" i="45"/>
  <c r="E23" i="45" s="1"/>
  <c r="K14" i="45"/>
  <c r="L14" i="45" s="1"/>
  <c r="I16" i="45"/>
  <c r="K17" i="45"/>
  <c r="L17" i="45" s="1"/>
  <c r="K26" i="44"/>
  <c r="L26" i="44" s="1"/>
  <c r="E16" i="44"/>
  <c r="E24" i="44" s="1"/>
  <c r="K23" i="44"/>
  <c r="L23" i="44" s="1"/>
  <c r="K19" i="44"/>
  <c r="L19" i="44" s="1"/>
  <c r="K15" i="44"/>
  <c r="L15" i="44" s="1"/>
  <c r="K17" i="44"/>
  <c r="L17" i="44" s="1"/>
  <c r="E29" i="44"/>
  <c r="K14" i="44"/>
  <c r="L14" i="44" s="1"/>
  <c r="I16" i="44"/>
  <c r="K19" i="43"/>
  <c r="L19" i="43" s="1"/>
  <c r="I16" i="43"/>
  <c r="K15" i="43"/>
  <c r="L15" i="43" s="1"/>
  <c r="K32" i="43"/>
  <c r="L32" i="43" s="1"/>
  <c r="K17" i="43"/>
  <c r="L17" i="43" s="1"/>
  <c r="E30" i="43"/>
  <c r="K30" i="43" s="1"/>
  <c r="K23" i="42"/>
  <c r="L23" i="42" s="1"/>
  <c r="E16" i="42"/>
  <c r="E24" i="42" s="1"/>
  <c r="E27" i="42" s="1"/>
  <c r="F13" i="52" s="1"/>
  <c r="K31" i="42"/>
  <c r="L31" i="42" s="1"/>
  <c r="K31" i="41"/>
  <c r="K32" i="41"/>
  <c r="L32" i="41" s="1"/>
  <c r="K29" i="41"/>
  <c r="L29" i="41" s="1"/>
  <c r="K15" i="41"/>
  <c r="L15" i="41" s="1"/>
  <c r="K19" i="41"/>
  <c r="L19" i="41" s="1"/>
  <c r="K17" i="41"/>
  <c r="L17" i="41" s="1"/>
  <c r="I16" i="41"/>
  <c r="I24" i="41" s="1"/>
  <c r="E26" i="41"/>
  <c r="H26" i="41"/>
  <c r="I26" i="41" s="1"/>
  <c r="H25" i="41"/>
  <c r="I25" i="41" s="1"/>
  <c r="E25" i="41"/>
  <c r="E28" i="41"/>
  <c r="K28" i="41" s="1"/>
  <c r="E16" i="41"/>
  <c r="K19" i="40"/>
  <c r="L19" i="40" s="1"/>
  <c r="K18" i="40"/>
  <c r="L18" i="40" s="1"/>
  <c r="K34" i="40"/>
  <c r="L34" i="40" s="1"/>
  <c r="E16" i="40"/>
  <c r="E25" i="40" s="1"/>
  <c r="E27" i="40"/>
  <c r="K15" i="40"/>
  <c r="L15" i="40" s="1"/>
  <c r="K24" i="40"/>
  <c r="L24" i="40" s="1"/>
  <c r="E29" i="40"/>
  <c r="H29" i="40"/>
  <c r="I29" i="40" s="1"/>
  <c r="K14" i="40"/>
  <c r="L14" i="40" s="1"/>
  <c r="I16" i="40"/>
  <c r="E30" i="40"/>
  <c r="H30" i="40"/>
  <c r="I30" i="40" s="1"/>
  <c r="K17" i="40"/>
  <c r="L17" i="40" s="1"/>
  <c r="K19" i="38"/>
  <c r="L19" i="38" s="1"/>
  <c r="E16" i="39"/>
  <c r="E23" i="39" s="1"/>
  <c r="E25" i="39"/>
  <c r="K18" i="39"/>
  <c r="L18" i="39" s="1"/>
  <c r="K22" i="39"/>
  <c r="L22" i="39" s="1"/>
  <c r="E27" i="39"/>
  <c r="H27" i="39"/>
  <c r="I27" i="39" s="1"/>
  <c r="K17" i="39"/>
  <c r="L17" i="39" s="1"/>
  <c r="K24" i="39"/>
  <c r="L24" i="39" s="1"/>
  <c r="I16" i="39"/>
  <c r="E16" i="38"/>
  <c r="E24" i="38" s="1"/>
  <c r="K31" i="38"/>
  <c r="K23" i="38"/>
  <c r="L23" i="38" s="1"/>
  <c r="K29" i="38"/>
  <c r="L29" i="38" s="1"/>
  <c r="K17" i="38"/>
  <c r="L17" i="38" s="1"/>
  <c r="E25" i="38"/>
  <c r="K25" i="38" s="1"/>
  <c r="K30" i="38"/>
  <c r="L30" i="38" s="1"/>
  <c r="I16" i="38"/>
  <c r="E26" i="38"/>
  <c r="H26" i="38"/>
  <c r="I26" i="38" s="1"/>
  <c r="E28" i="38"/>
  <c r="E18" i="37"/>
  <c r="E28" i="37" s="1"/>
  <c r="K20" i="37"/>
  <c r="L20" i="37" s="1"/>
  <c r="E32" i="37"/>
  <c r="H32" i="37"/>
  <c r="I32" i="37" s="1"/>
  <c r="K14" i="37"/>
  <c r="L14" i="37" s="1"/>
  <c r="I18" i="37"/>
  <c r="E30" i="37"/>
  <c r="K30" i="37" s="1"/>
  <c r="E33" i="37"/>
  <c r="H33" i="37"/>
  <c r="I33" i="37" s="1"/>
  <c r="K19" i="37"/>
  <c r="L19" i="37" s="1"/>
  <c r="K14" i="36"/>
  <c r="L14" i="36" s="1"/>
  <c r="I18" i="36"/>
  <c r="E31" i="36"/>
  <c r="H31" i="36"/>
  <c r="I31" i="36" s="1"/>
  <c r="K19" i="36"/>
  <c r="L19" i="36" s="1"/>
  <c r="E29" i="36"/>
  <c r="E28" i="36"/>
  <c r="K28" i="36" s="1"/>
  <c r="I18" i="35"/>
  <c r="I27" i="35" s="1"/>
  <c r="K19" i="35"/>
  <c r="L19" i="35" s="1"/>
  <c r="E18" i="35"/>
  <c r="E27" i="35" s="1"/>
  <c r="E31" i="35"/>
  <c r="H29" i="35"/>
  <c r="I29" i="35" s="1"/>
  <c r="E29" i="35"/>
  <c r="K34" i="35"/>
  <c r="L34" i="35" s="1"/>
  <c r="E32" i="35"/>
  <c r="H28" i="35"/>
  <c r="I28" i="35" s="1"/>
  <c r="E28" i="35"/>
  <c r="K20" i="35"/>
  <c r="L20" i="35" s="1"/>
  <c r="I18" i="34"/>
  <c r="I28" i="34" s="1"/>
  <c r="E32" i="34"/>
  <c r="H32" i="34"/>
  <c r="I32" i="34" s="1"/>
  <c r="K29" i="34"/>
  <c r="L29" i="34" s="1"/>
  <c r="I34" i="33"/>
  <c r="I35" i="33"/>
  <c r="I25" i="33"/>
  <c r="D29" i="33"/>
  <c r="H29" i="33" s="1"/>
  <c r="I29" i="33" s="1"/>
  <c r="I14" i="33"/>
  <c r="K14" i="33" s="1"/>
  <c r="L14" i="33" s="1"/>
  <c r="I21" i="33"/>
  <c r="K21" i="33" s="1"/>
  <c r="L21" i="33" s="1"/>
  <c r="H17" i="33"/>
  <c r="I17" i="33" s="1"/>
  <c r="E17" i="33"/>
  <c r="E18" i="33" s="1"/>
  <c r="H20" i="33"/>
  <c r="I20" i="33" s="1"/>
  <c r="E20" i="33"/>
  <c r="H28" i="33"/>
  <c r="I28" i="33" s="1"/>
  <c r="E28" i="33"/>
  <c r="I26" i="33"/>
  <c r="I36" i="33"/>
  <c r="K36" i="33" s="1"/>
  <c r="L36" i="33" s="1"/>
  <c r="D31" i="33"/>
  <c r="H31" i="33" s="1"/>
  <c r="I31" i="33" s="1"/>
  <c r="E34" i="33"/>
  <c r="H19" i="33"/>
  <c r="I19" i="33" s="1"/>
  <c r="D32" i="33"/>
  <c r="H32" i="33" s="1"/>
  <c r="I32" i="33" s="1"/>
  <c r="D19" i="33"/>
  <c r="E19" i="33" s="1"/>
  <c r="K43" i="55" l="1"/>
  <c r="F21" i="52"/>
  <c r="K43" i="57"/>
  <c r="L43" i="57" s="1"/>
  <c r="G23" i="51"/>
  <c r="H23" i="51" s="1"/>
  <c r="I23" i="51" s="1"/>
  <c r="K44" i="59"/>
  <c r="L44" i="59" s="1"/>
  <c r="G23" i="53"/>
  <c r="H23" i="53" s="1"/>
  <c r="I23" i="53" s="1"/>
  <c r="K42" i="55"/>
  <c r="L42" i="55" s="1"/>
  <c r="K42" i="58"/>
  <c r="L42" i="58" s="1"/>
  <c r="E43" i="58"/>
  <c r="L43" i="56"/>
  <c r="E44" i="56"/>
  <c r="F21" i="53" s="1"/>
  <c r="H21" i="53" s="1"/>
  <c r="I21" i="53" s="1"/>
  <c r="L43" i="55"/>
  <c r="I43" i="54"/>
  <c r="K26" i="33"/>
  <c r="L26" i="33" s="1"/>
  <c r="K25" i="33"/>
  <c r="L25" i="33" s="1"/>
  <c r="L29" i="47"/>
  <c r="K16" i="43"/>
  <c r="L16" i="43" s="1"/>
  <c r="K26" i="38"/>
  <c r="L26" i="38" s="1"/>
  <c r="K16" i="48"/>
  <c r="L16" i="48" s="1"/>
  <c r="K35" i="33"/>
  <c r="L35" i="33" s="1"/>
  <c r="K32" i="37"/>
  <c r="L32" i="37" s="1"/>
  <c r="K26" i="41"/>
  <c r="K29" i="40"/>
  <c r="L29" i="40" s="1"/>
  <c r="K16" i="49"/>
  <c r="L16" i="49" s="1"/>
  <c r="I28" i="49"/>
  <c r="G16" i="53" s="1"/>
  <c r="K25" i="49"/>
  <c r="L25" i="49" s="1"/>
  <c r="E28" i="49"/>
  <c r="F16" i="53" s="1"/>
  <c r="E24" i="48"/>
  <c r="K24" i="48" s="1"/>
  <c r="I27" i="48"/>
  <c r="G16" i="52" s="1"/>
  <c r="E24" i="47"/>
  <c r="K24" i="47" s="1"/>
  <c r="K16" i="47"/>
  <c r="L16" i="47" s="1"/>
  <c r="I27" i="47"/>
  <c r="G16" i="51" s="1"/>
  <c r="E24" i="46"/>
  <c r="K24" i="46" s="1"/>
  <c r="I27" i="46"/>
  <c r="G15" i="53" s="1"/>
  <c r="K16" i="46"/>
  <c r="L16" i="46" s="1"/>
  <c r="K16" i="45"/>
  <c r="L16" i="45" s="1"/>
  <c r="I23" i="45"/>
  <c r="E26" i="45"/>
  <c r="F15" i="52" s="1"/>
  <c r="K29" i="44"/>
  <c r="L29" i="44" s="1"/>
  <c r="E27" i="44"/>
  <c r="F15" i="51" s="1"/>
  <c r="K16" i="44"/>
  <c r="L16" i="44" s="1"/>
  <c r="I24" i="44"/>
  <c r="I25" i="43"/>
  <c r="K25" i="43" s="1"/>
  <c r="L25" i="43" s="1"/>
  <c r="E28" i="43"/>
  <c r="F13" i="53" s="1"/>
  <c r="L30" i="43"/>
  <c r="K16" i="42"/>
  <c r="L16" i="42" s="1"/>
  <c r="E34" i="42"/>
  <c r="I27" i="42"/>
  <c r="G13" i="52" s="1"/>
  <c r="H13" i="52" s="1"/>
  <c r="I13" i="52" s="1"/>
  <c r="K24" i="42"/>
  <c r="L24" i="42" s="1"/>
  <c r="K16" i="41"/>
  <c r="L16" i="41" s="1"/>
  <c r="E24" i="41"/>
  <c r="K24" i="41" s="1"/>
  <c r="K25" i="41"/>
  <c r="L25" i="41" s="1"/>
  <c r="L28" i="41"/>
  <c r="L26" i="41"/>
  <c r="I27" i="41"/>
  <c r="G13" i="51" s="1"/>
  <c r="K27" i="40"/>
  <c r="L27" i="40" s="1"/>
  <c r="K30" i="40"/>
  <c r="L30" i="40" s="1"/>
  <c r="E28" i="40"/>
  <c r="F14" i="53" s="1"/>
  <c r="I25" i="40"/>
  <c r="K16" i="40"/>
  <c r="L16" i="40" s="1"/>
  <c r="K25" i="39"/>
  <c r="L25" i="39" s="1"/>
  <c r="I23" i="39"/>
  <c r="K16" i="39"/>
  <c r="L16" i="39" s="1"/>
  <c r="E26" i="39"/>
  <c r="F14" i="52" s="1"/>
  <c r="K27" i="39"/>
  <c r="L27" i="39" s="1"/>
  <c r="E27" i="38"/>
  <c r="F14" i="51" s="1"/>
  <c r="L25" i="38"/>
  <c r="I24" i="38"/>
  <c r="K16" i="38"/>
  <c r="L16" i="38" s="1"/>
  <c r="K28" i="38"/>
  <c r="L28" i="38" s="1"/>
  <c r="K33" i="37"/>
  <c r="L33" i="37" s="1"/>
  <c r="L30" i="37"/>
  <c r="E31" i="37"/>
  <c r="F12" i="53" s="1"/>
  <c r="I28" i="37"/>
  <c r="K18" i="37"/>
  <c r="L18" i="37" s="1"/>
  <c r="K29" i="36"/>
  <c r="L29" i="36" s="1"/>
  <c r="E30" i="36"/>
  <c r="F12" i="52" s="1"/>
  <c r="L28" i="36"/>
  <c r="I27" i="36"/>
  <c r="K18" i="36"/>
  <c r="L18" i="36" s="1"/>
  <c r="K31" i="36"/>
  <c r="L31" i="36" s="1"/>
  <c r="K18" i="35"/>
  <c r="L18" i="35" s="1"/>
  <c r="K28" i="35"/>
  <c r="L28" i="35" s="1"/>
  <c r="E30" i="35"/>
  <c r="F12" i="51" s="1"/>
  <c r="K31" i="35"/>
  <c r="L31" i="35" s="1"/>
  <c r="K27" i="35"/>
  <c r="L27" i="35" s="1"/>
  <c r="I30" i="35"/>
  <c r="G12" i="51" s="1"/>
  <c r="K29" i="35"/>
  <c r="L29" i="35" s="1"/>
  <c r="K32" i="35"/>
  <c r="L32" i="35" s="1"/>
  <c r="K18" i="34"/>
  <c r="L18" i="34" s="1"/>
  <c r="K28" i="34"/>
  <c r="I31" i="34"/>
  <c r="G10" i="53" s="1"/>
  <c r="K32" i="34"/>
  <c r="L32" i="34" s="1"/>
  <c r="E31" i="34"/>
  <c r="F10" i="53" s="1"/>
  <c r="L28" i="34"/>
  <c r="K17" i="33"/>
  <c r="L17" i="33" s="1"/>
  <c r="E29" i="33"/>
  <c r="K29" i="33" s="1"/>
  <c r="K34" i="33"/>
  <c r="L34" i="33" s="1"/>
  <c r="K20" i="33"/>
  <c r="L20" i="33" s="1"/>
  <c r="E32" i="33"/>
  <c r="K32" i="33" s="1"/>
  <c r="K28" i="33"/>
  <c r="L28" i="33" s="1"/>
  <c r="E27" i="33"/>
  <c r="E31" i="33"/>
  <c r="K31" i="33" s="1"/>
  <c r="K19" i="33"/>
  <c r="L19" i="33" s="1"/>
  <c r="I18" i="33"/>
  <c r="G37" i="32"/>
  <c r="G36" i="32"/>
  <c r="G35" i="32"/>
  <c r="G34" i="32"/>
  <c r="I34" i="32" s="1"/>
  <c r="G33" i="32"/>
  <c r="G32" i="32"/>
  <c r="G31" i="32"/>
  <c r="G29" i="32"/>
  <c r="G28" i="32"/>
  <c r="G26" i="32"/>
  <c r="G25" i="32"/>
  <c r="G21" i="32"/>
  <c r="G20" i="32"/>
  <c r="G19" i="32"/>
  <c r="G17" i="32"/>
  <c r="G16" i="32"/>
  <c r="G15" i="32"/>
  <c r="G14" i="32"/>
  <c r="H33" i="32"/>
  <c r="D37" i="32"/>
  <c r="H37" i="32" s="1"/>
  <c r="D36" i="32"/>
  <c r="H36" i="32" s="1"/>
  <c r="D35" i="32"/>
  <c r="H35" i="32" s="1"/>
  <c r="D26" i="32"/>
  <c r="H26" i="32" s="1"/>
  <c r="D25" i="32"/>
  <c r="H25" i="32" s="1"/>
  <c r="D21" i="32"/>
  <c r="H21" i="32" s="1"/>
  <c r="D20" i="32"/>
  <c r="H20" i="32" s="1"/>
  <c r="D17" i="32"/>
  <c r="H17" i="32" s="1"/>
  <c r="D16" i="32"/>
  <c r="H16" i="32" s="1"/>
  <c r="D15" i="32"/>
  <c r="H15" i="32" s="1"/>
  <c r="D14" i="32"/>
  <c r="H14" i="32" s="1"/>
  <c r="G42" i="32"/>
  <c r="G40" i="32"/>
  <c r="C42" i="32"/>
  <c r="C40" i="32"/>
  <c r="C36" i="32"/>
  <c r="C37" i="32"/>
  <c r="C35" i="32"/>
  <c r="C34" i="32"/>
  <c r="E34" i="32" s="1"/>
  <c r="L34" i="32" s="1"/>
  <c r="C32" i="32"/>
  <c r="C33" i="32"/>
  <c r="E33" i="32" s="1"/>
  <c r="C31" i="32"/>
  <c r="C29" i="32"/>
  <c r="C28" i="32"/>
  <c r="C26" i="32"/>
  <c r="C25" i="32"/>
  <c r="C21" i="32"/>
  <c r="C20" i="32"/>
  <c r="C19" i="32"/>
  <c r="C17" i="32"/>
  <c r="C16" i="32"/>
  <c r="C15" i="32"/>
  <c r="E15" i="32" s="1"/>
  <c r="C14" i="32"/>
  <c r="B42" i="32"/>
  <c r="B40" i="32"/>
  <c r="B36" i="32"/>
  <c r="B37" i="32"/>
  <c r="B35" i="32"/>
  <c r="B34" i="32"/>
  <c r="B32" i="32"/>
  <c r="B33" i="32"/>
  <c r="B31" i="32"/>
  <c r="B29" i="32"/>
  <c r="B28" i="32"/>
  <c r="B26" i="32"/>
  <c r="B25" i="32"/>
  <c r="B21" i="32"/>
  <c r="B20" i="32"/>
  <c r="B16" i="32"/>
  <c r="B17" i="32"/>
  <c r="B15" i="32"/>
  <c r="B14" i="32"/>
  <c r="C9" i="32"/>
  <c r="C5" i="32"/>
  <c r="D19" i="32" s="1"/>
  <c r="E20" i="32" l="1"/>
  <c r="E26" i="32"/>
  <c r="K43" i="54"/>
  <c r="L43" i="54" s="1"/>
  <c r="G21" i="51"/>
  <c r="H21" i="51" s="1"/>
  <c r="I21" i="51" s="1"/>
  <c r="H21" i="52"/>
  <c r="I21" i="52" s="1"/>
  <c r="K43" i="58"/>
  <c r="L43" i="58" s="1"/>
  <c r="F23" i="52"/>
  <c r="H23" i="52" s="1"/>
  <c r="I23" i="52" s="1"/>
  <c r="K44" i="56"/>
  <c r="L44" i="56" s="1"/>
  <c r="E16" i="32"/>
  <c r="E25" i="32"/>
  <c r="E35" i="32"/>
  <c r="I26" i="32"/>
  <c r="K26" i="32" s="1"/>
  <c r="L26" i="32" s="1"/>
  <c r="E14" i="32"/>
  <c r="I33" i="32"/>
  <c r="K33" i="32" s="1"/>
  <c r="L33" i="32" s="1"/>
  <c r="H12" i="51"/>
  <c r="I12" i="51" s="1"/>
  <c r="H10" i="53"/>
  <c r="I10" i="53" s="1"/>
  <c r="I28" i="43"/>
  <c r="G13" i="53" s="1"/>
  <c r="H13" i="53" s="1"/>
  <c r="I13" i="53" s="1"/>
  <c r="H16" i="53"/>
  <c r="I16" i="53" s="1"/>
  <c r="I16" i="32"/>
  <c r="I36" i="32"/>
  <c r="I17" i="32"/>
  <c r="I37" i="32"/>
  <c r="E37" i="32"/>
  <c r="I14" i="32"/>
  <c r="I20" i="32"/>
  <c r="K20" i="32" s="1"/>
  <c r="L20" i="32" s="1"/>
  <c r="E17" i="32"/>
  <c r="E21" i="32"/>
  <c r="E36" i="32"/>
  <c r="I15" i="32"/>
  <c r="K15" i="32" s="1"/>
  <c r="L15" i="32" s="1"/>
  <c r="I21" i="32"/>
  <c r="I25" i="32"/>
  <c r="I35" i="32"/>
  <c r="E35" i="49"/>
  <c r="I35" i="49"/>
  <c r="K28" i="49"/>
  <c r="L28" i="49" s="1"/>
  <c r="E27" i="48"/>
  <c r="L24" i="48"/>
  <c r="I34" i="48"/>
  <c r="I34" i="47"/>
  <c r="E27" i="47"/>
  <c r="L24" i="47"/>
  <c r="I34" i="46"/>
  <c r="L24" i="46"/>
  <c r="E27" i="46"/>
  <c r="F15" i="53" s="1"/>
  <c r="H15" i="53" s="1"/>
  <c r="I15" i="53" s="1"/>
  <c r="I26" i="45"/>
  <c r="G15" i="52" s="1"/>
  <c r="H15" i="52" s="1"/>
  <c r="I15" i="52" s="1"/>
  <c r="K23" i="45"/>
  <c r="L23" i="45" s="1"/>
  <c r="E33" i="45"/>
  <c r="I27" i="44"/>
  <c r="G15" i="51" s="1"/>
  <c r="H15" i="51" s="1"/>
  <c r="I15" i="51" s="1"/>
  <c r="K24" i="44"/>
  <c r="L24" i="44" s="1"/>
  <c r="E34" i="44"/>
  <c r="E35" i="43"/>
  <c r="I34" i="42"/>
  <c r="K27" i="42"/>
  <c r="L27" i="42" s="1"/>
  <c r="E35" i="42"/>
  <c r="E36" i="42" s="1"/>
  <c r="I34" i="41"/>
  <c r="L24" i="41"/>
  <c r="E27" i="41"/>
  <c r="F13" i="51" s="1"/>
  <c r="H13" i="51" s="1"/>
  <c r="I13" i="51" s="1"/>
  <c r="E37" i="40"/>
  <c r="K25" i="40"/>
  <c r="L25" i="40" s="1"/>
  <c r="I28" i="40"/>
  <c r="G14" i="53" s="1"/>
  <c r="H14" i="53" s="1"/>
  <c r="I14" i="53" s="1"/>
  <c r="K23" i="39"/>
  <c r="L23" i="39" s="1"/>
  <c r="I26" i="39"/>
  <c r="G14" i="52" s="1"/>
  <c r="H14" i="52" s="1"/>
  <c r="I14" i="52" s="1"/>
  <c r="E33" i="39"/>
  <c r="I27" i="38"/>
  <c r="G14" i="51" s="1"/>
  <c r="H14" i="51" s="1"/>
  <c r="I14" i="51" s="1"/>
  <c r="K24" i="38"/>
  <c r="L24" i="38" s="1"/>
  <c r="E34" i="38"/>
  <c r="K28" i="37"/>
  <c r="L28" i="37" s="1"/>
  <c r="I31" i="37"/>
  <c r="G12" i="53" s="1"/>
  <c r="H12" i="53" s="1"/>
  <c r="I12" i="53" s="1"/>
  <c r="E40" i="37"/>
  <c r="E39" i="36"/>
  <c r="I30" i="36"/>
  <c r="G12" i="52" s="1"/>
  <c r="H12" i="52" s="1"/>
  <c r="I12" i="52" s="1"/>
  <c r="K27" i="36"/>
  <c r="L27" i="36" s="1"/>
  <c r="E39" i="35"/>
  <c r="I39" i="35"/>
  <c r="K30" i="35"/>
  <c r="L30" i="35" s="1"/>
  <c r="I40" i="34"/>
  <c r="K31" i="34"/>
  <c r="L31" i="34" s="1"/>
  <c r="E40" i="34"/>
  <c r="L29" i="33"/>
  <c r="E19" i="32"/>
  <c r="K34" i="32"/>
  <c r="D28" i="32"/>
  <c r="D32" i="32"/>
  <c r="H32" i="32" s="1"/>
  <c r="I32" i="32" s="1"/>
  <c r="D29" i="32"/>
  <c r="H29" i="32" s="1"/>
  <c r="I29" i="32" s="1"/>
  <c r="H19" i="32"/>
  <c r="I19" i="32" s="1"/>
  <c r="D31" i="32"/>
  <c r="I27" i="33"/>
  <c r="K18" i="33"/>
  <c r="L18" i="33" s="1"/>
  <c r="E30" i="33"/>
  <c r="F10" i="52" s="1"/>
  <c r="L31" i="33"/>
  <c r="L32" i="33"/>
  <c r="I269" i="1"/>
  <c r="I265" i="1"/>
  <c r="I264" i="1"/>
  <c r="K35" i="32" l="1"/>
  <c r="L35" i="32" s="1"/>
  <c r="E18" i="32"/>
  <c r="K21" i="32"/>
  <c r="L21" i="32" s="1"/>
  <c r="I35" i="43"/>
  <c r="I36" i="43" s="1"/>
  <c r="K16" i="32"/>
  <c r="L16" i="32" s="1"/>
  <c r="K25" i="32"/>
  <c r="L25" i="32" s="1"/>
  <c r="K14" i="32"/>
  <c r="L14" i="32" s="1"/>
  <c r="K37" i="32"/>
  <c r="L37" i="32" s="1"/>
  <c r="K28" i="43"/>
  <c r="L28" i="43" s="1"/>
  <c r="K27" i="47"/>
  <c r="L27" i="47" s="1"/>
  <c r="F16" i="51"/>
  <c r="H16" i="51" s="1"/>
  <c r="I16" i="51" s="1"/>
  <c r="K27" i="48"/>
  <c r="L27" i="48" s="1"/>
  <c r="F16" i="52"/>
  <c r="H16" i="52" s="1"/>
  <c r="I16" i="52" s="1"/>
  <c r="K36" i="32"/>
  <c r="L36" i="32" s="1"/>
  <c r="K17" i="32"/>
  <c r="L17" i="32" s="1"/>
  <c r="I18" i="32"/>
  <c r="I27" i="32" s="1"/>
  <c r="K19" i="32"/>
  <c r="L19" i="32" s="1"/>
  <c r="I36" i="49"/>
  <c r="K35" i="49"/>
  <c r="L35" i="49" s="1"/>
  <c r="E36" i="49"/>
  <c r="E37" i="49" s="1"/>
  <c r="I35" i="48"/>
  <c r="E34" i="48"/>
  <c r="K34" i="48" s="1"/>
  <c r="E34" i="47"/>
  <c r="K34" i="47" s="1"/>
  <c r="I35" i="47"/>
  <c r="I36" i="47" s="1"/>
  <c r="E34" i="46"/>
  <c r="K34" i="46" s="1"/>
  <c r="K27" i="46"/>
  <c r="L27" i="46" s="1"/>
  <c r="I35" i="46"/>
  <c r="I36" i="46" s="1"/>
  <c r="I33" i="45"/>
  <c r="K26" i="45"/>
  <c r="L26" i="45" s="1"/>
  <c r="E34" i="45"/>
  <c r="E35" i="45" s="1"/>
  <c r="E35" i="44"/>
  <c r="I34" i="44"/>
  <c r="K27" i="44"/>
  <c r="L27" i="44" s="1"/>
  <c r="E36" i="43"/>
  <c r="E37" i="43" s="1"/>
  <c r="E37" i="42"/>
  <c r="E38" i="42" s="1"/>
  <c r="F25" i="52" s="1"/>
  <c r="I35" i="42"/>
  <c r="K35" i="42" s="1"/>
  <c r="L35" i="42" s="1"/>
  <c r="K34" i="42"/>
  <c r="L34" i="42" s="1"/>
  <c r="E34" i="41"/>
  <c r="K34" i="41" s="1"/>
  <c r="I35" i="41"/>
  <c r="K27" i="41"/>
  <c r="L27" i="41" s="1"/>
  <c r="E38" i="40"/>
  <c r="E39" i="40" s="1"/>
  <c r="I37" i="40"/>
  <c r="K28" i="40"/>
  <c r="L28" i="40" s="1"/>
  <c r="E34" i="39"/>
  <c r="I33" i="39"/>
  <c r="K26" i="39"/>
  <c r="L26" i="39" s="1"/>
  <c r="K27" i="38"/>
  <c r="L27" i="38" s="1"/>
  <c r="I34" i="38"/>
  <c r="E35" i="38"/>
  <c r="E36" i="38" s="1"/>
  <c r="E41" i="37"/>
  <c r="E42" i="37" s="1"/>
  <c r="I40" i="37"/>
  <c r="K31" i="37"/>
  <c r="L31" i="37" s="1"/>
  <c r="E40" i="36"/>
  <c r="K30" i="36"/>
  <c r="L30" i="36" s="1"/>
  <c r="I39" i="36"/>
  <c r="I40" i="35"/>
  <c r="K39" i="35"/>
  <c r="L39" i="35" s="1"/>
  <c r="E40" i="35"/>
  <c r="E41" i="35" s="1"/>
  <c r="E41" i="34"/>
  <c r="I41" i="34"/>
  <c r="I42" i="34" s="1"/>
  <c r="K40" i="34"/>
  <c r="L40" i="34" s="1"/>
  <c r="E27" i="32"/>
  <c r="E29" i="32"/>
  <c r="E32" i="32"/>
  <c r="E28" i="32"/>
  <c r="H28" i="32"/>
  <c r="I28" i="32" s="1"/>
  <c r="E31" i="32"/>
  <c r="H31" i="32"/>
  <c r="I31" i="32" s="1"/>
  <c r="E39" i="33"/>
  <c r="K27" i="33"/>
  <c r="L27" i="33" s="1"/>
  <c r="I30" i="33"/>
  <c r="G10" i="52" s="1"/>
  <c r="H10" i="52" s="1"/>
  <c r="I10" i="52" s="1"/>
  <c r="K35" i="43" l="1"/>
  <c r="L35" i="43" s="1"/>
  <c r="K18" i="32"/>
  <c r="L18" i="32" s="1"/>
  <c r="K28" i="32"/>
  <c r="L28" i="32" s="1"/>
  <c r="E38" i="49"/>
  <c r="E39" i="49" s="1"/>
  <c r="F28" i="53" s="1"/>
  <c r="K36" i="49"/>
  <c r="L36" i="49" s="1"/>
  <c r="I37" i="49"/>
  <c r="I36" i="48"/>
  <c r="L34" i="48"/>
  <c r="E35" i="48"/>
  <c r="I37" i="47"/>
  <c r="I38" i="47" s="1"/>
  <c r="G28" i="51" s="1"/>
  <c r="L34" i="47"/>
  <c r="E35" i="47"/>
  <c r="K35" i="47" s="1"/>
  <c r="I37" i="46"/>
  <c r="L34" i="46"/>
  <c r="E35" i="46"/>
  <c r="K35" i="46" s="1"/>
  <c r="E36" i="45"/>
  <c r="E37" i="45" s="1"/>
  <c r="F27" i="52" s="1"/>
  <c r="I34" i="45"/>
  <c r="K34" i="45" s="1"/>
  <c r="L34" i="45" s="1"/>
  <c r="K33" i="45"/>
  <c r="L33" i="45" s="1"/>
  <c r="I35" i="44"/>
  <c r="K35" i="44" s="1"/>
  <c r="L35" i="44" s="1"/>
  <c r="K34" i="44"/>
  <c r="L34" i="44" s="1"/>
  <c r="E36" i="44"/>
  <c r="E38" i="43"/>
  <c r="E39" i="43" s="1"/>
  <c r="F25" i="53" s="1"/>
  <c r="K36" i="43"/>
  <c r="L36" i="43" s="1"/>
  <c r="I37" i="43"/>
  <c r="I36" i="42"/>
  <c r="I37" i="42" s="1"/>
  <c r="I36" i="41"/>
  <c r="L34" i="41"/>
  <c r="E35" i="41"/>
  <c r="E36" i="41" s="1"/>
  <c r="E40" i="40"/>
  <c r="I38" i="40"/>
  <c r="K38" i="40" s="1"/>
  <c r="L38" i="40" s="1"/>
  <c r="K37" i="40"/>
  <c r="L37" i="40" s="1"/>
  <c r="I34" i="39"/>
  <c r="K34" i="39" s="1"/>
  <c r="L34" i="39" s="1"/>
  <c r="K33" i="39"/>
  <c r="L33" i="39" s="1"/>
  <c r="E35" i="39"/>
  <c r="E37" i="38"/>
  <c r="I35" i="38"/>
  <c r="K35" i="38" s="1"/>
  <c r="L35" i="38" s="1"/>
  <c r="K34" i="38"/>
  <c r="L34" i="38" s="1"/>
  <c r="E43" i="37"/>
  <c r="E44" i="37" s="1"/>
  <c r="F24" i="53" s="1"/>
  <c r="I41" i="37"/>
  <c r="K41" i="37" s="1"/>
  <c r="L41" i="37" s="1"/>
  <c r="K40" i="37"/>
  <c r="L40" i="37" s="1"/>
  <c r="I40" i="36"/>
  <c r="K40" i="36" s="1"/>
  <c r="L40" i="36" s="1"/>
  <c r="K39" i="36"/>
  <c r="L39" i="36" s="1"/>
  <c r="E41" i="36"/>
  <c r="E42" i="35"/>
  <c r="E43" i="35" s="1"/>
  <c r="F24" i="51" s="1"/>
  <c r="K40" i="35"/>
  <c r="L40" i="35" s="1"/>
  <c r="I41" i="35"/>
  <c r="I43" i="34"/>
  <c r="I44" i="34" s="1"/>
  <c r="G22" i="53" s="1"/>
  <c r="K41" i="34"/>
  <c r="L41" i="34" s="1"/>
  <c r="E42" i="34"/>
  <c r="E30" i="32"/>
  <c r="K32" i="32"/>
  <c r="L32" i="32" s="1"/>
  <c r="K31" i="32"/>
  <c r="L31" i="32" s="1"/>
  <c r="K29" i="32"/>
  <c r="L29" i="32" s="1"/>
  <c r="I39" i="33"/>
  <c r="K30" i="33"/>
  <c r="L30" i="33" s="1"/>
  <c r="E40" i="33"/>
  <c r="E41" i="33" s="1"/>
  <c r="K27" i="32"/>
  <c r="L27" i="32" s="1"/>
  <c r="I30" i="32"/>
  <c r="G10" i="51" s="1"/>
  <c r="E39" i="32" l="1"/>
  <c r="F10" i="51"/>
  <c r="H10" i="51" s="1"/>
  <c r="I10" i="51" s="1"/>
  <c r="K37" i="49"/>
  <c r="L37" i="49" s="1"/>
  <c r="I38" i="49"/>
  <c r="K38" i="49" s="1"/>
  <c r="L38" i="49" s="1"/>
  <c r="K35" i="48"/>
  <c r="L35" i="48" s="1"/>
  <c r="E36" i="48"/>
  <c r="K36" i="48" s="1"/>
  <c r="I37" i="48"/>
  <c r="L35" i="47"/>
  <c r="E36" i="47"/>
  <c r="L35" i="46"/>
  <c r="I38" i="46"/>
  <c r="G27" i="53" s="1"/>
  <c r="E36" i="46"/>
  <c r="I35" i="45"/>
  <c r="I36" i="44"/>
  <c r="K36" i="44" s="1"/>
  <c r="L36" i="44" s="1"/>
  <c r="E37" i="44"/>
  <c r="K37" i="43"/>
  <c r="L37" i="43" s="1"/>
  <c r="I38" i="43"/>
  <c r="K38" i="43" s="1"/>
  <c r="L38" i="43" s="1"/>
  <c r="K36" i="42"/>
  <c r="L36" i="42" s="1"/>
  <c r="K37" i="42"/>
  <c r="L37" i="42" s="1"/>
  <c r="I38" i="42"/>
  <c r="E37" i="41"/>
  <c r="I37" i="41"/>
  <c r="I38" i="41" s="1"/>
  <c r="G25" i="51" s="1"/>
  <c r="K36" i="41"/>
  <c r="L36" i="41" s="1"/>
  <c r="K35" i="41"/>
  <c r="L35" i="41" s="1"/>
  <c r="I39" i="40"/>
  <c r="E41" i="40"/>
  <c r="F26" i="53" s="1"/>
  <c r="I35" i="39"/>
  <c r="I36" i="39" s="1"/>
  <c r="E36" i="39"/>
  <c r="I36" i="38"/>
  <c r="K36" i="38" s="1"/>
  <c r="L36" i="38" s="1"/>
  <c r="E38" i="38"/>
  <c r="F26" i="51" s="1"/>
  <c r="I42" i="37"/>
  <c r="I41" i="36"/>
  <c r="K41" i="36" s="1"/>
  <c r="L41" i="36" s="1"/>
  <c r="E42" i="36"/>
  <c r="E43" i="36" s="1"/>
  <c r="F24" i="52" s="1"/>
  <c r="K41" i="35"/>
  <c r="L41" i="35" s="1"/>
  <c r="I42" i="35"/>
  <c r="K42" i="35" s="1"/>
  <c r="L42" i="35" s="1"/>
  <c r="E43" i="34"/>
  <c r="E44" i="34" s="1"/>
  <c r="F22" i="53" s="1"/>
  <c r="H22" i="53" s="1"/>
  <c r="I22" i="53" s="1"/>
  <c r="K42" i="34"/>
  <c r="L42" i="34" s="1"/>
  <c r="E42" i="33"/>
  <c r="E43" i="33" s="1"/>
  <c r="F22" i="52" s="1"/>
  <c r="I40" i="33"/>
  <c r="K40" i="33" s="1"/>
  <c r="L40" i="33" s="1"/>
  <c r="K39" i="33"/>
  <c r="L39" i="33" s="1"/>
  <c r="E40" i="32"/>
  <c r="E41" i="32" s="1"/>
  <c r="I39" i="32"/>
  <c r="K30" i="32"/>
  <c r="L30" i="32" s="1"/>
  <c r="K38" i="42" l="1"/>
  <c r="L38" i="42" s="1"/>
  <c r="G25" i="52"/>
  <c r="H25" i="52" s="1"/>
  <c r="I25" i="52" s="1"/>
  <c r="I37" i="38"/>
  <c r="K37" i="38" s="1"/>
  <c r="L37" i="38" s="1"/>
  <c r="I39" i="49"/>
  <c r="E37" i="48"/>
  <c r="K37" i="48" s="1"/>
  <c r="L36" i="48"/>
  <c r="I38" i="48"/>
  <c r="G28" i="52" s="1"/>
  <c r="E37" i="47"/>
  <c r="E38" i="47" s="1"/>
  <c r="F28" i="51" s="1"/>
  <c r="H28" i="51" s="1"/>
  <c r="I28" i="51" s="1"/>
  <c r="K36" i="47"/>
  <c r="L36" i="47" s="1"/>
  <c r="E37" i="46"/>
  <c r="E38" i="46" s="1"/>
  <c r="F27" i="53" s="1"/>
  <c r="H27" i="53" s="1"/>
  <c r="I27" i="53" s="1"/>
  <c r="K36" i="46"/>
  <c r="L36" i="46" s="1"/>
  <c r="K35" i="45"/>
  <c r="L35" i="45" s="1"/>
  <c r="I36" i="45"/>
  <c r="K36" i="45" s="1"/>
  <c r="L36" i="45" s="1"/>
  <c r="I37" i="44"/>
  <c r="K37" i="44" s="1"/>
  <c r="L37" i="44" s="1"/>
  <c r="E38" i="44"/>
  <c r="F27" i="51" s="1"/>
  <c r="I39" i="43"/>
  <c r="K37" i="41"/>
  <c r="L37" i="41" s="1"/>
  <c r="E38" i="41"/>
  <c r="K39" i="40"/>
  <c r="L39" i="40" s="1"/>
  <c r="I40" i="40"/>
  <c r="K40" i="40" s="1"/>
  <c r="L40" i="40" s="1"/>
  <c r="K35" i="39"/>
  <c r="L35" i="39" s="1"/>
  <c r="K36" i="39"/>
  <c r="L36" i="39" s="1"/>
  <c r="I37" i="39"/>
  <c r="G26" i="52" s="1"/>
  <c r="E37" i="39"/>
  <c r="F26" i="52" s="1"/>
  <c r="K42" i="37"/>
  <c r="L42" i="37" s="1"/>
  <c r="I43" i="37"/>
  <c r="K43" i="37" s="1"/>
  <c r="L43" i="37" s="1"/>
  <c r="I42" i="36"/>
  <c r="K42" i="36" s="1"/>
  <c r="L42" i="36" s="1"/>
  <c r="I43" i="35"/>
  <c r="K43" i="34"/>
  <c r="L43" i="34" s="1"/>
  <c r="K44" i="34"/>
  <c r="L44" i="34" s="1"/>
  <c r="I41" i="33"/>
  <c r="E42" i="32"/>
  <c r="E43" i="32" s="1"/>
  <c r="F22" i="51" s="1"/>
  <c r="K39" i="32"/>
  <c r="L39" i="32" s="1"/>
  <c r="I40" i="32"/>
  <c r="K40" i="32" s="1"/>
  <c r="L40" i="32" s="1"/>
  <c r="K38" i="41" l="1"/>
  <c r="L38" i="41" s="1"/>
  <c r="F25" i="51"/>
  <c r="H25" i="51" s="1"/>
  <c r="I25" i="51" s="1"/>
  <c r="K39" i="43"/>
  <c r="L39" i="43" s="1"/>
  <c r="G25" i="53"/>
  <c r="H25" i="53" s="1"/>
  <c r="I25" i="53" s="1"/>
  <c r="K39" i="49"/>
  <c r="L39" i="49" s="1"/>
  <c r="G28" i="53"/>
  <c r="H28" i="53" s="1"/>
  <c r="I28" i="53" s="1"/>
  <c r="H26" i="52"/>
  <c r="I26" i="52" s="1"/>
  <c r="K43" i="35"/>
  <c r="L43" i="35" s="1"/>
  <c r="G24" i="51"/>
  <c r="H24" i="51" s="1"/>
  <c r="I24" i="51" s="1"/>
  <c r="I38" i="38"/>
  <c r="E38" i="48"/>
  <c r="L37" i="48"/>
  <c r="K38" i="47"/>
  <c r="L38" i="47" s="1"/>
  <c r="K37" i="47"/>
  <c r="L37" i="47" s="1"/>
  <c r="K38" i="46"/>
  <c r="L38" i="46" s="1"/>
  <c r="K37" i="46"/>
  <c r="L37" i="46" s="1"/>
  <c r="I37" i="45"/>
  <c r="I38" i="44"/>
  <c r="I44" i="37"/>
  <c r="I41" i="40"/>
  <c r="K37" i="39"/>
  <c r="L37" i="39" s="1"/>
  <c r="I43" i="36"/>
  <c r="K41" i="33"/>
  <c r="L41" i="33" s="1"/>
  <c r="I42" i="33"/>
  <c r="K42" i="33" s="1"/>
  <c r="L42" i="33" s="1"/>
  <c r="I41" i="32"/>
  <c r="K41" i="32" s="1"/>
  <c r="L41" i="32" s="1"/>
  <c r="K43" i="36" l="1"/>
  <c r="L43" i="36" s="1"/>
  <c r="G24" i="52"/>
  <c r="H24" i="52" s="1"/>
  <c r="I24" i="52" s="1"/>
  <c r="K38" i="48"/>
  <c r="F28" i="52"/>
  <c r="H28" i="52" s="1"/>
  <c r="I28" i="52" s="1"/>
  <c r="K38" i="44"/>
  <c r="L38" i="44" s="1"/>
  <c r="G27" i="51"/>
  <c r="H27" i="51" s="1"/>
  <c r="I27" i="51" s="1"/>
  <c r="K38" i="38"/>
  <c r="L38" i="38" s="1"/>
  <c r="G26" i="51"/>
  <c r="H26" i="51" s="1"/>
  <c r="I26" i="51" s="1"/>
  <c r="K41" i="40"/>
  <c r="L41" i="40" s="1"/>
  <c r="G26" i="53"/>
  <c r="H26" i="53" s="1"/>
  <c r="I26" i="53" s="1"/>
  <c r="K37" i="45"/>
  <c r="L37" i="45" s="1"/>
  <c r="G27" i="52"/>
  <c r="H27" i="52" s="1"/>
  <c r="I27" i="52" s="1"/>
  <c r="K44" i="37"/>
  <c r="L44" i="37" s="1"/>
  <c r="G24" i="53"/>
  <c r="H24" i="53" s="1"/>
  <c r="I24" i="53" s="1"/>
  <c r="L38" i="48"/>
  <c r="I43" i="33"/>
  <c r="I42" i="32"/>
  <c r="K42" i="32" s="1"/>
  <c r="L42" i="32" s="1"/>
  <c r="K43" i="33" l="1"/>
  <c r="L43" i="33" s="1"/>
  <c r="G22" i="52"/>
  <c r="H22" i="52" s="1"/>
  <c r="I22" i="52" s="1"/>
  <c r="I43" i="32"/>
  <c r="K43" i="32" l="1"/>
  <c r="L43" i="32" s="1"/>
  <c r="G22" i="51"/>
  <c r="H22" i="51" s="1"/>
  <c r="I22" i="51" s="1"/>
</calcChain>
</file>

<file path=xl/sharedStrings.xml><?xml version="1.0" encoding="utf-8"?>
<sst xmlns="http://schemas.openxmlformats.org/spreadsheetml/2006/main" count="1325" uniqueCount="105">
  <si>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</si>
  <si>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</si>
  <si>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</si>
  <si>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</si>
  <si>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</si>
  <si>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</si>
  <si>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</si>
  <si>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</si>
  <si>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</si>
  <si>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</si>
  <si>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</si>
  <si>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</si>
  <si>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</si>
  <si>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</si>
  <si>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</si>
  <si>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</si>
  <si>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</si>
  <si>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General Service Less Than 50kW</t>
  </si>
  <si>
    <t>Standard Supply Service - Administrative Charge (if applicable)</t>
  </si>
  <si>
    <t>General Service 50kW to 4,999kW</t>
  </si>
  <si>
    <t xml:space="preserve">Unmetered Scattered Load </t>
  </si>
  <si>
    <t xml:space="preserve">Sentinel Lighting </t>
  </si>
  <si>
    <t>Service Charge</t>
  </si>
  <si>
    <t>Transformer Allowance for Ownership - per kW of billing demand/month</t>
  </si>
  <si>
    <t>Primary Metering Allowance for transformer losses - applied to measured demand and energy</t>
  </si>
  <si>
    <t>Total Loss Factor - Secondary Metered Customer &lt;5,000 kW</t>
  </si>
  <si>
    <t>Total Loss Factor - Primary Metered Customer &lt;5,000 kW</t>
  </si>
  <si>
    <t>Residential</t>
  </si>
  <si>
    <t>Allowances</t>
  </si>
  <si>
    <t>Volume / Demand</t>
  </si>
  <si>
    <t>HST</t>
  </si>
  <si>
    <t>OCEB</t>
  </si>
  <si>
    <t>Change</t>
  </si>
  <si>
    <t>Proposed</t>
  </si>
  <si>
    <t>Low Voltage Service Rate</t>
  </si>
  <si>
    <t>CNPI - Fort Erie Existing and Proposed Rates</t>
  </si>
  <si>
    <t>Rate Rider for Deferral/Variance Account Disposition (2013) - effective until December 31, 2014</t>
  </si>
  <si>
    <t>Rate Rider for Global Adjustment Sub-Account Disposition (2013) - effective until December 31, 2014 Applicable only for Non-RPP Customers</t>
  </si>
  <si>
    <t>Sub-Total A (excluding pass through)</t>
  </si>
  <si>
    <t>Line Losses on Cost of Power</t>
  </si>
  <si>
    <t>TOU - Off Peak</t>
  </si>
  <si>
    <t>TOU - Mid Peak</t>
  </si>
  <si>
    <t>TOU - On Peak</t>
  </si>
  <si>
    <t>Common Tariffs</t>
  </si>
  <si>
    <t>Fort Erie</t>
  </si>
  <si>
    <t>Gananoque</t>
  </si>
  <si>
    <t>Port Colborne</t>
  </si>
  <si>
    <t>Smart Meter Entity Charge</t>
  </si>
  <si>
    <t>micro FIT Generator</t>
  </si>
  <si>
    <t>Rate Rider for Recovery of Stranded Meter Assets - effective until December 31, 2014</t>
  </si>
  <si>
    <t>Rate Rider for Disposition of Residual Historical Smart meter Costs - effective until December 31, 2014</t>
  </si>
  <si>
    <t>Monthly Service Charge (per customer)</t>
  </si>
  <si>
    <t>Monthly Service Charge (per connection)</t>
  </si>
  <si>
    <t>CNPI - Gananoque Existing and Proposed Rates</t>
  </si>
  <si>
    <t>CNPI - Port Colborne Existing and Proposed Rates</t>
  </si>
  <si>
    <t>Rate Rider for the Disposition of Deferred PILs Variance Account 1562 - effective until December 31, 2016</t>
  </si>
  <si>
    <t>Rate Rider for Deferral/Variance Account Disposition (2014) - effective until December 31, 2014</t>
  </si>
  <si>
    <t>CNPI - Fort Erie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</si>
  <si>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</si>
  <si>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</si>
  <si>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</si>
  <si>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</si>
  <si>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</si>
  <si>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</si>
  <si>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</si>
  <si>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</si>
  <si>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Rate Rider for Disposition of Residual Historical Smart Meter Costs - effective until December 31, 2014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</si>
  <si>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</si>
  <si>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</si>
  <si>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</si>
  <si>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</si>
  <si>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</si>
  <si>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CNPI - Eastern Ontario Power</t>
  </si>
  <si>
    <t>CNPI - Port Colborne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</si>
  <si>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</si>
  <si>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</si>
  <si>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</si>
  <si>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</si>
  <si>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</si>
  <si>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</si>
  <si>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</si>
  <si>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</si>
  <si>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</si>
  <si>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GS&gt;50 kW</t>
  </si>
  <si>
    <t>USL</t>
  </si>
  <si>
    <t>Total Bill</t>
  </si>
  <si>
    <t>Canadian Niagara Power Inc.</t>
  </si>
  <si>
    <t>2015 4th Generation Incentive Rate-Setting</t>
  </si>
  <si>
    <t>Application</t>
  </si>
  <si>
    <t>2015 Distribution Bill Impact Module</t>
  </si>
  <si>
    <t>EB-2014-0061</t>
  </si>
  <si>
    <t>Proposed Rates
EB-2014-0061</t>
  </si>
  <si>
    <t>Approved Rates 
EB-2013-0117</t>
  </si>
  <si>
    <t>Rate Rider for Loss Revenue Adjustment Mechanism (LRAM) - effective until December 31, 2015</t>
  </si>
  <si>
    <t>August 13, 2014</t>
  </si>
  <si>
    <t>Selected Delivery Charge and Bill Impacts Per Application 
Fort Erie 2015</t>
  </si>
  <si>
    <t>Selected Delivery Charge and Bill Impacts Per Application
Gananoque 2015</t>
  </si>
  <si>
    <t>Selected Delivery Charge and Bill Impacts Per Application
Port Colborne 2015</t>
  </si>
  <si>
    <t>2015 Bill Impact</t>
  </si>
  <si>
    <t>Residential  RPP</t>
  </si>
  <si>
    <t>GS&lt;50 kW RPP</t>
  </si>
  <si>
    <t>Residential Non-RPP</t>
  </si>
  <si>
    <t>GS&lt;50 kW Non-RPP</t>
  </si>
  <si>
    <t>Rate Rider for Global Adjustment Sub-Account Disposition (2014) - effective until December 31, 2016 Applicable only for Non-RPP Customers</t>
  </si>
  <si>
    <t>Rate Rider for Deferral/Variance Account Disposition (2014) - effective until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</si>
</sst>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Font="1" applyFill="1"/>
    <xf numFmtId="165" fontId="0" fillId="0" borderId="0" xfId="1" applyNumberFormat="1" applyFont="1" applyFill="1"/>
    <xf numFmtId="0" fontId="0" fillId="0" borderId="0" xfId="0" applyFill="1"/>
    <xf numFmtId="9" fontId="0" fillId="0" borderId="0" xfId="2" applyFont="1" applyFill="1"/>
    <xf numFmtId="0" fontId="1" fillId="0" borderId="0" xfId="0" applyFont="1" applyAlignment="1">
      <alignment wrapText="1"/>
    </xf>
    <xf numFmtId="164" fontId="0" fillId="0" borderId="0" xfId="1" applyNumberFormat="1" applyFont="1"/>
    <xf numFmtId="167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170" fontId="0" fillId="2" borderId="2" xfId="1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3" applyFont="1"/>
    <xf numFmtId="0" fontId="9" fillId="0" borderId="14" xfId="3" applyFont="1" applyBorder="1" applyAlignment="1">
      <alignment horizontal="center"/>
    </xf>
    <xf numFmtId="0" fontId="9" fillId="4" borderId="4" xfId="3" applyFont="1" applyFill="1" applyBorder="1"/>
    <xf numFmtId="0" fontId="9" fillId="0" borderId="16" xfId="3" applyFont="1" applyBorder="1" applyAlignment="1">
      <alignment horizontal="center"/>
    </xf>
    <xf numFmtId="0" fontId="9" fillId="4" borderId="0" xfId="3" applyFont="1" applyFill="1" applyBorder="1"/>
    <xf numFmtId="0" fontId="9" fillId="0" borderId="5" xfId="3" applyFont="1" applyBorder="1"/>
    <xf numFmtId="0" fontId="9" fillId="0" borderId="17" xfId="3" applyFont="1" applyBorder="1"/>
    <xf numFmtId="0" fontId="9" fillId="4" borderId="18" xfId="3" applyFont="1" applyFill="1" applyBorder="1"/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/>
    <xf numFmtId="168" fontId="9" fillId="0" borderId="1" xfId="1" applyNumberFormat="1" applyFont="1" applyBorder="1"/>
    <xf numFmtId="0" fontId="9" fillId="4" borderId="1" xfId="3" applyFont="1" applyFill="1" applyBorder="1"/>
    <xf numFmtId="44" fontId="9" fillId="0" borderId="1" xfId="3" applyNumberFormat="1" applyFont="1" applyBorder="1"/>
    <xf numFmtId="166" fontId="9" fillId="0" borderId="2" xfId="3" applyNumberFormat="1" applyFont="1" applyBorder="1" applyAlignment="1">
      <alignment horizontal="center"/>
    </xf>
    <xf numFmtId="168" fontId="9" fillId="4" borderId="1" xfId="1" applyNumberFormat="1" applyFont="1" applyFill="1" applyBorder="1"/>
    <xf numFmtId="0" fontId="9" fillId="4" borderId="19" xfId="3" applyFont="1" applyFill="1" applyBorder="1"/>
    <xf numFmtId="168" fontId="9" fillId="4" borderId="0" xfId="1" applyNumberFormat="1" applyFont="1" applyFill="1" applyBorder="1"/>
    <xf numFmtId="44" fontId="9" fillId="4" borderId="0" xfId="3" applyNumberFormat="1" applyFont="1" applyFill="1" applyBorder="1"/>
    <xf numFmtId="166" fontId="9" fillId="4" borderId="20" xfId="3" applyNumberFormat="1" applyFont="1" applyFill="1" applyBorder="1" applyAlignment="1">
      <alignment horizontal="center"/>
    </xf>
    <xf numFmtId="0" fontId="9" fillId="0" borderId="6" xfId="3" applyFont="1" applyBorder="1"/>
    <xf numFmtId="168" fontId="9" fillId="0" borderId="8" xfId="1" applyNumberFormat="1" applyFont="1" applyBorder="1"/>
    <xf numFmtId="0" fontId="9" fillId="4" borderId="7" xfId="3" applyFont="1" applyFill="1" applyBorder="1"/>
    <xf numFmtId="44" fontId="9" fillId="0" borderId="8" xfId="3" applyNumberFormat="1" applyFont="1" applyBorder="1"/>
    <xf numFmtId="166" fontId="9" fillId="0" borderId="9" xfId="3" applyNumberFormat="1" applyFont="1" applyBorder="1" applyAlignment="1">
      <alignment horizontal="center"/>
    </xf>
    <xf numFmtId="170" fontId="0" fillId="0" borderId="1" xfId="0" applyNumberFormat="1" applyBorder="1"/>
    <xf numFmtId="170" fontId="0" fillId="3" borderId="1" xfId="0" applyNumberFormat="1" applyFill="1" applyBorder="1"/>
    <xf numFmtId="170" fontId="0" fillId="0" borderId="1" xfId="0" applyNumberFormat="1" applyFill="1" applyBorder="1"/>
    <xf numFmtId="0" fontId="5" fillId="0" borderId="0" xfId="0" applyFont="1" applyAlignment="1">
      <alignment horizontal="center"/>
    </xf>
    <xf numFmtId="168" fontId="9" fillId="0" borderId="17" xfId="3" applyNumberFormat="1" applyFont="1" applyBorder="1"/>
    <xf numFmtId="43" fontId="9" fillId="0" borderId="1" xfId="3" applyNumberFormat="1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164" fontId="9" fillId="0" borderId="1" xfId="1" applyNumberFormat="1" applyFont="1" applyBorder="1"/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wrapText="1"/>
    </xf>
    <xf numFmtId="0" fontId="9" fillId="0" borderId="15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15</xdr:row>
      <xdr:rowOff>123825</xdr:rowOff>
    </xdr:to>
    <xdr:pic>
      <xdr:nvPicPr>
        <xdr:cNvPr id="105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600200"/>
          <a:ext cx="3543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30"/>
  <sheetViews>
    <sheetView showGridLines="0" topLeftCell="A13" workbookViewId="0">
      <selection activeCell="G36" sqref="G36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102" t="s">
        <v>86</v>
      </c>
      <c r="C20" s="102"/>
      <c r="D20" s="102"/>
      <c r="E20" s="102"/>
      <c r="F20" s="102"/>
      <c r="G20" s="102"/>
      <c r="H20" s="102"/>
      <c r="I20" s="102"/>
    </row>
    <row r="21" spans="2:9" ht="33.75" x14ac:dyDescent="0.5">
      <c r="B21" s="102" t="s">
        <v>87</v>
      </c>
      <c r="C21" s="102"/>
      <c r="D21" s="102"/>
      <c r="E21" s="102"/>
      <c r="F21" s="102"/>
      <c r="G21" s="102"/>
      <c r="H21" s="102"/>
      <c r="I21" s="102"/>
    </row>
    <row r="22" spans="2:9" ht="33.75" x14ac:dyDescent="0.5">
      <c r="B22" s="102" t="s">
        <v>88</v>
      </c>
      <c r="C22" s="102"/>
      <c r="D22" s="102"/>
      <c r="E22" s="102"/>
      <c r="F22" s="102"/>
      <c r="G22" s="102"/>
      <c r="H22" s="102"/>
      <c r="I22" s="102"/>
    </row>
    <row r="23" spans="2:9" ht="33.75" x14ac:dyDescent="0.5">
      <c r="B23" s="94"/>
      <c r="C23" s="94"/>
      <c r="D23" s="94"/>
      <c r="E23" s="94"/>
      <c r="F23" s="94"/>
      <c r="G23" s="94"/>
      <c r="H23" s="94"/>
      <c r="I23" s="94"/>
    </row>
    <row r="24" spans="2:9" ht="33.75" x14ac:dyDescent="0.5">
      <c r="B24" s="102" t="s">
        <v>89</v>
      </c>
      <c r="C24" s="102"/>
      <c r="D24" s="102"/>
      <c r="E24" s="102"/>
      <c r="F24" s="102"/>
      <c r="G24" s="102"/>
      <c r="H24" s="102"/>
      <c r="I24" s="102"/>
    </row>
    <row r="28" spans="2:9" ht="33.75" x14ac:dyDescent="0.5">
      <c r="B28" s="102" t="s">
        <v>90</v>
      </c>
      <c r="C28" s="102"/>
      <c r="D28" s="102"/>
      <c r="E28" s="102"/>
      <c r="F28" s="102"/>
      <c r="G28" s="102"/>
      <c r="H28" s="102"/>
      <c r="I28" s="102"/>
    </row>
    <row r="29" spans="2:9" ht="33.75" x14ac:dyDescent="0.5">
      <c r="B29" s="102"/>
      <c r="C29" s="103"/>
      <c r="D29" s="103"/>
      <c r="E29" s="103"/>
      <c r="F29" s="103"/>
      <c r="G29" s="103"/>
      <c r="H29" s="103"/>
      <c r="I29" s="103"/>
    </row>
    <row r="30" spans="2:9" ht="33.75" x14ac:dyDescent="0.5">
      <c r="B30" s="100" t="s">
        <v>94</v>
      </c>
      <c r="C30" s="101"/>
      <c r="D30" s="101"/>
      <c r="E30" s="101"/>
      <c r="F30" s="101"/>
      <c r="G30" s="101"/>
      <c r="H30" s="101"/>
      <c r="I30" s="101"/>
    </row>
  </sheetData>
  <mergeCells count="7">
    <mergeCell ref="B30:I30"/>
    <mergeCell ref="B29:I29"/>
    <mergeCell ref="B20:I20"/>
    <mergeCell ref="B24:I24"/>
    <mergeCell ref="B21:I21"/>
    <mergeCell ref="B28:I28"/>
    <mergeCell ref="B22:I22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tabSelected="1" workbookViewId="0">
      <selection activeCell="G26" sqref="G26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Rates!B71</f>
        <v>Street Lighting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3600</v>
      </c>
    </row>
    <row r="7" spans="2:12" x14ac:dyDescent="0.2">
      <c r="B7" s="28" t="s">
        <v>68</v>
      </c>
      <c r="C7" s="29">
        <v>172000</v>
      </c>
    </row>
    <row r="8" spans="2:12" x14ac:dyDescent="0.2">
      <c r="B8" s="28" t="s">
        <v>69</v>
      </c>
      <c r="C8" s="62">
        <v>490</v>
      </c>
    </row>
    <row r="9" spans="2:12" ht="13.5" thickBot="1" x14ac:dyDescent="0.25">
      <c r="B9" s="30" t="s">
        <v>70</v>
      </c>
      <c r="C9" s="31">
        <f>IF(C8=0,"n/a",C7/(C8*24*365/12))</f>
        <v>0.48084987419625386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Rates!E72</f>
        <v>5.35</v>
      </c>
      <c r="D14" s="37">
        <f>C6</f>
        <v>3600</v>
      </c>
      <c r="E14" s="36">
        <f>C14*D14</f>
        <v>19260</v>
      </c>
      <c r="F14" s="45"/>
      <c r="G14" s="36">
        <f>Rates!I72</f>
        <v>5.05</v>
      </c>
      <c r="H14" s="37">
        <f>D14</f>
        <v>3600</v>
      </c>
      <c r="I14" s="36">
        <f>G14*H14</f>
        <v>18180</v>
      </c>
      <c r="J14" s="45"/>
      <c r="K14" s="36">
        <f>I14-E14</f>
        <v>-1080</v>
      </c>
      <c r="L14" s="47">
        <f>IF((E14)=0," ",K14/E14)</f>
        <v>-5.6074766355140186E-2</v>
      </c>
    </row>
    <row r="15" spans="2:12" x14ac:dyDescent="0.2">
      <c r="B15" s="44" t="str">
        <f>Rates!B7</f>
        <v>Distribution Volumetric Rate</v>
      </c>
      <c r="C15" s="25">
        <f>Rates!E73</f>
        <v>10.1196</v>
      </c>
      <c r="D15" s="38">
        <f>C8</f>
        <v>490</v>
      </c>
      <c r="E15" s="36">
        <f t="shared" ref="E15" si="0">C15*D15</f>
        <v>4958.6040000000003</v>
      </c>
      <c r="F15" s="45"/>
      <c r="G15" s="25">
        <f>Rates!I73</f>
        <v>10.5045</v>
      </c>
      <c r="H15" s="38">
        <f>D15</f>
        <v>490</v>
      </c>
      <c r="I15" s="36">
        <f t="shared" ref="I15" si="1">G15*H15</f>
        <v>5147.2049999999999</v>
      </c>
      <c r="J15" s="45"/>
      <c r="K15" s="36">
        <f t="shared" ref="K15:K38" si="2">I15-E15</f>
        <v>188.60099999999966</v>
      </c>
      <c r="L15" s="47">
        <f t="shared" ref="L15:L38" si="3">IF((E15)=0," ",K15/E15)</f>
        <v>3.8035100201588921E-2</v>
      </c>
    </row>
    <row r="16" spans="2:12" x14ac:dyDescent="0.2">
      <c r="B16" s="49" t="s">
        <v>38</v>
      </c>
      <c r="C16" s="50"/>
      <c r="D16" s="51"/>
      <c r="E16" s="52">
        <f>SUM(E14:E15)</f>
        <v>24218.603999999999</v>
      </c>
      <c r="F16" s="53"/>
      <c r="G16" s="50"/>
      <c r="H16" s="51"/>
      <c r="I16" s="52">
        <f>SUM(I14:I15)</f>
        <v>23327.205000000002</v>
      </c>
      <c r="J16" s="53"/>
      <c r="K16" s="54">
        <f t="shared" si="2"/>
        <v>-891.39899999999761</v>
      </c>
      <c r="L16" s="55">
        <f t="shared" si="3"/>
        <v>-3.680637414113537E-2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9322.4000000000051</v>
      </c>
      <c r="E17" s="36">
        <f t="shared" ref="E17:E23" si="4">C17*D17</f>
        <v>782.14936000000046</v>
      </c>
      <c r="F17" s="45"/>
      <c r="G17" s="25">
        <f>Rates!I275</f>
        <v>8.3900000000000002E-2</v>
      </c>
      <c r="H17" s="40">
        <f>(C5-1)*C7</f>
        <v>9322.4000000000051</v>
      </c>
      <c r="I17" s="36">
        <f t="shared" ref="I17:I23" si="5">G17*H17</f>
        <v>782.14936000000046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Rates!E75</f>
        <v>0.13650000000000001</v>
      </c>
      <c r="D18" s="37">
        <f>C8</f>
        <v>490</v>
      </c>
      <c r="E18" s="36">
        <f t="shared" si="4"/>
        <v>66.885000000000005</v>
      </c>
      <c r="F18" s="45"/>
      <c r="G18" s="25">
        <f>Rates!I75</f>
        <v>0</v>
      </c>
      <c r="H18" s="37">
        <f t="shared" ref="H18:H23" si="6">D18</f>
        <v>490</v>
      </c>
      <c r="I18" s="36">
        <f t="shared" si="5"/>
        <v>0</v>
      </c>
      <c r="J18" s="45"/>
      <c r="K18" s="36">
        <f t="shared" si="2"/>
        <v>-66.885000000000005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Rates!E76</f>
        <v>0.61319999999999997</v>
      </c>
      <c r="D19" s="37">
        <f>C8</f>
        <v>490</v>
      </c>
      <c r="E19" s="36">
        <f t="shared" si="4"/>
        <v>300.46799999999996</v>
      </c>
      <c r="F19" s="45"/>
      <c r="G19" s="25">
        <f>Rates!I76</f>
        <v>0</v>
      </c>
      <c r="H19" s="37">
        <f t="shared" si="6"/>
        <v>490</v>
      </c>
      <c r="I19" s="36">
        <f t="shared" si="5"/>
        <v>0</v>
      </c>
      <c r="J19" s="45"/>
      <c r="K19" s="36">
        <f t="shared" si="2"/>
        <v>-300.46799999999996</v>
      </c>
      <c r="L19" s="47">
        <f t="shared" si="3"/>
        <v>-1</v>
      </c>
    </row>
    <row r="20" spans="2:12" x14ac:dyDescent="0.2">
      <c r="B20" s="48" t="str">
        <f>Rates!B78</f>
        <v>Rate Rider for Deferral/Variance Account Disposition (2014) - effective until December 31, 2016</v>
      </c>
      <c r="C20" s="25">
        <f>Rates!E78</f>
        <v>0</v>
      </c>
      <c r="D20" s="37">
        <f>C8</f>
        <v>490</v>
      </c>
      <c r="E20" s="36">
        <f t="shared" si="4"/>
        <v>0</v>
      </c>
      <c r="F20" s="45"/>
      <c r="G20" s="25">
        <f>Rates!I78</f>
        <v>0.24560000000000001</v>
      </c>
      <c r="H20" s="37">
        <f t="shared" si="6"/>
        <v>490</v>
      </c>
      <c r="I20" s="36">
        <f t="shared" si="5"/>
        <v>120.34400000000001</v>
      </c>
      <c r="J20" s="45"/>
      <c r="K20" s="36">
        <f t="shared" ref="K20:K22" si="7">I20-E20</f>
        <v>120.34400000000001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Rates!B79</f>
        <v>Rate Rider for Global Adjustment Sub-Account Disposition (2014) - effective until December 31, 2016 Applicable only for Non-RPP Customers</v>
      </c>
      <c r="C21" s="25">
        <f>Rates!E79</f>
        <v>0</v>
      </c>
      <c r="D21" s="37">
        <f>C8</f>
        <v>490</v>
      </c>
      <c r="E21" s="36">
        <f t="shared" si="4"/>
        <v>0</v>
      </c>
      <c r="F21" s="45"/>
      <c r="G21" s="25">
        <f>Rates!I79</f>
        <v>-0.76700000000000002</v>
      </c>
      <c r="H21" s="37">
        <f t="shared" si="6"/>
        <v>490</v>
      </c>
      <c r="I21" s="36">
        <f t="shared" si="5"/>
        <v>-375.83</v>
      </c>
      <c r="J21" s="45"/>
      <c r="K21" s="36">
        <f t="shared" si="7"/>
        <v>-375.83</v>
      </c>
      <c r="L21" s="47" t="str">
        <f t="shared" si="8"/>
        <v xml:space="preserve"> </v>
      </c>
    </row>
    <row r="22" spans="2:12" x14ac:dyDescent="0.2">
      <c r="B22" s="48" t="str">
        <f>Rates!B80</f>
        <v>Rate Rider for Loss Revenue Adjustment Mechanism (LRAM) - effective until December 31, 2015</v>
      </c>
      <c r="C22" s="25">
        <f>Rates!E80</f>
        <v>0</v>
      </c>
      <c r="D22" s="37">
        <f>C8</f>
        <v>490</v>
      </c>
      <c r="E22" s="36">
        <f t="shared" si="4"/>
        <v>0</v>
      </c>
      <c r="F22" s="45"/>
      <c r="G22" s="25">
        <f>Rates!I80</f>
        <v>0</v>
      </c>
      <c r="H22" s="37">
        <f t="shared" si="6"/>
        <v>490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Rates!E74</f>
        <v>5.0700000000000002E-2</v>
      </c>
      <c r="D23" s="37">
        <f>C8</f>
        <v>490</v>
      </c>
      <c r="E23" s="36">
        <f t="shared" si="4"/>
        <v>24.843</v>
      </c>
      <c r="F23" s="45"/>
      <c r="G23" s="25">
        <f>Rates!I74</f>
        <v>5.0700000000000002E-2</v>
      </c>
      <c r="H23" s="37">
        <f t="shared" si="6"/>
        <v>490</v>
      </c>
      <c r="I23" s="36">
        <f t="shared" si="5"/>
        <v>24.843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25392.949359999999</v>
      </c>
      <c r="F24" s="53"/>
      <c r="G24" s="50"/>
      <c r="H24" s="51"/>
      <c r="I24" s="52">
        <f>SUM(I16:I23)</f>
        <v>23878.711360000001</v>
      </c>
      <c r="J24" s="53"/>
      <c r="K24" s="54">
        <f t="shared" si="2"/>
        <v>-1514.2379999999976</v>
      </c>
      <c r="L24" s="55">
        <f t="shared" si="3"/>
        <v>-5.9632222257146962E-2</v>
      </c>
    </row>
    <row r="25" spans="2:12" x14ac:dyDescent="0.2">
      <c r="B25" s="44" t="str">
        <f>Rates!B16</f>
        <v>Retail Transmission Rate - Network Service Rate</v>
      </c>
      <c r="C25" s="25">
        <f>Rates!E81</f>
        <v>1.8801000000000001</v>
      </c>
      <c r="D25" s="37">
        <f>C8</f>
        <v>490</v>
      </c>
      <c r="E25" s="36">
        <f>C25*D25</f>
        <v>921.24900000000002</v>
      </c>
      <c r="F25" s="45"/>
      <c r="G25" s="25">
        <f>Rates!I81</f>
        <v>1.9658</v>
      </c>
      <c r="H25" s="37">
        <f>D25</f>
        <v>490</v>
      </c>
      <c r="I25" s="36">
        <f>G25*H25</f>
        <v>963.24199999999996</v>
      </c>
      <c r="J25" s="45"/>
      <c r="K25" s="36">
        <f t="shared" si="2"/>
        <v>41.992999999999938</v>
      </c>
      <c r="L25" s="47">
        <f t="shared" si="3"/>
        <v>4.5582681772246086E-2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Rates!E82</f>
        <v>1.4765999999999999</v>
      </c>
      <c r="D26" s="37">
        <f>C8</f>
        <v>490</v>
      </c>
      <c r="E26" s="36">
        <f>C26*D26</f>
        <v>723.53399999999999</v>
      </c>
      <c r="F26" s="45"/>
      <c r="G26" s="25">
        <f>Rates!I82</f>
        <v>1.5546</v>
      </c>
      <c r="H26" s="37">
        <f>D26</f>
        <v>490</v>
      </c>
      <c r="I26" s="36">
        <f>G26*H26</f>
        <v>761.75400000000002</v>
      </c>
      <c r="J26" s="45"/>
      <c r="K26" s="36">
        <f t="shared" si="2"/>
        <v>38.220000000000027</v>
      </c>
      <c r="L26" s="47">
        <f t="shared" si="3"/>
        <v>5.2824055262088623E-2</v>
      </c>
    </row>
    <row r="27" spans="2:12" x14ac:dyDescent="0.2">
      <c r="B27" s="49" t="s">
        <v>62</v>
      </c>
      <c r="C27" s="50"/>
      <c r="D27" s="51"/>
      <c r="E27" s="52">
        <f>SUM(E24:E26)</f>
        <v>27037.732359999998</v>
      </c>
      <c r="F27" s="53"/>
      <c r="G27" s="50"/>
      <c r="H27" s="52"/>
      <c r="I27" s="52">
        <f>SUM(I24:I26)</f>
        <v>25603.70736</v>
      </c>
      <c r="J27" s="53"/>
      <c r="K27" s="54">
        <f t="shared" si="2"/>
        <v>-1434.0249999999978</v>
      </c>
      <c r="L27" s="55">
        <f t="shared" si="3"/>
        <v>-5.3037916823287838E-2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181322.4</v>
      </c>
      <c r="E28" s="36">
        <f t="shared" ref="E28:E32" si="9">C28*D28</f>
        <v>797.81856000000005</v>
      </c>
      <c r="F28" s="45"/>
      <c r="G28" s="25">
        <f>Rates!I253</f>
        <v>4.4000000000000003E-3</v>
      </c>
      <c r="H28" s="37">
        <f>D28</f>
        <v>181322.4</v>
      </c>
      <c r="I28" s="36">
        <f t="shared" ref="I28:I32" si="10">G28*H28</f>
        <v>797.81856000000005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181322.4</v>
      </c>
      <c r="E29" s="36">
        <f t="shared" si="9"/>
        <v>217.58687999999998</v>
      </c>
      <c r="F29" s="45"/>
      <c r="G29" s="25">
        <f>Rates!I254</f>
        <v>1.1999999999999999E-3</v>
      </c>
      <c r="H29" s="37">
        <f t="shared" ref="H29:H30" si="11">D29</f>
        <v>181322.4</v>
      </c>
      <c r="I29" s="36">
        <f t="shared" si="10"/>
        <v>217.58687999999998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Rates!E259</f>
        <v>0</v>
      </c>
      <c r="D31" s="37">
        <f>C7</f>
        <v>172000</v>
      </c>
      <c r="E31" s="36">
        <f t="shared" si="9"/>
        <v>0</v>
      </c>
      <c r="F31" s="45"/>
      <c r="G31" s="25">
        <f>Rates!I259</f>
        <v>0</v>
      </c>
      <c r="H31" s="37">
        <f>D31</f>
        <v>172000</v>
      </c>
      <c r="I31" s="36">
        <f t="shared" si="10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</f>
        <v>172000</v>
      </c>
      <c r="E32" s="36">
        <f t="shared" si="9"/>
        <v>14430.800000000001</v>
      </c>
      <c r="F32" s="45"/>
      <c r="G32" s="25">
        <f>Rates!I275</f>
        <v>8.3900000000000002E-2</v>
      </c>
      <c r="H32" s="37">
        <f>D32</f>
        <v>172000</v>
      </c>
      <c r="I32" s="36">
        <f t="shared" si="10"/>
        <v>14430.800000000001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42484.1878</v>
      </c>
      <c r="F34" s="45"/>
      <c r="G34" s="35"/>
      <c r="H34" s="39"/>
      <c r="I34" s="39">
        <f>SUM(I27:I32)</f>
        <v>41050.162799999998</v>
      </c>
      <c r="J34" s="45"/>
      <c r="K34" s="36">
        <f t="shared" si="2"/>
        <v>-1434.0250000000015</v>
      </c>
      <c r="L34" s="47">
        <f t="shared" si="3"/>
        <v>-3.3754323061343815E-2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5522.9444140000005</v>
      </c>
      <c r="F35" s="45"/>
      <c r="G35" s="41">
        <f>Rates!I277</f>
        <v>0.13</v>
      </c>
      <c r="H35" s="35"/>
      <c r="I35" s="42">
        <f>I34*G35</f>
        <v>5336.5211639999998</v>
      </c>
      <c r="J35" s="45"/>
      <c r="K35" s="36">
        <f t="shared" si="2"/>
        <v>-186.42325000000073</v>
      </c>
      <c r="L35" s="47">
        <f t="shared" si="3"/>
        <v>-3.3754323061343905E-2</v>
      </c>
    </row>
    <row r="36" spans="2:12" x14ac:dyDescent="0.2">
      <c r="B36" s="23" t="s">
        <v>64</v>
      </c>
      <c r="C36" s="35"/>
      <c r="D36" s="35"/>
      <c r="E36" s="42">
        <f>E34+E35</f>
        <v>48007.132213999997</v>
      </c>
      <c r="F36" s="45"/>
      <c r="G36" s="35"/>
      <c r="H36" s="35"/>
      <c r="I36" s="42">
        <f>I34+I35</f>
        <v>46386.683963999996</v>
      </c>
      <c r="J36" s="45"/>
      <c r="K36" s="36">
        <f t="shared" si="2"/>
        <v>-1620.4482500000013</v>
      </c>
      <c r="L36" s="47">
        <f t="shared" si="3"/>
        <v>-3.3754323061343808E-2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-4800.7132214000003</v>
      </c>
      <c r="F37" s="45"/>
      <c r="G37" s="41">
        <f>Rates!I279</f>
        <v>-0.1</v>
      </c>
      <c r="H37" s="35"/>
      <c r="I37" s="42">
        <f>I36*G37</f>
        <v>-4638.6683963999994</v>
      </c>
      <c r="J37" s="45"/>
      <c r="K37" s="36">
        <f t="shared" si="2"/>
        <v>162.04482500000086</v>
      </c>
      <c r="L37" s="47">
        <f t="shared" si="3"/>
        <v>-3.3754323061343953E-2</v>
      </c>
    </row>
    <row r="38" spans="2:12" ht="13.5" thickBot="1" x14ac:dyDescent="0.25">
      <c r="B38" s="30" t="s">
        <v>65</v>
      </c>
      <c r="C38" s="57"/>
      <c r="D38" s="57"/>
      <c r="E38" s="58">
        <f>E36+E37</f>
        <v>43206.418992599996</v>
      </c>
      <c r="F38" s="59"/>
      <c r="G38" s="57"/>
      <c r="H38" s="57"/>
      <c r="I38" s="58">
        <f>I36+I37</f>
        <v>41748.015567599999</v>
      </c>
      <c r="J38" s="59"/>
      <c r="K38" s="60">
        <f t="shared" si="2"/>
        <v>-1458.4034249999968</v>
      </c>
      <c r="L38" s="61">
        <f t="shared" si="3"/>
        <v>-3.3754323061343704E-2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3"/>
  <sheetViews>
    <sheetView showGridLines="0" topLeftCell="A4" workbookViewId="0">
      <selection activeCell="G23" sqref="G2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Rates!B87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Rates!E88</f>
        <v>18.940000000000001</v>
      </c>
      <c r="D14" s="37">
        <f>C6</f>
        <v>1</v>
      </c>
      <c r="E14" s="36">
        <f>C14*D14</f>
        <v>18.940000000000001</v>
      </c>
      <c r="F14" s="45"/>
      <c r="G14" s="36">
        <f>Rates!I88</f>
        <v>19.45</v>
      </c>
      <c r="H14" s="37">
        <f>D14</f>
        <v>1</v>
      </c>
      <c r="I14" s="36">
        <f>G14*H14</f>
        <v>19.45</v>
      </c>
      <c r="J14" s="45"/>
      <c r="K14" s="36">
        <f>I14-E14</f>
        <v>0.50999999999999801</v>
      </c>
      <c r="L14" s="47">
        <f>IF((E14)=0," ",K14/E14)</f>
        <v>2.6927138331573282E-2</v>
      </c>
    </row>
    <row r="15" spans="2:12" x14ac:dyDescent="0.2">
      <c r="B15" s="44" t="str">
        <f>Rates!B7</f>
        <v>Distribution Volumetric Rate</v>
      </c>
      <c r="C15" s="25">
        <f>Rates!E89</f>
        <v>2.01E-2</v>
      </c>
      <c r="D15" s="38">
        <f>C7</f>
        <v>800</v>
      </c>
      <c r="E15" s="36">
        <f t="shared" ref="E15:E17" si="0">C15*D15</f>
        <v>16.079999999999998</v>
      </c>
      <c r="F15" s="45"/>
      <c r="G15" s="25">
        <f>Rates!I89</f>
        <v>2.0199999999999999E-2</v>
      </c>
      <c r="H15" s="38">
        <f>D15</f>
        <v>800</v>
      </c>
      <c r="I15" s="36">
        <f t="shared" ref="I15:I17" si="1">G15*H15</f>
        <v>16.16</v>
      </c>
      <c r="J15" s="45"/>
      <c r="K15" s="36">
        <f t="shared" ref="K15:K43" si="2">I15-E15</f>
        <v>8.0000000000001847E-2</v>
      </c>
      <c r="L15" s="47">
        <f t="shared" ref="L15:L43" si="3">IF((E15)=0," ",K15/E15)</f>
        <v>4.975124378109568E-3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Rates!E90</f>
        <v>1.04</v>
      </c>
      <c r="D16" s="37">
        <f>C6</f>
        <v>1</v>
      </c>
      <c r="E16" s="36">
        <f t="shared" si="0"/>
        <v>1.04</v>
      </c>
      <c r="F16" s="45"/>
      <c r="G16" s="36">
        <f>Rates!I90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-1.04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Rates!E91</f>
        <v>1.5</v>
      </c>
      <c r="D17" s="37">
        <f>C6</f>
        <v>1</v>
      </c>
      <c r="E17" s="36">
        <f t="shared" si="0"/>
        <v>1.5</v>
      </c>
      <c r="F17" s="45"/>
      <c r="G17" s="36">
        <f>Rates!I91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-1.5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37.559999999999995</v>
      </c>
      <c r="F18" s="53"/>
      <c r="G18" s="50"/>
      <c r="H18" s="51"/>
      <c r="I18" s="52">
        <f>SUM(I14:I17)</f>
        <v>35.61</v>
      </c>
      <c r="J18" s="53"/>
      <c r="K18" s="54">
        <f t="shared" si="2"/>
        <v>-1.9499999999999957</v>
      </c>
      <c r="L18" s="55">
        <f t="shared" si="3"/>
        <v>-5.1916932907348133E-2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6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6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Rates!E93</f>
        <v>-8.9999999999999998E-4</v>
      </c>
      <c r="D20" s="37">
        <f>C7</f>
        <v>800</v>
      </c>
      <c r="E20" s="36">
        <f t="shared" si="5"/>
        <v>-0.72</v>
      </c>
      <c r="F20" s="45"/>
      <c r="G20" s="25">
        <f>Rates!I93</f>
        <v>0</v>
      </c>
      <c r="H20" s="37">
        <f t="shared" ref="H20:H26" si="7">D20</f>
        <v>800</v>
      </c>
      <c r="I20" s="36">
        <f t="shared" si="6"/>
        <v>0</v>
      </c>
      <c r="J20" s="45"/>
      <c r="K20" s="36">
        <f t="shared" si="2"/>
        <v>0.72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Rates!E94</f>
        <v>2.0999999999999999E-3</v>
      </c>
      <c r="D21" s="37">
        <f>C7</f>
        <v>800</v>
      </c>
      <c r="E21" s="36">
        <f t="shared" si="5"/>
        <v>1.68</v>
      </c>
      <c r="F21" s="45"/>
      <c r="G21" s="25">
        <f>Rates!I94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-1.68</v>
      </c>
      <c r="L21" s="47">
        <f t="shared" si="3"/>
        <v>-1</v>
      </c>
    </row>
    <row r="22" spans="2:12" x14ac:dyDescent="0.2">
      <c r="B22" s="48" t="str">
        <f>Rates!B95</f>
        <v>Rate Rider for Deferral/Variance Account Disposition (2014) - effective until December 31, 2016</v>
      </c>
      <c r="C22" s="25">
        <f>Rates!E95</f>
        <v>0</v>
      </c>
      <c r="D22" s="37">
        <f>C7</f>
        <v>800</v>
      </c>
      <c r="E22" s="36">
        <f t="shared" si="5"/>
        <v>0</v>
      </c>
      <c r="F22" s="45"/>
      <c r="G22" s="25">
        <f>Rates!I95</f>
        <v>2.9999999999999997E-4</v>
      </c>
      <c r="H22" s="37">
        <f t="shared" si="7"/>
        <v>800</v>
      </c>
      <c r="I22" s="36">
        <f t="shared" si="6"/>
        <v>0.24</v>
      </c>
      <c r="J22" s="45"/>
      <c r="K22" s="36">
        <f t="shared" si="2"/>
        <v>0.24</v>
      </c>
      <c r="L22" s="47" t="str">
        <f t="shared" si="3"/>
        <v xml:space="preserve"> </v>
      </c>
    </row>
    <row r="23" spans="2:12" ht="25.5" x14ac:dyDescent="0.2">
      <c r="B23" s="48" t="str">
        <f>Rates!B96</f>
        <v>Rate Rider for Global Adjustment Sub-Account Disposition (2014) - effective until December 31, 2016 Applicable only for Non-RPP Customers</v>
      </c>
      <c r="C23" s="25">
        <f>Rates!E96</f>
        <v>0</v>
      </c>
      <c r="D23" s="37">
        <f>C7</f>
        <v>800</v>
      </c>
      <c r="E23" s="36">
        <f t="shared" si="5"/>
        <v>0</v>
      </c>
      <c r="F23" s="45"/>
      <c r="G23" s="25"/>
      <c r="H23" s="37">
        <f t="shared" si="7"/>
        <v>800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8" t="str">
        <f>Rates!B97</f>
        <v>Rate Rider for Loss Revenue Adjustment Mechanism (LRAM) - effective until December 31, 2015</v>
      </c>
      <c r="C24" s="25">
        <f>Rates!E97</f>
        <v>0</v>
      </c>
      <c r="D24" s="37">
        <f>C7</f>
        <v>800</v>
      </c>
      <c r="E24" s="36">
        <f t="shared" si="5"/>
        <v>0</v>
      </c>
      <c r="F24" s="45"/>
      <c r="G24" s="25">
        <f>Rates!I97</f>
        <v>1E-4</v>
      </c>
      <c r="H24" s="37">
        <f t="shared" si="7"/>
        <v>800</v>
      </c>
      <c r="I24" s="36">
        <f t="shared" si="6"/>
        <v>0.08</v>
      </c>
      <c r="J24" s="45"/>
      <c r="K24" s="36">
        <f t="shared" si="2"/>
        <v>0.08</v>
      </c>
      <c r="L24" s="47" t="str">
        <f t="shared" si="3"/>
        <v xml:space="preserve"> </v>
      </c>
    </row>
    <row r="25" spans="2:12" x14ac:dyDescent="0.2">
      <c r="B25" s="44" t="str">
        <f>Rates!B10</f>
        <v>Low Voltage Service Rate</v>
      </c>
      <c r="C25" s="25">
        <f>Rates!E92</f>
        <v>2.0000000000000001E-4</v>
      </c>
      <c r="D25" s="37">
        <f>C7</f>
        <v>800</v>
      </c>
      <c r="E25" s="36">
        <f t="shared" si="5"/>
        <v>0.16</v>
      </c>
      <c r="F25" s="45"/>
      <c r="G25" s="25">
        <f>Rates!I92</f>
        <v>2.0000000000000001E-4</v>
      </c>
      <c r="H25" s="37">
        <f t="shared" si="7"/>
        <v>800</v>
      </c>
      <c r="I25" s="36">
        <f t="shared" si="6"/>
        <v>0.16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43.107903999999991</v>
      </c>
      <c r="F27" s="53"/>
      <c r="G27" s="50"/>
      <c r="H27" s="51"/>
      <c r="I27" s="52">
        <f>SUM(I18:I26)</f>
        <v>40.517903999999994</v>
      </c>
      <c r="J27" s="53"/>
      <c r="K27" s="54">
        <f t="shared" si="2"/>
        <v>-2.5899999999999963</v>
      </c>
      <c r="L27" s="55">
        <f t="shared" si="3"/>
        <v>-6.008178917722367E-2</v>
      </c>
    </row>
    <row r="28" spans="2:12" x14ac:dyDescent="0.2">
      <c r="B28" s="44" t="str">
        <f>Rates!B16</f>
        <v>Retail Transmission Rate - Network Service Rate</v>
      </c>
      <c r="C28" s="25">
        <f>Rates!E98</f>
        <v>7.0000000000000001E-3</v>
      </c>
      <c r="D28" s="37">
        <f>C7*C5</f>
        <v>843.36</v>
      </c>
      <c r="E28" s="36">
        <f>C28*D28</f>
        <v>5.9035200000000003</v>
      </c>
      <c r="F28" s="45"/>
      <c r="G28" s="25">
        <f>Rates!I98</f>
        <v>7.3000000000000001E-3</v>
      </c>
      <c r="H28" s="37">
        <f>D28</f>
        <v>843.36</v>
      </c>
      <c r="I28" s="36">
        <f>G28*H28</f>
        <v>6.1565279999999998</v>
      </c>
      <c r="J28" s="45"/>
      <c r="K28" s="36">
        <f t="shared" si="2"/>
        <v>0.25300799999999946</v>
      </c>
      <c r="L28" s="47">
        <f t="shared" si="3"/>
        <v>4.285714285714276E-2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Rates!E99</f>
        <v>5.4000000000000003E-3</v>
      </c>
      <c r="D29" s="37">
        <f>C7*C5</f>
        <v>843.36</v>
      </c>
      <c r="E29" s="36">
        <f>C29*D29</f>
        <v>4.554144</v>
      </c>
      <c r="F29" s="45"/>
      <c r="G29" s="25">
        <f>Rates!I99</f>
        <v>5.7000000000000002E-3</v>
      </c>
      <c r="H29" s="37">
        <f>D29</f>
        <v>843.36</v>
      </c>
      <c r="I29" s="36">
        <f>G29*H29</f>
        <v>4.8071520000000003</v>
      </c>
      <c r="J29" s="45"/>
      <c r="K29" s="36">
        <f t="shared" si="2"/>
        <v>0.25300800000000034</v>
      </c>
      <c r="L29" s="47">
        <f t="shared" si="3"/>
        <v>5.5555555555555629E-2</v>
      </c>
    </row>
    <row r="30" spans="2:12" x14ac:dyDescent="0.2">
      <c r="B30" s="49" t="s">
        <v>62</v>
      </c>
      <c r="C30" s="50"/>
      <c r="D30" s="51"/>
      <c r="E30" s="52">
        <f>SUM(E27:E29)</f>
        <v>53.565567999999992</v>
      </c>
      <c r="F30" s="53"/>
      <c r="G30" s="50"/>
      <c r="H30" s="52"/>
      <c r="I30" s="52">
        <f>SUM(I27:I29)</f>
        <v>51.481583999999998</v>
      </c>
      <c r="J30" s="53"/>
      <c r="K30" s="54">
        <f t="shared" si="2"/>
        <v>-2.0839839999999938</v>
      </c>
      <c r="L30" s="55">
        <f t="shared" si="3"/>
        <v>-3.8905290801732828E-2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843.36</v>
      </c>
      <c r="E31" s="36">
        <f t="shared" ref="E31:E37" si="8">C31*D31</f>
        <v>3.7107840000000003</v>
      </c>
      <c r="F31" s="45"/>
      <c r="G31" s="25">
        <f>Rates!I253</f>
        <v>4.4000000000000003E-3</v>
      </c>
      <c r="H31" s="37">
        <f>D31</f>
        <v>843.36</v>
      </c>
      <c r="I31" s="36">
        <f t="shared" ref="I31:I37" si="9">G31*H31</f>
        <v>3.7107840000000003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843.36</v>
      </c>
      <c r="E32" s="36">
        <f t="shared" si="8"/>
        <v>1.0120319999999998</v>
      </c>
      <c r="F32" s="45"/>
      <c r="G32" s="25">
        <f>Rates!I254</f>
        <v>1.1999999999999999E-3</v>
      </c>
      <c r="H32" s="37">
        <f t="shared" ref="H32:H33" si="10">D32</f>
        <v>843.36</v>
      </c>
      <c r="I32" s="36">
        <f t="shared" si="9"/>
        <v>1.0120319999999998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8"/>
        <v>0.25</v>
      </c>
      <c r="F33" s="45"/>
      <c r="G33" s="36">
        <f>Rates!I255</f>
        <v>0.25</v>
      </c>
      <c r="H33" s="37">
        <f t="shared" si="10"/>
        <v>1</v>
      </c>
      <c r="I33" s="36">
        <f t="shared" si="9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Rates!E260</f>
        <v>5.1000000000000004E-3</v>
      </c>
      <c r="D34" s="37">
        <f>C7</f>
        <v>800</v>
      </c>
      <c r="E34" s="36">
        <f t="shared" si="8"/>
        <v>4.08</v>
      </c>
      <c r="F34" s="45"/>
      <c r="G34" s="25">
        <f>Rates!I260</f>
        <v>5.1000000000000004E-3</v>
      </c>
      <c r="H34" s="37">
        <f>D34</f>
        <v>800</v>
      </c>
      <c r="I34" s="36">
        <f t="shared" si="9"/>
        <v>4.08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512</v>
      </c>
      <c r="E35" s="36">
        <f t="shared" si="8"/>
        <v>38.4</v>
      </c>
      <c r="F35" s="45"/>
      <c r="G35" s="25">
        <f>Rates!I271</f>
        <v>7.4999999999999997E-2</v>
      </c>
      <c r="H35" s="37">
        <f>D35</f>
        <v>512</v>
      </c>
      <c r="I35" s="36">
        <f t="shared" si="9"/>
        <v>38.4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144</v>
      </c>
      <c r="E36" s="36">
        <f t="shared" si="8"/>
        <v>16.128</v>
      </c>
      <c r="F36" s="45"/>
      <c r="G36" s="25">
        <f>Rates!I272</f>
        <v>0.112</v>
      </c>
      <c r="H36" s="37">
        <f t="shared" ref="H36:H37" si="11">D36</f>
        <v>144</v>
      </c>
      <c r="I36" s="36">
        <f t="shared" si="9"/>
        <v>16.128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144</v>
      </c>
      <c r="E37" s="36">
        <f t="shared" si="8"/>
        <v>19.440000000000001</v>
      </c>
      <c r="F37" s="45"/>
      <c r="G37" s="25">
        <f>Rates!I273</f>
        <v>0.13500000000000001</v>
      </c>
      <c r="H37" s="37">
        <f t="shared" si="11"/>
        <v>144</v>
      </c>
      <c r="I37" s="36">
        <f t="shared" si="9"/>
        <v>19.440000000000001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136.58638399999998</v>
      </c>
      <c r="F39" s="45"/>
      <c r="G39" s="35"/>
      <c r="H39" s="39"/>
      <c r="I39" s="39">
        <f>SUM(I30:I37)</f>
        <v>134.50239999999999</v>
      </c>
      <c r="J39" s="45"/>
      <c r="K39" s="36">
        <f t="shared" si="2"/>
        <v>-2.0839839999999867</v>
      </c>
      <c r="L39" s="47">
        <f t="shared" si="3"/>
        <v>-1.5257626265294401E-2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17.756229919999999</v>
      </c>
      <c r="F40" s="45"/>
      <c r="G40" s="41">
        <f>Rates!I277</f>
        <v>0.13</v>
      </c>
      <c r="H40" s="35"/>
      <c r="I40" s="42">
        <f>I39*G40</f>
        <v>17.485312</v>
      </c>
      <c r="J40" s="45"/>
      <c r="K40" s="36">
        <f t="shared" si="2"/>
        <v>-0.2709179199999987</v>
      </c>
      <c r="L40" s="47">
        <f t="shared" si="3"/>
        <v>-1.5257626265294425E-2</v>
      </c>
    </row>
    <row r="41" spans="2:12" x14ac:dyDescent="0.2">
      <c r="B41" s="23" t="s">
        <v>64</v>
      </c>
      <c r="C41" s="35"/>
      <c r="D41" s="35"/>
      <c r="E41" s="42">
        <f>E39+E40</f>
        <v>154.34261391999999</v>
      </c>
      <c r="F41" s="45"/>
      <c r="G41" s="35"/>
      <c r="H41" s="35"/>
      <c r="I41" s="42">
        <f>I39+I40</f>
        <v>151.98771199999999</v>
      </c>
      <c r="J41" s="45"/>
      <c r="K41" s="36">
        <f t="shared" si="2"/>
        <v>-2.3549019200000032</v>
      </c>
      <c r="L41" s="47">
        <f t="shared" si="3"/>
        <v>-1.5257626265294519E-2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-15.434261392</v>
      </c>
      <c r="F42" s="45"/>
      <c r="G42" s="41">
        <f>Rates!I279</f>
        <v>-0.1</v>
      </c>
      <c r="H42" s="35"/>
      <c r="I42" s="42">
        <f>I41*G42</f>
        <v>-15.198771199999999</v>
      </c>
      <c r="J42" s="45"/>
      <c r="K42" s="36">
        <f t="shared" si="2"/>
        <v>0.23549019200000032</v>
      </c>
      <c r="L42" s="47">
        <f t="shared" si="3"/>
        <v>-1.5257626265294517E-2</v>
      </c>
    </row>
    <row r="43" spans="2:12" ht="13.5" thickBot="1" x14ac:dyDescent="0.25">
      <c r="B43" s="30" t="s">
        <v>65</v>
      </c>
      <c r="C43" s="57"/>
      <c r="D43" s="57"/>
      <c r="E43" s="58">
        <f>E41+E42</f>
        <v>138.90835252799999</v>
      </c>
      <c r="F43" s="59"/>
      <c r="G43" s="57"/>
      <c r="H43" s="57"/>
      <c r="I43" s="58">
        <f>I41+I42</f>
        <v>136.78894079999998</v>
      </c>
      <c r="J43" s="59"/>
      <c r="K43" s="60">
        <f t="shared" si="2"/>
        <v>-2.1194117280000171</v>
      </c>
      <c r="L43" s="61">
        <f t="shared" si="3"/>
        <v>-1.5257626265294621E-2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3"/>
  <sheetViews>
    <sheetView showGridLines="0" workbookViewId="0">
      <selection activeCell="G24" sqref="G2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Rates!B87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Rates!E88</f>
        <v>18.940000000000001</v>
      </c>
      <c r="D14" s="37">
        <f>C6</f>
        <v>1</v>
      </c>
      <c r="E14" s="36">
        <f>C14*D14</f>
        <v>18.940000000000001</v>
      </c>
      <c r="F14" s="45"/>
      <c r="G14" s="36">
        <f>Rates!I88</f>
        <v>19.45</v>
      </c>
      <c r="H14" s="37">
        <f>D14</f>
        <v>1</v>
      </c>
      <c r="I14" s="36">
        <f>G14*H14</f>
        <v>19.45</v>
      </c>
      <c r="J14" s="45"/>
      <c r="K14" s="36">
        <f>I14-E14</f>
        <v>0.50999999999999801</v>
      </c>
      <c r="L14" s="47">
        <f>IF((E14)=0," ",K14/E14)</f>
        <v>2.6927138331573282E-2</v>
      </c>
    </row>
    <row r="15" spans="2:12" x14ac:dyDescent="0.2">
      <c r="B15" s="44" t="str">
        <f>Rates!B7</f>
        <v>Distribution Volumetric Rate</v>
      </c>
      <c r="C15" s="25">
        <f>Rates!E89</f>
        <v>2.01E-2</v>
      </c>
      <c r="D15" s="38">
        <f>C7</f>
        <v>800</v>
      </c>
      <c r="E15" s="36">
        <f t="shared" ref="E15:E17" si="0">C15*D15</f>
        <v>16.079999999999998</v>
      </c>
      <c r="F15" s="45"/>
      <c r="G15" s="25">
        <f>Rates!I89</f>
        <v>2.0199999999999999E-2</v>
      </c>
      <c r="H15" s="38">
        <f>D15</f>
        <v>800</v>
      </c>
      <c r="I15" s="36">
        <f t="shared" ref="I15:I17" si="1">G15*H15</f>
        <v>16.16</v>
      </c>
      <c r="J15" s="45"/>
      <c r="K15" s="36">
        <f t="shared" ref="K15:K43" si="2">I15-E15</f>
        <v>8.0000000000001847E-2</v>
      </c>
      <c r="L15" s="47">
        <f t="shared" ref="L15:L43" si="3">IF((E15)=0," ",K15/E15)</f>
        <v>4.975124378109568E-3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Rates!E90</f>
        <v>1.04</v>
      </c>
      <c r="D16" s="37">
        <f>C6</f>
        <v>1</v>
      </c>
      <c r="E16" s="36">
        <f t="shared" si="0"/>
        <v>1.04</v>
      </c>
      <c r="F16" s="45"/>
      <c r="G16" s="36">
        <f>Rates!I90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-1.04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Rates!E91</f>
        <v>1.5</v>
      </c>
      <c r="D17" s="37">
        <f>C6</f>
        <v>1</v>
      </c>
      <c r="E17" s="36">
        <f t="shared" si="0"/>
        <v>1.5</v>
      </c>
      <c r="F17" s="45"/>
      <c r="G17" s="36">
        <f>Rates!I91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-1.5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37.559999999999995</v>
      </c>
      <c r="F18" s="53"/>
      <c r="G18" s="50"/>
      <c r="H18" s="51"/>
      <c r="I18" s="52">
        <f>SUM(I14:I17)</f>
        <v>35.61</v>
      </c>
      <c r="J18" s="53"/>
      <c r="K18" s="54">
        <f t="shared" si="2"/>
        <v>-1.9499999999999957</v>
      </c>
      <c r="L18" s="55">
        <f t="shared" si="3"/>
        <v>-5.1916932907348133E-2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6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6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Rates!E93</f>
        <v>-8.9999999999999998E-4</v>
      </c>
      <c r="D20" s="37">
        <f>C7</f>
        <v>800</v>
      </c>
      <c r="E20" s="36">
        <f t="shared" si="5"/>
        <v>-0.72</v>
      </c>
      <c r="F20" s="45"/>
      <c r="G20" s="25">
        <f>Rates!I93</f>
        <v>0</v>
      </c>
      <c r="H20" s="37">
        <f t="shared" ref="H20:H26" si="7">D20</f>
        <v>800</v>
      </c>
      <c r="I20" s="36">
        <f t="shared" si="6"/>
        <v>0</v>
      </c>
      <c r="J20" s="45"/>
      <c r="K20" s="36">
        <f t="shared" si="2"/>
        <v>0.72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Rates!E94</f>
        <v>2.0999999999999999E-3</v>
      </c>
      <c r="D21" s="37">
        <f>C7</f>
        <v>800</v>
      </c>
      <c r="E21" s="36">
        <f t="shared" si="5"/>
        <v>1.68</v>
      </c>
      <c r="F21" s="45"/>
      <c r="G21" s="25">
        <f>Rates!I94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-1.68</v>
      </c>
      <c r="L21" s="47">
        <f t="shared" si="3"/>
        <v>-1</v>
      </c>
    </row>
    <row r="22" spans="2:12" x14ac:dyDescent="0.2">
      <c r="B22" s="48" t="str">
        <f>Rates!B95</f>
        <v>Rate Rider for Deferral/Variance Account Disposition (2014) - effective until December 31, 2016</v>
      </c>
      <c r="C22" s="25">
        <f>Rates!E95</f>
        <v>0</v>
      </c>
      <c r="D22" s="37">
        <f>C7</f>
        <v>800</v>
      </c>
      <c r="E22" s="36">
        <f t="shared" si="5"/>
        <v>0</v>
      </c>
      <c r="F22" s="45"/>
      <c r="G22" s="25">
        <f>Rates!I95</f>
        <v>2.9999999999999997E-4</v>
      </c>
      <c r="H22" s="37">
        <f t="shared" si="7"/>
        <v>800</v>
      </c>
      <c r="I22" s="36">
        <f t="shared" si="6"/>
        <v>0.24</v>
      </c>
      <c r="J22" s="45"/>
      <c r="K22" s="36">
        <f t="shared" ref="K22:K24" si="8">I22-E22</f>
        <v>0.24</v>
      </c>
      <c r="L22" s="47" t="str">
        <f t="shared" ref="L22:L24" si="9">IF((E22)=0," ",K22/E22)</f>
        <v xml:space="preserve"> </v>
      </c>
    </row>
    <row r="23" spans="2:12" ht="25.5" x14ac:dyDescent="0.2">
      <c r="B23" s="48" t="str">
        <f>Rates!B96</f>
        <v>Rate Rider for Global Adjustment Sub-Account Disposition (2014) - effective until December 31, 2016 Applicable only for Non-RPP Customers</v>
      </c>
      <c r="C23" s="25">
        <f>Rates!E96</f>
        <v>0</v>
      </c>
      <c r="D23" s="37">
        <f>C7</f>
        <v>800</v>
      </c>
      <c r="E23" s="36">
        <f t="shared" si="5"/>
        <v>0</v>
      </c>
      <c r="F23" s="45"/>
      <c r="G23" s="25">
        <f>Rates!I96</f>
        <v>7.4999999999999997E-3</v>
      </c>
      <c r="H23" s="37">
        <f t="shared" si="7"/>
        <v>800</v>
      </c>
      <c r="I23" s="36">
        <f t="shared" si="6"/>
        <v>6</v>
      </c>
      <c r="J23" s="45"/>
      <c r="K23" s="36">
        <f t="shared" si="8"/>
        <v>6</v>
      </c>
      <c r="L23" s="47" t="str">
        <f t="shared" si="9"/>
        <v xml:space="preserve"> </v>
      </c>
    </row>
    <row r="24" spans="2:12" x14ac:dyDescent="0.2">
      <c r="B24" s="48" t="str">
        <f>Rates!B97</f>
        <v>Rate Rider for Loss Revenue Adjustment Mechanism (LRAM) - effective until December 31, 2015</v>
      </c>
      <c r="C24" s="25">
        <f>Rates!E97</f>
        <v>0</v>
      </c>
      <c r="D24" s="37">
        <f>C7</f>
        <v>800</v>
      </c>
      <c r="E24" s="36">
        <f t="shared" si="5"/>
        <v>0</v>
      </c>
      <c r="F24" s="45"/>
      <c r="G24" s="25">
        <f>Rates!I97</f>
        <v>1E-4</v>
      </c>
      <c r="H24" s="37">
        <f t="shared" si="7"/>
        <v>800</v>
      </c>
      <c r="I24" s="36">
        <f t="shared" si="6"/>
        <v>0.08</v>
      </c>
      <c r="J24" s="45"/>
      <c r="K24" s="36">
        <f t="shared" si="8"/>
        <v>0.08</v>
      </c>
      <c r="L24" s="47" t="str">
        <f t="shared" si="9"/>
        <v xml:space="preserve"> </v>
      </c>
    </row>
    <row r="25" spans="2:12" x14ac:dyDescent="0.2">
      <c r="B25" s="44" t="str">
        <f>Rates!B10</f>
        <v>Low Voltage Service Rate</v>
      </c>
      <c r="C25" s="25">
        <f>Rates!E92</f>
        <v>2.0000000000000001E-4</v>
      </c>
      <c r="D25" s="37">
        <f>C7</f>
        <v>800</v>
      </c>
      <c r="E25" s="36">
        <f t="shared" si="5"/>
        <v>0.16</v>
      </c>
      <c r="F25" s="45"/>
      <c r="G25" s="25">
        <f>Rates!I92</f>
        <v>2.0000000000000001E-4</v>
      </c>
      <c r="H25" s="37">
        <f t="shared" si="7"/>
        <v>800</v>
      </c>
      <c r="I25" s="36">
        <f t="shared" si="6"/>
        <v>0.16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43.107903999999991</v>
      </c>
      <c r="F27" s="53"/>
      <c r="G27" s="50"/>
      <c r="H27" s="51"/>
      <c r="I27" s="52">
        <f>SUM(I18:I26)</f>
        <v>46.517903999999994</v>
      </c>
      <c r="J27" s="53"/>
      <c r="K27" s="54">
        <f t="shared" si="2"/>
        <v>3.4100000000000037</v>
      </c>
      <c r="L27" s="55">
        <f t="shared" si="3"/>
        <v>7.9103822816344871E-2</v>
      </c>
    </row>
    <row r="28" spans="2:12" x14ac:dyDescent="0.2">
      <c r="B28" s="44" t="str">
        <f>Rates!B16</f>
        <v>Retail Transmission Rate - Network Service Rate</v>
      </c>
      <c r="C28" s="25">
        <f>Rates!E98</f>
        <v>7.0000000000000001E-3</v>
      </c>
      <c r="D28" s="37">
        <f>C7*C5</f>
        <v>843.36</v>
      </c>
      <c r="E28" s="36">
        <f>C28*D28</f>
        <v>5.9035200000000003</v>
      </c>
      <c r="F28" s="45"/>
      <c r="G28" s="25">
        <f>Rates!I98</f>
        <v>7.3000000000000001E-3</v>
      </c>
      <c r="H28" s="37">
        <f>D28</f>
        <v>843.36</v>
      </c>
      <c r="I28" s="36">
        <f>G28*H28</f>
        <v>6.1565279999999998</v>
      </c>
      <c r="J28" s="45"/>
      <c r="K28" s="36">
        <f t="shared" si="2"/>
        <v>0.25300799999999946</v>
      </c>
      <c r="L28" s="47">
        <f t="shared" si="3"/>
        <v>4.285714285714276E-2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Rates!E99</f>
        <v>5.4000000000000003E-3</v>
      </c>
      <c r="D29" s="37">
        <f>C7*C5</f>
        <v>843.36</v>
      </c>
      <c r="E29" s="36">
        <f>C29*D29</f>
        <v>4.554144</v>
      </c>
      <c r="F29" s="45"/>
      <c r="G29" s="25">
        <f>Rates!I99</f>
        <v>5.7000000000000002E-3</v>
      </c>
      <c r="H29" s="37">
        <f>D29</f>
        <v>843.36</v>
      </c>
      <c r="I29" s="36">
        <f>G29*H29</f>
        <v>4.8071520000000003</v>
      </c>
      <c r="J29" s="45"/>
      <c r="K29" s="36">
        <f t="shared" si="2"/>
        <v>0.25300800000000034</v>
      </c>
      <c r="L29" s="47">
        <f t="shared" si="3"/>
        <v>5.5555555555555629E-2</v>
      </c>
    </row>
    <row r="30" spans="2:12" x14ac:dyDescent="0.2">
      <c r="B30" s="49" t="s">
        <v>62</v>
      </c>
      <c r="C30" s="50"/>
      <c r="D30" s="51"/>
      <c r="E30" s="52">
        <f>SUM(E27:E29)</f>
        <v>53.565567999999992</v>
      </c>
      <c r="F30" s="53"/>
      <c r="G30" s="50"/>
      <c r="H30" s="52"/>
      <c r="I30" s="52">
        <f>SUM(I27:I29)</f>
        <v>57.481583999999998</v>
      </c>
      <c r="J30" s="53"/>
      <c r="K30" s="54">
        <f t="shared" si="2"/>
        <v>3.9160160000000062</v>
      </c>
      <c r="L30" s="55">
        <f t="shared" si="3"/>
        <v>7.3106963040138154E-2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843.36</v>
      </c>
      <c r="E31" s="36">
        <f t="shared" ref="E31:E37" si="10">C31*D31</f>
        <v>3.7107840000000003</v>
      </c>
      <c r="F31" s="45"/>
      <c r="G31" s="25">
        <f>Rates!I253</f>
        <v>4.4000000000000003E-3</v>
      </c>
      <c r="H31" s="37">
        <f>D31</f>
        <v>843.36</v>
      </c>
      <c r="I31" s="36">
        <f t="shared" ref="I31:I37" si="11">G31*H31</f>
        <v>3.7107840000000003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843.36</v>
      </c>
      <c r="E32" s="36">
        <f t="shared" si="10"/>
        <v>1.0120319999999998</v>
      </c>
      <c r="F32" s="45"/>
      <c r="G32" s="25">
        <f>Rates!I254</f>
        <v>1.1999999999999999E-3</v>
      </c>
      <c r="H32" s="37">
        <f t="shared" ref="H32:H33" si="12">D32</f>
        <v>843.36</v>
      </c>
      <c r="I32" s="36">
        <f t="shared" si="11"/>
        <v>1.0120319999999998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10"/>
        <v>0.25</v>
      </c>
      <c r="F33" s="45"/>
      <c r="G33" s="36">
        <f>Rates!I255</f>
        <v>0.25</v>
      </c>
      <c r="H33" s="37">
        <f t="shared" si="12"/>
        <v>1</v>
      </c>
      <c r="I33" s="36">
        <f t="shared" si="11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Rates!E260</f>
        <v>5.1000000000000004E-3</v>
      </c>
      <c r="D34" s="37">
        <f>C7</f>
        <v>800</v>
      </c>
      <c r="E34" s="36">
        <f t="shared" si="10"/>
        <v>4.08</v>
      </c>
      <c r="F34" s="45"/>
      <c r="G34" s="25">
        <f>Rates!I260</f>
        <v>5.1000000000000004E-3</v>
      </c>
      <c r="H34" s="37">
        <f>D34</f>
        <v>800</v>
      </c>
      <c r="I34" s="36">
        <f t="shared" si="11"/>
        <v>4.08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512</v>
      </c>
      <c r="E35" s="36">
        <f t="shared" si="10"/>
        <v>38.4</v>
      </c>
      <c r="F35" s="45"/>
      <c r="G35" s="25">
        <f>Rates!I271</f>
        <v>7.4999999999999997E-2</v>
      </c>
      <c r="H35" s="37">
        <f>D35</f>
        <v>512</v>
      </c>
      <c r="I35" s="36">
        <f t="shared" si="11"/>
        <v>38.4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144</v>
      </c>
      <c r="E36" s="36">
        <f t="shared" si="10"/>
        <v>16.128</v>
      </c>
      <c r="F36" s="45"/>
      <c r="G36" s="25">
        <f>Rates!I272</f>
        <v>0.112</v>
      </c>
      <c r="H36" s="37">
        <f t="shared" ref="H36:H37" si="13">D36</f>
        <v>144</v>
      </c>
      <c r="I36" s="36">
        <f t="shared" si="11"/>
        <v>16.128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144</v>
      </c>
      <c r="E37" s="36">
        <f t="shared" si="10"/>
        <v>19.440000000000001</v>
      </c>
      <c r="F37" s="45"/>
      <c r="G37" s="25">
        <f>Rates!I273</f>
        <v>0.13500000000000001</v>
      </c>
      <c r="H37" s="37">
        <f t="shared" si="13"/>
        <v>144</v>
      </c>
      <c r="I37" s="36">
        <f t="shared" si="11"/>
        <v>19.440000000000001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136.58638399999998</v>
      </c>
      <c r="F39" s="45"/>
      <c r="G39" s="35"/>
      <c r="H39" s="39"/>
      <c r="I39" s="39">
        <f>SUM(I30:I37)</f>
        <v>140.50240000000002</v>
      </c>
      <c r="J39" s="45"/>
      <c r="K39" s="36">
        <f t="shared" si="2"/>
        <v>3.9160160000000417</v>
      </c>
      <c r="L39" s="47">
        <f t="shared" si="3"/>
        <v>2.8670617709595725E-2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17.756229919999999</v>
      </c>
      <c r="F40" s="45"/>
      <c r="G40" s="41">
        <f>Rates!I277</f>
        <v>0.13</v>
      </c>
      <c r="H40" s="35"/>
      <c r="I40" s="42">
        <f>I39*G40</f>
        <v>18.265312000000005</v>
      </c>
      <c r="J40" s="45"/>
      <c r="K40" s="36">
        <f t="shared" si="2"/>
        <v>0.50908208000000599</v>
      </c>
      <c r="L40" s="47">
        <f t="shared" si="3"/>
        <v>2.8670617709595756E-2</v>
      </c>
    </row>
    <row r="41" spans="2:12" x14ac:dyDescent="0.2">
      <c r="B41" s="23" t="s">
        <v>64</v>
      </c>
      <c r="C41" s="35"/>
      <c r="D41" s="35"/>
      <c r="E41" s="42">
        <f>E39+E40</f>
        <v>154.34261391999999</v>
      </c>
      <c r="F41" s="45"/>
      <c r="G41" s="35"/>
      <c r="H41" s="35"/>
      <c r="I41" s="42">
        <f>I39+I40</f>
        <v>158.76771200000002</v>
      </c>
      <c r="J41" s="45"/>
      <c r="K41" s="36">
        <f t="shared" si="2"/>
        <v>4.4250980800000264</v>
      </c>
      <c r="L41" s="47">
        <f t="shared" si="3"/>
        <v>2.867061770959559E-2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-15.434261392</v>
      </c>
      <c r="F42" s="45"/>
      <c r="G42" s="41">
        <f>Rates!I279</f>
        <v>-0.1</v>
      </c>
      <c r="H42" s="35"/>
      <c r="I42" s="42">
        <f>I41*G42</f>
        <v>-15.876771200000002</v>
      </c>
      <c r="J42" s="45"/>
      <c r="K42" s="36">
        <f t="shared" si="2"/>
        <v>-0.44250980800000228</v>
      </c>
      <c r="L42" s="47">
        <f t="shared" si="3"/>
        <v>2.8670617709595565E-2</v>
      </c>
    </row>
    <row r="43" spans="2:12" ht="13.5" thickBot="1" x14ac:dyDescent="0.25">
      <c r="B43" s="30" t="s">
        <v>65</v>
      </c>
      <c r="C43" s="57"/>
      <c r="D43" s="57"/>
      <c r="E43" s="58">
        <f>E41+E42</f>
        <v>138.90835252799999</v>
      </c>
      <c r="F43" s="59"/>
      <c r="G43" s="57"/>
      <c r="H43" s="57"/>
      <c r="I43" s="58">
        <f>I41+I42</f>
        <v>142.89094080000001</v>
      </c>
      <c r="J43" s="59"/>
      <c r="K43" s="60">
        <f t="shared" si="2"/>
        <v>3.9825882720000152</v>
      </c>
      <c r="L43" s="61">
        <f t="shared" si="3"/>
        <v>2.8670617709595527E-2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3"/>
  <sheetViews>
    <sheetView showGridLines="0" workbookViewId="0">
      <selection activeCell="G25" sqref="G2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Rates!B101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Rates!E102</f>
        <v>24.36</v>
      </c>
      <c r="D14" s="37">
        <f>C6</f>
        <v>1</v>
      </c>
      <c r="E14" s="36">
        <f>C14*D14</f>
        <v>24.36</v>
      </c>
      <c r="F14" s="45"/>
      <c r="G14" s="36">
        <f>Rates!I102</f>
        <v>26.24</v>
      </c>
      <c r="H14" s="37">
        <f>D14</f>
        <v>1</v>
      </c>
      <c r="I14" s="36">
        <f>G14*H14</f>
        <v>26.24</v>
      </c>
      <c r="J14" s="45"/>
      <c r="K14" s="36">
        <f>I14-E14</f>
        <v>1.879999999999999</v>
      </c>
      <c r="L14" s="47">
        <f>IF((E14)=0," ",K14/E14)</f>
        <v>7.7175697865352999E-2</v>
      </c>
    </row>
    <row r="15" spans="2:12" x14ac:dyDescent="0.2">
      <c r="B15" s="44" t="str">
        <f>Rates!B7</f>
        <v>Distribution Volumetric Rate</v>
      </c>
      <c r="C15" s="25">
        <f>Rates!E103</f>
        <v>2.4E-2</v>
      </c>
      <c r="D15" s="38">
        <f>C7</f>
        <v>2000</v>
      </c>
      <c r="E15" s="36">
        <f t="shared" ref="E15:E17" si="0">C15*D15</f>
        <v>48</v>
      </c>
      <c r="F15" s="45"/>
      <c r="G15" s="25">
        <f>Rates!I103</f>
        <v>2.35E-2</v>
      </c>
      <c r="H15" s="37">
        <f>D15</f>
        <v>2000</v>
      </c>
      <c r="I15" s="36">
        <f t="shared" ref="I15:I17" si="1">G15*H15</f>
        <v>47</v>
      </c>
      <c r="J15" s="45"/>
      <c r="K15" s="36">
        <f t="shared" ref="K15:K43" si="2">I15-E15</f>
        <v>-1</v>
      </c>
      <c r="L15" s="47">
        <f t="shared" ref="L15:L43" si="3">IF((E15)=0," ",K15/E15)</f>
        <v>-2.0833333333333332E-2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Rates!E104</f>
        <v>3.38</v>
      </c>
      <c r="D16" s="37">
        <f>C6</f>
        <v>1</v>
      </c>
      <c r="E16" s="36">
        <f t="shared" si="0"/>
        <v>3.38</v>
      </c>
      <c r="F16" s="45"/>
      <c r="G16" s="36">
        <f>Rates!I104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-3.38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Rates!E105</f>
        <v>3.04</v>
      </c>
      <c r="D17" s="37">
        <f>C6</f>
        <v>1</v>
      </c>
      <c r="E17" s="36">
        <f t="shared" si="0"/>
        <v>3.04</v>
      </c>
      <c r="F17" s="45"/>
      <c r="G17" s="36">
        <f>Rates!I105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-3.04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78.78</v>
      </c>
      <c r="F18" s="53"/>
      <c r="G18" s="50"/>
      <c r="H18" s="51"/>
      <c r="I18" s="52">
        <f>SUM(I14:I17)</f>
        <v>73.239999999999995</v>
      </c>
      <c r="J18" s="53"/>
      <c r="K18" s="54">
        <f t="shared" si="2"/>
        <v>-5.5400000000000063</v>
      </c>
      <c r="L18" s="55">
        <f t="shared" si="3"/>
        <v>-7.0322416857070399E-2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6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6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Rates!E107</f>
        <v>-8.9999999999999998E-4</v>
      </c>
      <c r="D20" s="37">
        <f>C7</f>
        <v>2000</v>
      </c>
      <c r="E20" s="36">
        <f t="shared" si="5"/>
        <v>-1.8</v>
      </c>
      <c r="F20" s="45"/>
      <c r="G20" s="25">
        <f>Rates!I107</f>
        <v>0</v>
      </c>
      <c r="H20" s="37">
        <f t="shared" ref="H20:H26" si="7">D20</f>
        <v>2000</v>
      </c>
      <c r="I20" s="36">
        <f t="shared" si="6"/>
        <v>0</v>
      </c>
      <c r="J20" s="45"/>
      <c r="K20" s="36">
        <f t="shared" si="2"/>
        <v>1.8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Rates!E108</f>
        <v>2.0999999999999999E-3</v>
      </c>
      <c r="D21" s="37">
        <f>C7</f>
        <v>2000</v>
      </c>
      <c r="E21" s="36">
        <f t="shared" si="5"/>
        <v>4.2</v>
      </c>
      <c r="F21" s="45"/>
      <c r="G21" s="25">
        <f>Rates!I108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-4.2</v>
      </c>
      <c r="L21" s="47">
        <f t="shared" si="3"/>
        <v>-1</v>
      </c>
    </row>
    <row r="22" spans="2:12" x14ac:dyDescent="0.2">
      <c r="B22" s="48" t="str">
        <f>Rates!B110</f>
        <v>Rate Rider for Deferral/Variance Account Disposition (2014) - effective until December 31, 2016</v>
      </c>
      <c r="C22" s="25">
        <f>Rates!E110</f>
        <v>0</v>
      </c>
      <c r="D22" s="37">
        <f>C7</f>
        <v>2000</v>
      </c>
      <c r="E22" s="36">
        <f t="shared" si="5"/>
        <v>0</v>
      </c>
      <c r="F22" s="45"/>
      <c r="G22" s="25">
        <f>Rates!I110</f>
        <v>2.9999999999999997E-4</v>
      </c>
      <c r="H22" s="37">
        <f t="shared" si="7"/>
        <v>2000</v>
      </c>
      <c r="I22" s="36">
        <f t="shared" si="6"/>
        <v>0.6</v>
      </c>
      <c r="J22" s="45"/>
      <c r="K22" s="36">
        <f t="shared" si="2"/>
        <v>0.6</v>
      </c>
      <c r="L22" s="47" t="str">
        <f t="shared" si="3"/>
        <v xml:space="preserve"> </v>
      </c>
    </row>
    <row r="23" spans="2:12" ht="25.5" x14ac:dyDescent="0.2">
      <c r="B23" s="48" t="str">
        <f>Rates!B111</f>
        <v>Rate Rider for Global Adjustment Sub-Account Disposition (2014) - effective until December 31, 2016 Applicable only for Non-RPP Customers</v>
      </c>
      <c r="C23" s="25">
        <f>Rates!E111</f>
        <v>0</v>
      </c>
      <c r="D23" s="37">
        <f>C7</f>
        <v>2000</v>
      </c>
      <c r="E23" s="36">
        <f t="shared" si="5"/>
        <v>0</v>
      </c>
      <c r="F23" s="45"/>
      <c r="G23" s="25"/>
      <c r="H23" s="37">
        <f t="shared" si="7"/>
        <v>2000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8" t="str">
        <f>Rates!B112</f>
        <v>Rate Rider for Loss Revenue Adjustment Mechanism (LRAM) - effective until December 31, 2015</v>
      </c>
      <c r="C24" s="25">
        <f>Rates!E112</f>
        <v>0</v>
      </c>
      <c r="D24" s="37">
        <f>C7</f>
        <v>2000</v>
      </c>
      <c r="E24" s="36">
        <f t="shared" si="5"/>
        <v>0</v>
      </c>
      <c r="F24" s="45"/>
      <c r="G24" s="25">
        <f>Rates!I112</f>
        <v>4.0000000000000002E-4</v>
      </c>
      <c r="H24" s="37">
        <f t="shared" si="7"/>
        <v>2000</v>
      </c>
      <c r="I24" s="36">
        <f t="shared" si="6"/>
        <v>0.8</v>
      </c>
      <c r="J24" s="45"/>
      <c r="K24" s="36">
        <f t="shared" si="2"/>
        <v>0.8</v>
      </c>
      <c r="L24" s="47" t="str">
        <f t="shared" si="3"/>
        <v xml:space="preserve"> </v>
      </c>
    </row>
    <row r="25" spans="2:12" x14ac:dyDescent="0.2">
      <c r="B25" s="44" t="str">
        <f>Rates!B10</f>
        <v>Low Voltage Service Rate</v>
      </c>
      <c r="C25" s="25">
        <f>Rates!E106</f>
        <v>2.0000000000000001E-4</v>
      </c>
      <c r="D25" s="37">
        <f>C7</f>
        <v>2000</v>
      </c>
      <c r="E25" s="36">
        <f t="shared" si="5"/>
        <v>0.4</v>
      </c>
      <c r="F25" s="45"/>
      <c r="G25" s="25">
        <f>Rates!I106</f>
        <v>2.0000000000000001E-4</v>
      </c>
      <c r="H25" s="37">
        <f t="shared" si="7"/>
        <v>2000</v>
      </c>
      <c r="I25" s="36">
        <f t="shared" si="6"/>
        <v>0.4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91.464760000000027</v>
      </c>
      <c r="F27" s="53"/>
      <c r="G27" s="50"/>
      <c r="H27" s="51"/>
      <c r="I27" s="52">
        <f>SUM(I18:I26)</f>
        <v>84.924760000000006</v>
      </c>
      <c r="J27" s="53"/>
      <c r="K27" s="54">
        <f t="shared" si="2"/>
        <v>-6.5400000000000205</v>
      </c>
      <c r="L27" s="55">
        <f t="shared" si="3"/>
        <v>-7.1502948239300229E-2</v>
      </c>
    </row>
    <row r="28" spans="2:12" x14ac:dyDescent="0.2">
      <c r="B28" s="44" t="str">
        <f>Rates!B16</f>
        <v>Retail Transmission Rate - Network Service Rate</v>
      </c>
      <c r="C28" s="25">
        <f>Rates!E113</f>
        <v>6.0000000000000001E-3</v>
      </c>
      <c r="D28" s="37">
        <f>C7*C5</f>
        <v>2108.4</v>
      </c>
      <c r="E28" s="36">
        <f>C28*D28</f>
        <v>12.650400000000001</v>
      </c>
      <c r="F28" s="45"/>
      <c r="G28" s="25">
        <f>Rates!I113</f>
        <v>6.3E-3</v>
      </c>
      <c r="H28" s="37">
        <f>D28</f>
        <v>2108.4</v>
      </c>
      <c r="I28" s="36">
        <f>G28*H28</f>
        <v>13.282920000000001</v>
      </c>
      <c r="J28" s="45"/>
      <c r="K28" s="36">
        <f t="shared" si="2"/>
        <v>0.63251999999999953</v>
      </c>
      <c r="L28" s="47">
        <f t="shared" si="3"/>
        <v>4.9999999999999961E-2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Rates!E114</f>
        <v>4.7000000000000002E-3</v>
      </c>
      <c r="D29" s="37">
        <f>C7*C5</f>
        <v>2108.4</v>
      </c>
      <c r="E29" s="36">
        <f>C29*D29</f>
        <v>9.9094800000000003</v>
      </c>
      <c r="F29" s="45"/>
      <c r="G29" s="25">
        <f>Rates!I114</f>
        <v>4.8999999999999998E-3</v>
      </c>
      <c r="H29" s="37">
        <f>D29</f>
        <v>2108.4</v>
      </c>
      <c r="I29" s="36">
        <f>G29*H29</f>
        <v>10.331160000000001</v>
      </c>
      <c r="J29" s="45"/>
      <c r="K29" s="36">
        <f t="shared" si="2"/>
        <v>0.42168000000000028</v>
      </c>
      <c r="L29" s="47">
        <f t="shared" si="3"/>
        <v>4.2553191489361729E-2</v>
      </c>
    </row>
    <row r="30" spans="2:12" x14ac:dyDescent="0.2">
      <c r="B30" s="49" t="s">
        <v>62</v>
      </c>
      <c r="C30" s="50"/>
      <c r="D30" s="51"/>
      <c r="E30" s="52">
        <f>SUM(E27:E29)</f>
        <v>114.02464000000003</v>
      </c>
      <c r="F30" s="53"/>
      <c r="G30" s="50"/>
      <c r="H30" s="52"/>
      <c r="I30" s="52">
        <f>SUM(I27:I29)</f>
        <v>108.53884000000001</v>
      </c>
      <c r="J30" s="53"/>
      <c r="K30" s="54">
        <f t="shared" si="2"/>
        <v>-5.485800000000026</v>
      </c>
      <c r="L30" s="55">
        <f t="shared" si="3"/>
        <v>-4.8110653977947435E-2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2108.4</v>
      </c>
      <c r="E31" s="36">
        <f t="shared" ref="E31:E37" si="8">C31*D31</f>
        <v>9.2769600000000008</v>
      </c>
      <c r="F31" s="45"/>
      <c r="G31" s="25">
        <f>Rates!I253</f>
        <v>4.4000000000000003E-3</v>
      </c>
      <c r="H31" s="37">
        <f>D31</f>
        <v>2108.4</v>
      </c>
      <c r="I31" s="36">
        <f t="shared" ref="I31:I37" si="9">G31*H31</f>
        <v>9.2769600000000008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2108.4</v>
      </c>
      <c r="E32" s="36">
        <f t="shared" si="8"/>
        <v>2.5300799999999999</v>
      </c>
      <c r="F32" s="45"/>
      <c r="G32" s="25">
        <f>Rates!I254</f>
        <v>1.1999999999999999E-3</v>
      </c>
      <c r="H32" s="37">
        <f t="shared" ref="H32:H33" si="10">D32</f>
        <v>2108.4</v>
      </c>
      <c r="I32" s="36">
        <f t="shared" si="9"/>
        <v>2.5300799999999999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8"/>
        <v>0.25</v>
      </c>
      <c r="F33" s="45"/>
      <c r="G33" s="36">
        <f>Rates!I255</f>
        <v>0.25</v>
      </c>
      <c r="H33" s="37">
        <f t="shared" si="10"/>
        <v>1</v>
      </c>
      <c r="I33" s="36">
        <f t="shared" si="9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Rates!E260</f>
        <v>5.1000000000000004E-3</v>
      </c>
      <c r="D34" s="37">
        <f>C7</f>
        <v>2000</v>
      </c>
      <c r="E34" s="36">
        <f t="shared" si="8"/>
        <v>10.200000000000001</v>
      </c>
      <c r="F34" s="45"/>
      <c r="G34" s="25">
        <f>Rates!I260</f>
        <v>5.1000000000000004E-3</v>
      </c>
      <c r="H34" s="37">
        <f>D34</f>
        <v>2000</v>
      </c>
      <c r="I34" s="36">
        <f t="shared" si="9"/>
        <v>10.200000000000001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1280</v>
      </c>
      <c r="E35" s="36">
        <f t="shared" si="8"/>
        <v>96</v>
      </c>
      <c r="F35" s="45"/>
      <c r="G35" s="25">
        <f>Rates!I271</f>
        <v>7.4999999999999997E-2</v>
      </c>
      <c r="H35" s="37">
        <f>D35</f>
        <v>1280</v>
      </c>
      <c r="I35" s="36">
        <f t="shared" si="9"/>
        <v>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360</v>
      </c>
      <c r="E36" s="36">
        <f t="shared" si="8"/>
        <v>40.32</v>
      </c>
      <c r="F36" s="45"/>
      <c r="G36" s="25">
        <f>Rates!I272</f>
        <v>0.112</v>
      </c>
      <c r="H36" s="37">
        <f t="shared" ref="H36:H37" si="11">D36</f>
        <v>360</v>
      </c>
      <c r="I36" s="36">
        <f t="shared" si="9"/>
        <v>40.32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360</v>
      </c>
      <c r="E37" s="36">
        <f t="shared" si="8"/>
        <v>48.6</v>
      </c>
      <c r="F37" s="45"/>
      <c r="G37" s="25">
        <f>Rates!I273</f>
        <v>0.13500000000000001</v>
      </c>
      <c r="H37" s="37">
        <f t="shared" si="11"/>
        <v>360</v>
      </c>
      <c r="I37" s="36">
        <f t="shared" si="9"/>
        <v>48.6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321.20168000000007</v>
      </c>
      <c r="F39" s="45"/>
      <c r="G39" s="35"/>
      <c r="H39" s="39"/>
      <c r="I39" s="39">
        <f>SUM(I30:I37)</f>
        <v>315.71588000000003</v>
      </c>
      <c r="J39" s="45"/>
      <c r="K39" s="36">
        <f t="shared" si="2"/>
        <v>-5.4858000000000402</v>
      </c>
      <c r="L39" s="47">
        <f t="shared" si="3"/>
        <v>-1.7078989126084392E-2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41.756218400000009</v>
      </c>
      <c r="F40" s="45"/>
      <c r="G40" s="41">
        <f>Rates!I277</f>
        <v>0.13</v>
      </c>
      <c r="H40" s="35"/>
      <c r="I40" s="42">
        <f>I39*G40</f>
        <v>41.043064400000006</v>
      </c>
      <c r="J40" s="45"/>
      <c r="K40" s="36">
        <f t="shared" si="2"/>
        <v>-0.71315400000000295</v>
      </c>
      <c r="L40" s="47">
        <f t="shared" si="3"/>
        <v>-1.707898912608434E-2</v>
      </c>
    </row>
    <row r="41" spans="2:12" x14ac:dyDescent="0.2">
      <c r="B41" s="23" t="s">
        <v>64</v>
      </c>
      <c r="C41" s="35"/>
      <c r="D41" s="35"/>
      <c r="E41" s="42">
        <f>E39+E40</f>
        <v>362.95789840000009</v>
      </c>
      <c r="F41" s="45"/>
      <c r="G41" s="35"/>
      <c r="H41" s="35"/>
      <c r="I41" s="42">
        <f>I39+I40</f>
        <v>356.75894440000002</v>
      </c>
      <c r="J41" s="45"/>
      <c r="K41" s="36">
        <f t="shared" si="2"/>
        <v>-6.1989540000000716</v>
      </c>
      <c r="L41" s="47">
        <f t="shared" si="3"/>
        <v>-1.7078989126084465E-2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-36.295789840000012</v>
      </c>
      <c r="F42" s="45"/>
      <c r="G42" s="41">
        <f>Rates!I279</f>
        <v>-0.1</v>
      </c>
      <c r="H42" s="35"/>
      <c r="I42" s="42">
        <f>I41*G42</f>
        <v>-35.67589444</v>
      </c>
      <c r="J42" s="45"/>
      <c r="K42" s="36">
        <f t="shared" si="2"/>
        <v>0.61989540000001142</v>
      </c>
      <c r="L42" s="47">
        <f t="shared" si="3"/>
        <v>-1.707898912608458E-2</v>
      </c>
    </row>
    <row r="43" spans="2:12" ht="13.5" thickBot="1" x14ac:dyDescent="0.25">
      <c r="B43" s="30" t="s">
        <v>65</v>
      </c>
      <c r="C43" s="57"/>
      <c r="D43" s="57"/>
      <c r="E43" s="58">
        <f>E41+E42</f>
        <v>326.66210856000009</v>
      </c>
      <c r="F43" s="59"/>
      <c r="G43" s="57"/>
      <c r="H43" s="57"/>
      <c r="I43" s="58">
        <f>I41+I42</f>
        <v>321.08304996000004</v>
      </c>
      <c r="J43" s="59"/>
      <c r="K43" s="60">
        <f t="shared" si="2"/>
        <v>-5.579058600000053</v>
      </c>
      <c r="L43" s="61">
        <f t="shared" si="3"/>
        <v>-1.707898912608443E-2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3"/>
  <sheetViews>
    <sheetView showGridLines="0" workbookViewId="0">
      <selection activeCell="G22" sqref="G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Rates!B101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Rates!E102</f>
        <v>24.36</v>
      </c>
      <c r="D14" s="37">
        <f>C6</f>
        <v>1</v>
      </c>
      <c r="E14" s="36">
        <f>C14*D14</f>
        <v>24.36</v>
      </c>
      <c r="F14" s="45"/>
      <c r="G14" s="36">
        <f>Rates!I102</f>
        <v>26.24</v>
      </c>
      <c r="H14" s="37">
        <f>D14</f>
        <v>1</v>
      </c>
      <c r="I14" s="36">
        <f>G14*H14</f>
        <v>26.24</v>
      </c>
      <c r="J14" s="45"/>
      <c r="K14" s="36">
        <f>I14-E14</f>
        <v>1.879999999999999</v>
      </c>
      <c r="L14" s="47">
        <f>IF((E14)=0," ",K14/E14)</f>
        <v>7.7175697865352999E-2</v>
      </c>
    </row>
    <row r="15" spans="2:12" x14ac:dyDescent="0.2">
      <c r="B15" s="44" t="str">
        <f>Rates!B7</f>
        <v>Distribution Volumetric Rate</v>
      </c>
      <c r="C15" s="25">
        <f>Rates!E103</f>
        <v>2.4E-2</v>
      </c>
      <c r="D15" s="38">
        <f>C7</f>
        <v>2000</v>
      </c>
      <c r="E15" s="36">
        <f t="shared" ref="E15:E17" si="0">C15*D15</f>
        <v>48</v>
      </c>
      <c r="F15" s="45"/>
      <c r="G15" s="25">
        <f>Rates!I103</f>
        <v>2.35E-2</v>
      </c>
      <c r="H15" s="37">
        <f>D15</f>
        <v>2000</v>
      </c>
      <c r="I15" s="36">
        <f t="shared" ref="I15:I17" si="1">G15*H15</f>
        <v>47</v>
      </c>
      <c r="J15" s="45"/>
      <c r="K15" s="36">
        <f t="shared" ref="K15:K43" si="2">I15-E15</f>
        <v>-1</v>
      </c>
      <c r="L15" s="47">
        <f t="shared" ref="L15:L43" si="3">IF((E15)=0," ",K15/E15)</f>
        <v>-2.0833333333333332E-2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Rates!E104</f>
        <v>3.38</v>
      </c>
      <c r="D16" s="37">
        <f>C6</f>
        <v>1</v>
      </c>
      <c r="E16" s="36">
        <f t="shared" si="0"/>
        <v>3.38</v>
      </c>
      <c r="F16" s="45"/>
      <c r="G16" s="36">
        <f>Rates!I104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-3.38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Rates!E105</f>
        <v>3.04</v>
      </c>
      <c r="D17" s="37">
        <f>C6</f>
        <v>1</v>
      </c>
      <c r="E17" s="36">
        <f t="shared" si="0"/>
        <v>3.04</v>
      </c>
      <c r="F17" s="45"/>
      <c r="G17" s="36">
        <f>Rates!I105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-3.04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78.78</v>
      </c>
      <c r="F18" s="53"/>
      <c r="G18" s="50"/>
      <c r="H18" s="51"/>
      <c r="I18" s="52">
        <f>SUM(I14:I17)</f>
        <v>73.239999999999995</v>
      </c>
      <c r="J18" s="53"/>
      <c r="K18" s="54">
        <f t="shared" si="2"/>
        <v>-5.5400000000000063</v>
      </c>
      <c r="L18" s="55">
        <f t="shared" si="3"/>
        <v>-7.0322416857070399E-2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6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6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Rates!E107</f>
        <v>-8.9999999999999998E-4</v>
      </c>
      <c r="D20" s="37">
        <f>C7</f>
        <v>2000</v>
      </c>
      <c r="E20" s="36">
        <f t="shared" si="5"/>
        <v>-1.8</v>
      </c>
      <c r="F20" s="45"/>
      <c r="G20" s="25">
        <f>Rates!I107</f>
        <v>0</v>
      </c>
      <c r="H20" s="37">
        <f t="shared" ref="H20:H26" si="7">D20</f>
        <v>2000</v>
      </c>
      <c r="I20" s="36">
        <f t="shared" si="6"/>
        <v>0</v>
      </c>
      <c r="J20" s="45"/>
      <c r="K20" s="36">
        <f t="shared" si="2"/>
        <v>1.8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Rates!E108</f>
        <v>2.0999999999999999E-3</v>
      </c>
      <c r="D21" s="37">
        <f>C7</f>
        <v>2000</v>
      </c>
      <c r="E21" s="36">
        <f t="shared" si="5"/>
        <v>4.2</v>
      </c>
      <c r="F21" s="45"/>
      <c r="G21" s="25">
        <f>Rates!I108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-4.2</v>
      </c>
      <c r="L21" s="47">
        <f t="shared" si="3"/>
        <v>-1</v>
      </c>
    </row>
    <row r="22" spans="2:12" x14ac:dyDescent="0.2">
      <c r="B22" s="48" t="str">
        <f>Rates!B110</f>
        <v>Rate Rider for Deferral/Variance Account Disposition (2014) - effective until December 31, 2016</v>
      </c>
      <c r="C22" s="25">
        <f>Rates!E110</f>
        <v>0</v>
      </c>
      <c r="D22" s="37">
        <f>C7</f>
        <v>2000</v>
      </c>
      <c r="E22" s="36">
        <f t="shared" si="5"/>
        <v>0</v>
      </c>
      <c r="F22" s="45"/>
      <c r="G22" s="25">
        <f>Rates!I110</f>
        <v>2.9999999999999997E-4</v>
      </c>
      <c r="H22" s="37">
        <f t="shared" si="7"/>
        <v>2000</v>
      </c>
      <c r="I22" s="36">
        <f t="shared" si="6"/>
        <v>0.6</v>
      </c>
      <c r="J22" s="45"/>
      <c r="K22" s="36">
        <f t="shared" ref="K22:K24" si="8">I22-E22</f>
        <v>0.6</v>
      </c>
      <c r="L22" s="47" t="str">
        <f t="shared" ref="L22:L24" si="9">IF((E22)=0," ",K22/E22)</f>
        <v xml:space="preserve"> </v>
      </c>
    </row>
    <row r="23" spans="2:12" ht="25.5" x14ac:dyDescent="0.2">
      <c r="B23" s="48" t="str">
        <f>Rates!B111</f>
        <v>Rate Rider for Global Adjustment Sub-Account Disposition (2014) - effective until December 31, 2016 Applicable only for Non-RPP Customers</v>
      </c>
      <c r="C23" s="25">
        <f>Rates!E111</f>
        <v>0</v>
      </c>
      <c r="D23" s="37">
        <f>C7</f>
        <v>2000</v>
      </c>
      <c r="E23" s="36">
        <f t="shared" si="5"/>
        <v>0</v>
      </c>
      <c r="F23" s="45"/>
      <c r="G23" s="25">
        <f>Rates!I111</f>
        <v>7.4999999999999997E-3</v>
      </c>
      <c r="H23" s="37">
        <f t="shared" si="7"/>
        <v>2000</v>
      </c>
      <c r="I23" s="36">
        <f t="shared" si="6"/>
        <v>15</v>
      </c>
      <c r="J23" s="45"/>
      <c r="K23" s="36">
        <f t="shared" si="8"/>
        <v>15</v>
      </c>
      <c r="L23" s="47" t="str">
        <f t="shared" si="9"/>
        <v xml:space="preserve"> </v>
      </c>
    </row>
    <row r="24" spans="2:12" x14ac:dyDescent="0.2">
      <c r="B24" s="48" t="str">
        <f>Rates!B112</f>
        <v>Rate Rider for Loss Revenue Adjustment Mechanism (LRAM) - effective until December 31, 2015</v>
      </c>
      <c r="C24" s="25">
        <f>Rates!E112</f>
        <v>0</v>
      </c>
      <c r="D24" s="37">
        <f>C7</f>
        <v>2000</v>
      </c>
      <c r="E24" s="36">
        <f t="shared" si="5"/>
        <v>0</v>
      </c>
      <c r="F24" s="45"/>
      <c r="G24" s="25">
        <f>Rates!I112</f>
        <v>4.0000000000000002E-4</v>
      </c>
      <c r="H24" s="37">
        <f t="shared" si="7"/>
        <v>2000</v>
      </c>
      <c r="I24" s="36">
        <f t="shared" si="6"/>
        <v>0.8</v>
      </c>
      <c r="J24" s="45"/>
      <c r="K24" s="36">
        <f t="shared" si="8"/>
        <v>0.8</v>
      </c>
      <c r="L24" s="47" t="str">
        <f t="shared" si="9"/>
        <v xml:space="preserve"> </v>
      </c>
    </row>
    <row r="25" spans="2:12" x14ac:dyDescent="0.2">
      <c r="B25" s="44" t="str">
        <f>Rates!B10</f>
        <v>Low Voltage Service Rate</v>
      </c>
      <c r="C25" s="25">
        <f>Rates!E106</f>
        <v>2.0000000000000001E-4</v>
      </c>
      <c r="D25" s="37">
        <f>C7</f>
        <v>2000</v>
      </c>
      <c r="E25" s="36">
        <f t="shared" si="5"/>
        <v>0.4</v>
      </c>
      <c r="F25" s="45"/>
      <c r="G25" s="25">
        <f>Rates!I106</f>
        <v>2.0000000000000001E-4</v>
      </c>
      <c r="H25" s="37">
        <f t="shared" si="7"/>
        <v>2000</v>
      </c>
      <c r="I25" s="36">
        <f t="shared" si="6"/>
        <v>0.4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91.464760000000027</v>
      </c>
      <c r="F27" s="53"/>
      <c r="G27" s="50"/>
      <c r="H27" s="51"/>
      <c r="I27" s="52">
        <f>SUM(I18:I26)</f>
        <v>99.924760000000006</v>
      </c>
      <c r="J27" s="53"/>
      <c r="K27" s="54">
        <f t="shared" si="2"/>
        <v>8.4599999999999795</v>
      </c>
      <c r="L27" s="55">
        <f t="shared" si="3"/>
        <v>9.249463946551631E-2</v>
      </c>
    </row>
    <row r="28" spans="2:12" x14ac:dyDescent="0.2">
      <c r="B28" s="44" t="str">
        <f>Rates!B16</f>
        <v>Retail Transmission Rate - Network Service Rate</v>
      </c>
      <c r="C28" s="25">
        <f>Rates!E113</f>
        <v>6.0000000000000001E-3</v>
      </c>
      <c r="D28" s="37">
        <f>C7*C5</f>
        <v>2108.4</v>
      </c>
      <c r="E28" s="36">
        <f>C28*D28</f>
        <v>12.650400000000001</v>
      </c>
      <c r="F28" s="45"/>
      <c r="G28" s="25">
        <f>Rates!I113</f>
        <v>6.3E-3</v>
      </c>
      <c r="H28" s="37">
        <f>D28</f>
        <v>2108.4</v>
      </c>
      <c r="I28" s="36">
        <f>G28*H28</f>
        <v>13.282920000000001</v>
      </c>
      <c r="J28" s="45"/>
      <c r="K28" s="36">
        <f t="shared" si="2"/>
        <v>0.63251999999999953</v>
      </c>
      <c r="L28" s="47">
        <f t="shared" si="3"/>
        <v>4.9999999999999961E-2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Rates!E114</f>
        <v>4.7000000000000002E-3</v>
      </c>
      <c r="D29" s="37">
        <f>C7*C5</f>
        <v>2108.4</v>
      </c>
      <c r="E29" s="36">
        <f>C29*D29</f>
        <v>9.9094800000000003</v>
      </c>
      <c r="F29" s="45"/>
      <c r="G29" s="25">
        <f>Rates!I114</f>
        <v>4.8999999999999998E-3</v>
      </c>
      <c r="H29" s="37">
        <f>D29</f>
        <v>2108.4</v>
      </c>
      <c r="I29" s="36">
        <f>G29*H29</f>
        <v>10.331160000000001</v>
      </c>
      <c r="J29" s="45"/>
      <c r="K29" s="36">
        <f t="shared" si="2"/>
        <v>0.42168000000000028</v>
      </c>
      <c r="L29" s="47">
        <f t="shared" si="3"/>
        <v>4.2553191489361729E-2</v>
      </c>
    </row>
    <row r="30" spans="2:12" x14ac:dyDescent="0.2">
      <c r="B30" s="49" t="s">
        <v>62</v>
      </c>
      <c r="C30" s="50"/>
      <c r="D30" s="51"/>
      <c r="E30" s="52">
        <f>SUM(E27:E29)</f>
        <v>114.02464000000003</v>
      </c>
      <c r="F30" s="53"/>
      <c r="G30" s="50"/>
      <c r="H30" s="52"/>
      <c r="I30" s="52">
        <f>SUM(I27:I29)</f>
        <v>123.53884000000001</v>
      </c>
      <c r="J30" s="53"/>
      <c r="K30" s="54">
        <f t="shared" si="2"/>
        <v>9.514199999999974</v>
      </c>
      <c r="L30" s="55">
        <f t="shared" si="3"/>
        <v>8.3439860016220807E-2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2108.4</v>
      </c>
      <c r="E31" s="36">
        <f t="shared" ref="E31:E37" si="10">C31*D31</f>
        <v>9.2769600000000008</v>
      </c>
      <c r="F31" s="45"/>
      <c r="G31" s="25">
        <f>Rates!I253</f>
        <v>4.4000000000000003E-3</v>
      </c>
      <c r="H31" s="37">
        <f>D31</f>
        <v>2108.4</v>
      </c>
      <c r="I31" s="36">
        <f t="shared" ref="I31:I37" si="11">G31*H31</f>
        <v>9.2769600000000008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2108.4</v>
      </c>
      <c r="E32" s="36">
        <f t="shared" si="10"/>
        <v>2.5300799999999999</v>
      </c>
      <c r="F32" s="45"/>
      <c r="G32" s="25">
        <f>Rates!I254</f>
        <v>1.1999999999999999E-3</v>
      </c>
      <c r="H32" s="37">
        <f t="shared" ref="H32:H33" si="12">D32</f>
        <v>2108.4</v>
      </c>
      <c r="I32" s="36">
        <f t="shared" si="11"/>
        <v>2.5300799999999999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10"/>
        <v>0.25</v>
      </c>
      <c r="F33" s="45"/>
      <c r="G33" s="36">
        <f>Rates!I255</f>
        <v>0.25</v>
      </c>
      <c r="H33" s="37">
        <f t="shared" si="12"/>
        <v>1</v>
      </c>
      <c r="I33" s="36">
        <f t="shared" si="11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Rates!E260</f>
        <v>5.1000000000000004E-3</v>
      </c>
      <c r="D34" s="37">
        <f>C7</f>
        <v>2000</v>
      </c>
      <c r="E34" s="36">
        <f t="shared" si="10"/>
        <v>10.200000000000001</v>
      </c>
      <c r="F34" s="45"/>
      <c r="G34" s="25">
        <f>Rates!I260</f>
        <v>5.1000000000000004E-3</v>
      </c>
      <c r="H34" s="37">
        <f>D34</f>
        <v>2000</v>
      </c>
      <c r="I34" s="36">
        <f t="shared" si="11"/>
        <v>10.200000000000001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1280</v>
      </c>
      <c r="E35" s="36">
        <f t="shared" si="10"/>
        <v>96</v>
      </c>
      <c r="F35" s="45"/>
      <c r="G35" s="25">
        <f>Rates!I271</f>
        <v>7.4999999999999997E-2</v>
      </c>
      <c r="H35" s="37">
        <f>D35</f>
        <v>1280</v>
      </c>
      <c r="I35" s="36">
        <f t="shared" si="11"/>
        <v>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360</v>
      </c>
      <c r="E36" s="36">
        <f t="shared" si="10"/>
        <v>40.32</v>
      </c>
      <c r="F36" s="45"/>
      <c r="G36" s="25">
        <f>Rates!I272</f>
        <v>0.112</v>
      </c>
      <c r="H36" s="37">
        <f t="shared" ref="H36:H37" si="13">D36</f>
        <v>360</v>
      </c>
      <c r="I36" s="36">
        <f t="shared" si="11"/>
        <v>40.32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360</v>
      </c>
      <c r="E37" s="36">
        <f t="shared" si="10"/>
        <v>48.6</v>
      </c>
      <c r="F37" s="45"/>
      <c r="G37" s="25">
        <f>Rates!I273</f>
        <v>0.13500000000000001</v>
      </c>
      <c r="H37" s="37">
        <f t="shared" si="13"/>
        <v>360</v>
      </c>
      <c r="I37" s="36">
        <f t="shared" si="11"/>
        <v>48.6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321.20168000000007</v>
      </c>
      <c r="F39" s="45"/>
      <c r="G39" s="35"/>
      <c r="H39" s="39"/>
      <c r="I39" s="39">
        <f>SUM(I30:I37)</f>
        <v>330.71588000000003</v>
      </c>
      <c r="J39" s="45"/>
      <c r="K39" s="36">
        <f t="shared" si="2"/>
        <v>9.5141999999999598</v>
      </c>
      <c r="L39" s="47">
        <f t="shared" si="3"/>
        <v>2.9620642083814624E-2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41.756218400000009</v>
      </c>
      <c r="F40" s="45"/>
      <c r="G40" s="41">
        <f>Rates!I277</f>
        <v>0.13</v>
      </c>
      <c r="H40" s="35"/>
      <c r="I40" s="42">
        <f>I39*G40</f>
        <v>42.993064400000002</v>
      </c>
      <c r="J40" s="45"/>
      <c r="K40" s="36">
        <f t="shared" si="2"/>
        <v>1.2368459999999928</v>
      </c>
      <c r="L40" s="47">
        <f t="shared" si="3"/>
        <v>2.9620642083814576E-2</v>
      </c>
    </row>
    <row r="41" spans="2:12" x14ac:dyDescent="0.2">
      <c r="B41" s="23" t="s">
        <v>64</v>
      </c>
      <c r="C41" s="35"/>
      <c r="D41" s="35"/>
      <c r="E41" s="42">
        <f>E39+E40</f>
        <v>362.95789840000009</v>
      </c>
      <c r="F41" s="45"/>
      <c r="G41" s="35"/>
      <c r="H41" s="35"/>
      <c r="I41" s="42">
        <f>I39+I40</f>
        <v>373.70894440000001</v>
      </c>
      <c r="J41" s="45"/>
      <c r="K41" s="36">
        <f t="shared" si="2"/>
        <v>10.751045999999917</v>
      </c>
      <c r="L41" s="47">
        <f t="shared" si="3"/>
        <v>2.962064208381452E-2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-36.295789840000012</v>
      </c>
      <c r="F42" s="45"/>
      <c r="G42" s="41">
        <f>Rates!I279</f>
        <v>-0.1</v>
      </c>
      <c r="H42" s="35"/>
      <c r="I42" s="42">
        <f>I41*G42</f>
        <v>-37.370894440000001</v>
      </c>
      <c r="J42" s="45"/>
      <c r="K42" s="36">
        <f t="shared" si="2"/>
        <v>-1.0751045999999889</v>
      </c>
      <c r="L42" s="47">
        <f t="shared" si="3"/>
        <v>2.9620642083814437E-2</v>
      </c>
    </row>
    <row r="43" spans="2:12" ht="13.5" thickBot="1" x14ac:dyDescent="0.25">
      <c r="B43" s="30" t="s">
        <v>65</v>
      </c>
      <c r="C43" s="57"/>
      <c r="D43" s="57"/>
      <c r="E43" s="58">
        <f>E41+E42</f>
        <v>326.66210856000009</v>
      </c>
      <c r="F43" s="59"/>
      <c r="G43" s="57"/>
      <c r="H43" s="57"/>
      <c r="I43" s="58">
        <f>I41+I42</f>
        <v>336.33804996000003</v>
      </c>
      <c r="J43" s="59"/>
      <c r="K43" s="60">
        <f t="shared" si="2"/>
        <v>9.6759413999999424</v>
      </c>
      <c r="L43" s="61">
        <f t="shared" si="3"/>
        <v>2.9620642083814569E-2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G22" sqref="G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Rates!B116</f>
        <v>General Service 50kW to 4,999kW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68620</v>
      </c>
    </row>
    <row r="8" spans="2:12" x14ac:dyDescent="0.2">
      <c r="B8" s="28" t="s">
        <v>69</v>
      </c>
      <c r="C8" s="29">
        <v>200</v>
      </c>
    </row>
    <row r="9" spans="2:12" ht="13.5" thickBot="1" x14ac:dyDescent="0.25">
      <c r="B9" s="30" t="s">
        <v>70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Rates!E117</f>
        <v>143.56</v>
      </c>
      <c r="D14" s="37">
        <f>C6</f>
        <v>1</v>
      </c>
      <c r="E14" s="36">
        <f>C14*D14</f>
        <v>143.56</v>
      </c>
      <c r="F14" s="45"/>
      <c r="G14" s="36">
        <f>Rates!I34</f>
        <v>149.51</v>
      </c>
      <c r="H14" s="37">
        <f>D14</f>
        <v>1</v>
      </c>
      <c r="I14" s="36">
        <f>G14*H14</f>
        <v>149.51</v>
      </c>
      <c r="J14" s="45"/>
      <c r="K14" s="36">
        <f>I14-E14</f>
        <v>5.9499999999999886</v>
      </c>
      <c r="L14" s="47">
        <f>IF((E14)=0," ",K14/E14)</f>
        <v>4.144608526051817E-2</v>
      </c>
    </row>
    <row r="15" spans="2:12" x14ac:dyDescent="0.2">
      <c r="B15" s="44" t="str">
        <f>Rates!B7</f>
        <v>Distribution Volumetric Rate</v>
      </c>
      <c r="C15" s="25">
        <f>Rates!E118</f>
        <v>6.9223999999999997</v>
      </c>
      <c r="D15" s="38">
        <f>C8</f>
        <v>200</v>
      </c>
      <c r="E15" s="36">
        <f t="shared" ref="E15" si="0">C15*D15</f>
        <v>1384.48</v>
      </c>
      <c r="F15" s="45"/>
      <c r="G15" s="25">
        <f>Rates!I35</f>
        <v>6.5865999999999998</v>
      </c>
      <c r="H15" s="38">
        <f>D15</f>
        <v>200</v>
      </c>
      <c r="I15" s="36">
        <f t="shared" ref="I15" si="1">G15*H15</f>
        <v>1317.32</v>
      </c>
      <c r="J15" s="45"/>
      <c r="K15" s="36">
        <f t="shared" ref="K15:K38" si="2">I15-E15</f>
        <v>-67.160000000000082</v>
      </c>
      <c r="L15" s="47">
        <f t="shared" ref="L15:L38" si="3">IF((E15)=0," ",K15/E15)</f>
        <v>-4.8509187565006412E-2</v>
      </c>
    </row>
    <row r="16" spans="2:12" x14ac:dyDescent="0.2">
      <c r="B16" s="49" t="s">
        <v>38</v>
      </c>
      <c r="C16" s="50"/>
      <c r="D16" s="51"/>
      <c r="E16" s="52">
        <f>SUM(E14:E15)</f>
        <v>1528.04</v>
      </c>
      <c r="F16" s="53"/>
      <c r="G16" s="50"/>
      <c r="H16" s="51"/>
      <c r="I16" s="52">
        <f>SUM(I14:I15)</f>
        <v>1466.83</v>
      </c>
      <c r="J16" s="53"/>
      <c r="K16" s="54">
        <f t="shared" si="2"/>
        <v>-61.210000000000036</v>
      </c>
      <c r="L16" s="55">
        <f t="shared" si="3"/>
        <v>-4.005785188869404E-2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3719.204000000002</v>
      </c>
      <c r="E17" s="36">
        <f t="shared" ref="E17:E23" si="4">C17*D17</f>
        <v>312.04121560000016</v>
      </c>
      <c r="F17" s="45"/>
      <c r="G17" s="25">
        <f>Rates!I275</f>
        <v>8.3900000000000002E-2</v>
      </c>
      <c r="H17" s="40">
        <f>(C5-1)*C7</f>
        <v>3719.204000000002</v>
      </c>
      <c r="I17" s="36">
        <f t="shared" ref="I17:I23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Rates!E120</f>
        <v>-0.31369999999999998</v>
      </c>
      <c r="D18" s="37">
        <f>C8</f>
        <v>200</v>
      </c>
      <c r="E18" s="36">
        <f t="shared" si="4"/>
        <v>-62.739999999999995</v>
      </c>
      <c r="F18" s="45"/>
      <c r="G18" s="25">
        <f>Rates!I120</f>
        <v>0</v>
      </c>
      <c r="H18" s="37">
        <f t="shared" ref="H18:H23" si="6">D18</f>
        <v>200</v>
      </c>
      <c r="I18" s="36">
        <f t="shared" si="5"/>
        <v>0</v>
      </c>
      <c r="J18" s="45"/>
      <c r="K18" s="36">
        <f t="shared" si="2"/>
        <v>62.739999999999995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Rates!E121</f>
        <v>0.77270000000000005</v>
      </c>
      <c r="D19" s="37">
        <f>C8</f>
        <v>200</v>
      </c>
      <c r="E19" s="36">
        <f t="shared" si="4"/>
        <v>154.54000000000002</v>
      </c>
      <c r="F19" s="45"/>
      <c r="G19" s="25">
        <f>Rates!I121</f>
        <v>0</v>
      </c>
      <c r="H19" s="37">
        <f t="shared" si="6"/>
        <v>200</v>
      </c>
      <c r="I19" s="36">
        <f t="shared" si="5"/>
        <v>0</v>
      </c>
      <c r="J19" s="45"/>
      <c r="K19" s="36">
        <f t="shared" si="2"/>
        <v>-154.54000000000002</v>
      </c>
      <c r="L19" s="47">
        <f t="shared" si="3"/>
        <v>-1</v>
      </c>
    </row>
    <row r="20" spans="2:12" x14ac:dyDescent="0.2">
      <c r="B20" s="48" t="str">
        <f>Rates!B123</f>
        <v>Rate Rider for Deferral/Variance Account Disposition (2014) - effective until December 31, 2016</v>
      </c>
      <c r="C20" s="25">
        <f>Rates!E123</f>
        <v>0</v>
      </c>
      <c r="D20" s="37">
        <f>C8</f>
        <v>200</v>
      </c>
      <c r="E20" s="36">
        <f t="shared" si="4"/>
        <v>0</v>
      </c>
      <c r="F20" s="45"/>
      <c r="G20" s="25">
        <f>Rates!I123</f>
        <v>7.5800000000000006E-2</v>
      </c>
      <c r="H20" s="37">
        <f t="shared" si="6"/>
        <v>200</v>
      </c>
      <c r="I20" s="36">
        <f t="shared" si="5"/>
        <v>15.160000000000002</v>
      </c>
      <c r="J20" s="45"/>
      <c r="K20" s="36">
        <f t="shared" ref="K20:K22" si="7">I20-E20</f>
        <v>15.160000000000002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Rates!B124</f>
        <v>Rate Rider for Global Adjustment Sub-Account Disposition (2014) - effective until December 31, 2016 Applicable only for Non-RPP Customers</v>
      </c>
      <c r="C21" s="25">
        <f>Rates!E124</f>
        <v>0</v>
      </c>
      <c r="D21" s="37">
        <f>C8</f>
        <v>200</v>
      </c>
      <c r="E21" s="36">
        <f t="shared" si="4"/>
        <v>0</v>
      </c>
      <c r="F21" s="45"/>
      <c r="G21" s="25">
        <f>Rates!I124</f>
        <v>2.6877</v>
      </c>
      <c r="H21" s="37">
        <f t="shared" si="6"/>
        <v>200</v>
      </c>
      <c r="I21" s="36">
        <f t="shared" si="5"/>
        <v>537.54</v>
      </c>
      <c r="J21" s="45"/>
      <c r="K21" s="36">
        <f t="shared" si="7"/>
        <v>537.54</v>
      </c>
      <c r="L21" s="47" t="str">
        <f t="shared" si="8"/>
        <v xml:space="preserve"> </v>
      </c>
    </row>
    <row r="22" spans="2:12" x14ac:dyDescent="0.2">
      <c r="B22" s="48" t="str">
        <f>Rates!B125</f>
        <v>Rate Rider for Loss Revenue Adjustment Mechanism (LRAM) - effective until December 31, 2015</v>
      </c>
      <c r="C22" s="25">
        <f>Rates!E125</f>
        <v>0</v>
      </c>
      <c r="D22" s="37">
        <f>C8</f>
        <v>200</v>
      </c>
      <c r="E22" s="36">
        <f t="shared" si="4"/>
        <v>0</v>
      </c>
      <c r="F22" s="45"/>
      <c r="G22" s="25">
        <f>Rates!I125</f>
        <v>4.41E-2</v>
      </c>
      <c r="H22" s="37">
        <f t="shared" si="6"/>
        <v>200</v>
      </c>
      <c r="I22" s="36">
        <f t="shared" si="5"/>
        <v>8.82</v>
      </c>
      <c r="J22" s="45"/>
      <c r="K22" s="36">
        <f t="shared" si="7"/>
        <v>8.82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Rates!E119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Rates!I119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1946.5812156000002</v>
      </c>
      <c r="F24" s="53"/>
      <c r="G24" s="50"/>
      <c r="H24" s="51"/>
      <c r="I24" s="52">
        <f>SUM(I16:I23)</f>
        <v>2355.0912155999999</v>
      </c>
      <c r="J24" s="53"/>
      <c r="K24" s="54">
        <f t="shared" si="2"/>
        <v>408.50999999999976</v>
      </c>
      <c r="L24" s="55">
        <f t="shared" si="3"/>
        <v>0.20986023944245427</v>
      </c>
    </row>
    <row r="25" spans="2:12" x14ac:dyDescent="0.2">
      <c r="B25" s="44" t="str">
        <f>Rates!B16</f>
        <v>Retail Transmission Rate - Network Service Rate</v>
      </c>
      <c r="C25" s="25">
        <f>Rates!E126</f>
        <v>2.5400999999999998</v>
      </c>
      <c r="D25" s="37">
        <f>C8</f>
        <v>200</v>
      </c>
      <c r="E25" s="36">
        <f>C25*D25</f>
        <v>508.02</v>
      </c>
      <c r="F25" s="45"/>
      <c r="G25" s="25">
        <f>Rates!I126</f>
        <v>2.6558999999999999</v>
      </c>
      <c r="H25" s="37">
        <f>D25</f>
        <v>200</v>
      </c>
      <c r="I25" s="36">
        <f>G25*H25</f>
        <v>531.17999999999995</v>
      </c>
      <c r="J25" s="45"/>
      <c r="K25" s="36">
        <f t="shared" si="2"/>
        <v>23.159999999999968</v>
      </c>
      <c r="L25" s="47">
        <f t="shared" si="3"/>
        <v>4.5588756348175205E-2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Rates!E127</f>
        <v>1.9351</v>
      </c>
      <c r="D26" s="37">
        <f>C8</f>
        <v>200</v>
      </c>
      <c r="E26" s="36">
        <f>C26*D26</f>
        <v>387.02</v>
      </c>
      <c r="F26" s="45"/>
      <c r="G26" s="25">
        <f>Rates!I43</f>
        <v>2.0373000000000001</v>
      </c>
      <c r="H26" s="37">
        <f>D26</f>
        <v>200</v>
      </c>
      <c r="I26" s="36">
        <f>G26*H26</f>
        <v>407.46000000000004</v>
      </c>
      <c r="J26" s="45"/>
      <c r="K26" s="36">
        <f t="shared" si="2"/>
        <v>20.440000000000055</v>
      </c>
      <c r="L26" s="47">
        <f t="shared" si="3"/>
        <v>5.2813808071934414E-2</v>
      </c>
    </row>
    <row r="27" spans="2:12" x14ac:dyDescent="0.2">
      <c r="B27" s="49" t="s">
        <v>62</v>
      </c>
      <c r="C27" s="50"/>
      <c r="D27" s="51"/>
      <c r="E27" s="52">
        <f>SUM(E24:E26)</f>
        <v>2841.6212156000001</v>
      </c>
      <c r="F27" s="53"/>
      <c r="G27" s="50"/>
      <c r="H27" s="52"/>
      <c r="I27" s="52">
        <f>SUM(I24:I26)</f>
        <v>3293.7312155999998</v>
      </c>
      <c r="J27" s="53"/>
      <c r="K27" s="54">
        <f t="shared" si="2"/>
        <v>452.10999999999967</v>
      </c>
      <c r="L27" s="55">
        <f t="shared" si="3"/>
        <v>0.15910283802710767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72339.203999999998</v>
      </c>
      <c r="E28" s="36">
        <f t="shared" ref="E28:E32" si="9">C28*D28</f>
        <v>318.29249759999999</v>
      </c>
      <c r="F28" s="45"/>
      <c r="G28" s="25">
        <f>Rates!I253</f>
        <v>4.4000000000000003E-3</v>
      </c>
      <c r="H28" s="37">
        <f>D28</f>
        <v>72339.203999999998</v>
      </c>
      <c r="I28" s="36">
        <f t="shared" ref="I28:I32" si="10">G28*H28</f>
        <v>318.29249759999999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72339.203999999998</v>
      </c>
      <c r="E29" s="36">
        <f t="shared" si="9"/>
        <v>86.807044799999986</v>
      </c>
      <c r="F29" s="45"/>
      <c r="G29" s="25">
        <f>Rates!I254</f>
        <v>1.1999999999999999E-3</v>
      </c>
      <c r="H29" s="37">
        <f t="shared" ref="H29:H30" si="11">D29</f>
        <v>72339.203999999998</v>
      </c>
      <c r="I29" s="36">
        <f t="shared" si="10"/>
        <v>86.807044799999986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Rates!E260</f>
        <v>5.1000000000000004E-3</v>
      </c>
      <c r="D31" s="37">
        <f>C7</f>
        <v>68620</v>
      </c>
      <c r="E31" s="36">
        <f t="shared" si="9"/>
        <v>349.96200000000005</v>
      </c>
      <c r="F31" s="45"/>
      <c r="G31" s="25">
        <f>Rates!I260</f>
        <v>5.1000000000000004E-3</v>
      </c>
      <c r="H31" s="37">
        <f>D31</f>
        <v>68620</v>
      </c>
      <c r="I31" s="36">
        <f t="shared" si="10"/>
        <v>349.96200000000005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</f>
        <v>68620</v>
      </c>
      <c r="E32" s="36">
        <f t="shared" si="9"/>
        <v>5757.2179999999998</v>
      </c>
      <c r="F32" s="45"/>
      <c r="G32" s="25">
        <f>Rates!I275</f>
        <v>8.3900000000000002E-2</v>
      </c>
      <c r="H32" s="37">
        <f>D32</f>
        <v>68620</v>
      </c>
      <c r="I32" s="36">
        <f t="shared" si="10"/>
        <v>5757.2179999999998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9354.1507579999998</v>
      </c>
      <c r="F34" s="45"/>
      <c r="G34" s="35"/>
      <c r="H34" s="39"/>
      <c r="I34" s="39">
        <f>SUM(I27:I32)</f>
        <v>9806.2607580000004</v>
      </c>
      <c r="J34" s="45"/>
      <c r="K34" s="36">
        <f t="shared" si="2"/>
        <v>452.11000000000058</v>
      </c>
      <c r="L34" s="47">
        <f t="shared" si="3"/>
        <v>4.8332554359714605E-2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1216.03959854</v>
      </c>
      <c r="F35" s="45"/>
      <c r="G35" s="41">
        <f>Rates!I277</f>
        <v>0.13</v>
      </c>
      <c r="H35" s="35"/>
      <c r="I35" s="42">
        <f>I34*G35</f>
        <v>1274.8138985400001</v>
      </c>
      <c r="J35" s="45"/>
      <c r="K35" s="36">
        <f t="shared" si="2"/>
        <v>58.774300000000039</v>
      </c>
      <c r="L35" s="47">
        <f t="shared" si="3"/>
        <v>4.8332554359714577E-2</v>
      </c>
    </row>
    <row r="36" spans="2:12" x14ac:dyDescent="0.2">
      <c r="B36" s="23" t="s">
        <v>64</v>
      </c>
      <c r="C36" s="35"/>
      <c r="D36" s="35"/>
      <c r="E36" s="42">
        <f>E34+E35</f>
        <v>10570.190356539999</v>
      </c>
      <c r="F36" s="45"/>
      <c r="G36" s="35"/>
      <c r="H36" s="35"/>
      <c r="I36" s="42">
        <f>I34+I35</f>
        <v>11081.07465654</v>
      </c>
      <c r="J36" s="45"/>
      <c r="K36" s="36">
        <f t="shared" si="2"/>
        <v>510.88430000000153</v>
      </c>
      <c r="L36" s="47">
        <f t="shared" si="3"/>
        <v>4.8332554359714695E-2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-1057.0190356539999</v>
      </c>
      <c r="F37" s="45"/>
      <c r="G37" s="41">
        <f>Rates!I279</f>
        <v>-0.1</v>
      </c>
      <c r="H37" s="35"/>
      <c r="I37" s="42">
        <f>I36*G37</f>
        <v>-1108.1074656540002</v>
      </c>
      <c r="J37" s="45"/>
      <c r="K37" s="36">
        <f t="shared" si="2"/>
        <v>-51.088430000000244</v>
      </c>
      <c r="L37" s="47">
        <f t="shared" si="3"/>
        <v>4.8332554359714779E-2</v>
      </c>
    </row>
    <row r="38" spans="2:12" ht="13.5" thickBot="1" x14ac:dyDescent="0.25">
      <c r="B38" s="30" t="s">
        <v>65</v>
      </c>
      <c r="C38" s="57"/>
      <c r="D38" s="57"/>
      <c r="E38" s="58">
        <f>E36+E37</f>
        <v>9513.1713208859983</v>
      </c>
      <c r="F38" s="59"/>
      <c r="G38" s="57"/>
      <c r="H38" s="57"/>
      <c r="I38" s="58">
        <f>I36+I37</f>
        <v>9972.967190886</v>
      </c>
      <c r="J38" s="59"/>
      <c r="K38" s="60">
        <f t="shared" si="2"/>
        <v>459.79587000000174</v>
      </c>
      <c r="L38" s="61">
        <f t="shared" si="3"/>
        <v>4.8332554359714737E-2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7"/>
  <sheetViews>
    <sheetView showGridLines="0" workbookViewId="0">
      <selection activeCell="G21" sqref="G21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Rates!B129</f>
        <v xml:space="preserve">Unmetered Scattered Load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Rates!E130</f>
        <v>51.5</v>
      </c>
      <c r="D14" s="37">
        <f>C6</f>
        <v>1</v>
      </c>
      <c r="E14" s="36">
        <f>C14*D14</f>
        <v>51.5</v>
      </c>
      <c r="F14" s="45"/>
      <c r="G14" s="36">
        <f>Rates!I130</f>
        <v>42.3</v>
      </c>
      <c r="H14" s="37">
        <f>D14</f>
        <v>1</v>
      </c>
      <c r="I14" s="36">
        <f>G14*H14</f>
        <v>42.3</v>
      </c>
      <c r="J14" s="45"/>
      <c r="K14" s="36">
        <f>I14-E14</f>
        <v>-9.2000000000000028</v>
      </c>
      <c r="L14" s="47">
        <f>IF((E14)=0," ",K14/E14)</f>
        <v>-0.17864077669902917</v>
      </c>
    </row>
    <row r="15" spans="2:12" x14ac:dyDescent="0.2">
      <c r="B15" s="44" t="str">
        <f>Rates!B7</f>
        <v>Distribution Volumetric Rate</v>
      </c>
      <c r="C15" s="25">
        <f>Rates!E131</f>
        <v>3.2399999999999998E-2</v>
      </c>
      <c r="D15" s="38">
        <f>C7</f>
        <v>800</v>
      </c>
      <c r="E15" s="36">
        <f t="shared" ref="E15" si="0">C15*D15</f>
        <v>25.919999999999998</v>
      </c>
      <c r="F15" s="45"/>
      <c r="G15" s="25">
        <f>Rates!I131</f>
        <v>2.5000000000000001E-2</v>
      </c>
      <c r="H15" s="38">
        <f>D15</f>
        <v>800</v>
      </c>
      <c r="I15" s="36">
        <f t="shared" ref="I15" si="1">G15*H15</f>
        <v>20</v>
      </c>
      <c r="J15" s="45"/>
      <c r="K15" s="36">
        <f t="shared" ref="K15:K37" si="2">I15-E15</f>
        <v>-5.9199999999999982</v>
      </c>
      <c r="L15" s="47">
        <f t="shared" ref="L15:L37" si="3">IF((E15)=0," ",K15/E15)</f>
        <v>-0.22839506172839499</v>
      </c>
    </row>
    <row r="16" spans="2:12" x14ac:dyDescent="0.2">
      <c r="B16" s="49" t="s">
        <v>38</v>
      </c>
      <c r="C16" s="50"/>
      <c r="D16" s="51"/>
      <c r="E16" s="52">
        <f>SUM(E14:E15)</f>
        <v>77.42</v>
      </c>
      <c r="F16" s="53"/>
      <c r="G16" s="50"/>
      <c r="H16" s="51"/>
      <c r="I16" s="52">
        <f>SUM(I14:I15)</f>
        <v>62.3</v>
      </c>
      <c r="J16" s="53"/>
      <c r="K16" s="54">
        <f t="shared" si="2"/>
        <v>-15.120000000000005</v>
      </c>
      <c r="L16" s="55">
        <f t="shared" si="3"/>
        <v>-0.19529837251356244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43.360000000000021</v>
      </c>
      <c r="E17" s="36">
        <f t="shared" ref="E17:E22" si="4">C17*D17</f>
        <v>3.637904000000002</v>
      </c>
      <c r="F17" s="45"/>
      <c r="G17" s="25">
        <f>Rates!I275</f>
        <v>8.3900000000000002E-2</v>
      </c>
      <c r="H17" s="40">
        <f>(C5-1)*C7</f>
        <v>43.360000000000021</v>
      </c>
      <c r="I17" s="36">
        <f t="shared" ref="I17:I22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Rates!E133</f>
        <v>-8.9999999999999998E-4</v>
      </c>
      <c r="D18" s="37">
        <f>C7</f>
        <v>800</v>
      </c>
      <c r="E18" s="36">
        <f t="shared" si="4"/>
        <v>-0.72</v>
      </c>
      <c r="F18" s="45"/>
      <c r="G18" s="25">
        <f>Rates!I133</f>
        <v>0</v>
      </c>
      <c r="H18" s="37">
        <f t="shared" ref="H18:H22" si="6">D18</f>
        <v>800</v>
      </c>
      <c r="I18" s="36">
        <f t="shared" si="5"/>
        <v>0</v>
      </c>
      <c r="J18" s="45"/>
      <c r="K18" s="36">
        <f t="shared" si="2"/>
        <v>0.72</v>
      </c>
      <c r="L18" s="47">
        <f t="shared" si="3"/>
        <v>-1</v>
      </c>
    </row>
    <row r="19" spans="2:12" x14ac:dyDescent="0.2">
      <c r="B19" s="44" t="str">
        <f>Rates!B134</f>
        <v>Rate Rider for Deferral/Variance Account Disposition (2014) - effective until December 31, 2016</v>
      </c>
      <c r="C19" s="25">
        <f>Rates!E134</f>
        <v>0</v>
      </c>
      <c r="D19" s="37">
        <f>C7</f>
        <v>800</v>
      </c>
      <c r="E19" s="36">
        <f t="shared" si="4"/>
        <v>0</v>
      </c>
      <c r="F19" s="45"/>
      <c r="G19" s="25">
        <f>Rates!I134</f>
        <v>2.9999999999999997E-4</v>
      </c>
      <c r="H19" s="37">
        <f t="shared" si="6"/>
        <v>800</v>
      </c>
      <c r="I19" s="36">
        <f t="shared" si="5"/>
        <v>0.24</v>
      </c>
      <c r="J19" s="45"/>
      <c r="K19" s="36">
        <f t="shared" ref="K19:K21" si="7">I19-E19</f>
        <v>0.24</v>
      </c>
      <c r="L19" s="47" t="str">
        <f t="shared" ref="L19:L21" si="8">IF((E19)=0," ",K19/E19)</f>
        <v xml:space="preserve"> </v>
      </c>
    </row>
    <row r="20" spans="2:12" ht="25.5" x14ac:dyDescent="0.2">
      <c r="B20" s="48" t="str">
        <f>Rates!B135</f>
        <v>Rate Rider for Global Adjustment Sub-Account Disposition (2014) - effective until December 31, 2016 Applicable only for Non-RPP Customers</v>
      </c>
      <c r="C20" s="25">
        <f>Rates!E135</f>
        <v>0</v>
      </c>
      <c r="D20" s="37">
        <f>C7</f>
        <v>800</v>
      </c>
      <c r="E20" s="36">
        <f t="shared" si="4"/>
        <v>0</v>
      </c>
      <c r="F20" s="45"/>
      <c r="G20" s="25">
        <f>Rates!I135</f>
        <v>0</v>
      </c>
      <c r="H20" s="37">
        <f t="shared" si="6"/>
        <v>800</v>
      </c>
      <c r="I20" s="36">
        <f t="shared" si="5"/>
        <v>0</v>
      </c>
      <c r="J20" s="45"/>
      <c r="K20" s="36">
        <f t="shared" si="7"/>
        <v>0</v>
      </c>
      <c r="L20" s="47" t="str">
        <f t="shared" si="8"/>
        <v xml:space="preserve"> </v>
      </c>
    </row>
    <row r="21" spans="2:12" x14ac:dyDescent="0.2">
      <c r="B21" s="44" t="str">
        <f>Rates!B136</f>
        <v>Rate Rider for Loss Revenue Adjustment Mechanism (LRAM) - effective until December 31, 2015</v>
      </c>
      <c r="C21" s="25">
        <f>Rates!E136</f>
        <v>0</v>
      </c>
      <c r="D21" s="37">
        <f>C7</f>
        <v>800</v>
      </c>
      <c r="E21" s="36">
        <f t="shared" si="4"/>
        <v>0</v>
      </c>
      <c r="F21" s="45"/>
      <c r="G21" s="25">
        <f>Rates!I136</f>
        <v>0</v>
      </c>
      <c r="H21" s="37">
        <f t="shared" si="6"/>
        <v>800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Rates!B10</f>
        <v>Low Voltage Service Rate</v>
      </c>
      <c r="C22" s="25">
        <f>Rates!E132</f>
        <v>2.0000000000000001E-4</v>
      </c>
      <c r="D22" s="37">
        <f>C7</f>
        <v>800</v>
      </c>
      <c r="E22" s="36">
        <f t="shared" si="4"/>
        <v>0.16</v>
      </c>
      <c r="F22" s="45"/>
      <c r="G22" s="25">
        <f>Rates!I132</f>
        <v>2.0000000000000001E-4</v>
      </c>
      <c r="H22" s="37">
        <f t="shared" si="6"/>
        <v>800</v>
      </c>
      <c r="I22" s="36">
        <f t="shared" si="5"/>
        <v>0.16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9" t="s">
        <v>61</v>
      </c>
      <c r="C23" s="50"/>
      <c r="D23" s="51"/>
      <c r="E23" s="52">
        <f>SUM(E16:E22)</f>
        <v>80.497904000000005</v>
      </c>
      <c r="F23" s="53"/>
      <c r="G23" s="50"/>
      <c r="H23" s="51"/>
      <c r="I23" s="52">
        <f>SUM(I16:I22)</f>
        <v>66.337903999999995</v>
      </c>
      <c r="J23" s="53"/>
      <c r="K23" s="54">
        <f t="shared" si="2"/>
        <v>-14.160000000000011</v>
      </c>
      <c r="L23" s="55">
        <f t="shared" si="3"/>
        <v>-0.1759052012087173</v>
      </c>
    </row>
    <row r="24" spans="2:12" x14ac:dyDescent="0.2">
      <c r="B24" s="44" t="str">
        <f>Rates!B16</f>
        <v>Retail Transmission Rate - Network Service Rate</v>
      </c>
      <c r="C24" s="25">
        <f>Rates!E137</f>
        <v>6.1999999999999998E-3</v>
      </c>
      <c r="D24" s="37">
        <f>C7*C5</f>
        <v>843.36</v>
      </c>
      <c r="E24" s="36">
        <f>C24*D24</f>
        <v>5.2288319999999997</v>
      </c>
      <c r="F24" s="45"/>
      <c r="G24" s="25">
        <f>Rates!I137</f>
        <v>6.4999999999999997E-3</v>
      </c>
      <c r="H24" s="37">
        <f>D24</f>
        <v>843.36</v>
      </c>
      <c r="I24" s="36">
        <f>G24*H24</f>
        <v>5.48184</v>
      </c>
      <c r="J24" s="45"/>
      <c r="K24" s="36">
        <f t="shared" si="2"/>
        <v>0.25300800000000034</v>
      </c>
      <c r="L24" s="47">
        <f t="shared" si="3"/>
        <v>4.8387096774193616E-2</v>
      </c>
    </row>
    <row r="25" spans="2:12" x14ac:dyDescent="0.2">
      <c r="B25" s="44" t="str">
        <f>Rates!B17</f>
        <v>Retail Transmission Rate - Line and Transformation Connection Service Rate</v>
      </c>
      <c r="C25" s="25">
        <f>Rates!E138</f>
        <v>4.7999999999999996E-3</v>
      </c>
      <c r="D25" s="37">
        <f>C7*C5</f>
        <v>843.36</v>
      </c>
      <c r="E25" s="36">
        <f>C25*D25</f>
        <v>4.0481279999999993</v>
      </c>
      <c r="F25" s="45"/>
      <c r="G25" s="25">
        <f>Rates!I138</f>
        <v>5.1000000000000004E-3</v>
      </c>
      <c r="H25" s="37">
        <f>D25</f>
        <v>843.36</v>
      </c>
      <c r="I25" s="36">
        <f>G25*H25</f>
        <v>4.3011360000000005</v>
      </c>
      <c r="J25" s="45"/>
      <c r="K25" s="36">
        <f t="shared" si="2"/>
        <v>0.25300800000000123</v>
      </c>
      <c r="L25" s="47">
        <f t="shared" si="3"/>
        <v>6.2500000000000319E-2</v>
      </c>
    </row>
    <row r="26" spans="2:12" x14ac:dyDescent="0.2">
      <c r="B26" s="49" t="s">
        <v>62</v>
      </c>
      <c r="C26" s="50"/>
      <c r="D26" s="51"/>
      <c r="E26" s="52">
        <f>SUM(E23:E25)</f>
        <v>89.774864000000008</v>
      </c>
      <c r="F26" s="53"/>
      <c r="G26" s="50"/>
      <c r="H26" s="52"/>
      <c r="I26" s="52">
        <f>SUM(I23:I25)</f>
        <v>76.12088</v>
      </c>
      <c r="J26" s="53"/>
      <c r="K26" s="54">
        <f t="shared" si="2"/>
        <v>-13.653984000000008</v>
      </c>
      <c r="L26" s="55">
        <f t="shared" si="3"/>
        <v>-0.15209139163942378</v>
      </c>
    </row>
    <row r="27" spans="2:12" x14ac:dyDescent="0.2">
      <c r="B27" s="44" t="str">
        <f>Rates!B253</f>
        <v>Wholesale Market Service Rate</v>
      </c>
      <c r="C27" s="25">
        <f>Rates!E253</f>
        <v>4.4000000000000003E-3</v>
      </c>
      <c r="D27" s="37">
        <f>C5*C7</f>
        <v>843.36</v>
      </c>
      <c r="E27" s="36">
        <f t="shared" ref="E27:E31" si="9">C27*D27</f>
        <v>3.7107840000000003</v>
      </c>
      <c r="F27" s="45"/>
      <c r="G27" s="25">
        <f>Rates!I253</f>
        <v>4.4000000000000003E-3</v>
      </c>
      <c r="H27" s="37">
        <f>D27</f>
        <v>843.36</v>
      </c>
      <c r="I27" s="36">
        <f t="shared" ref="I27:I31" si="10">G27*H27</f>
        <v>3.7107840000000003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Rates!B254</f>
        <v>Rural Rate Protection Charge</v>
      </c>
      <c r="C28" s="25">
        <f>Rates!E254</f>
        <v>1.1999999999999999E-3</v>
      </c>
      <c r="D28" s="37">
        <f>C5*C7</f>
        <v>843.36</v>
      </c>
      <c r="E28" s="36">
        <f t="shared" si="9"/>
        <v>1.0120319999999998</v>
      </c>
      <c r="F28" s="45"/>
      <c r="G28" s="25">
        <f>Rates!I254</f>
        <v>1.1999999999999999E-3</v>
      </c>
      <c r="H28" s="37">
        <f t="shared" ref="H28:H29" si="11">D28</f>
        <v>843.36</v>
      </c>
      <c r="I28" s="36">
        <f t="shared" si="10"/>
        <v>1.0120319999999998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Rates!B255</f>
        <v>Standard Supply Service - Administrative Charge (if applicable)</v>
      </c>
      <c r="C29" s="36">
        <f>Rates!E255</f>
        <v>0.25</v>
      </c>
      <c r="D29" s="37">
        <v>1</v>
      </c>
      <c r="E29" s="36">
        <f t="shared" si="9"/>
        <v>0.25</v>
      </c>
      <c r="F29" s="45"/>
      <c r="G29" s="36">
        <f>Rates!I255</f>
        <v>0.25</v>
      </c>
      <c r="H29" s="37">
        <f t="shared" si="11"/>
        <v>1</v>
      </c>
      <c r="I29" s="36">
        <f t="shared" si="10"/>
        <v>0.25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Rates!B258</f>
        <v>Debt Retirement Charge</v>
      </c>
      <c r="C30" s="25">
        <f>Rates!E260</f>
        <v>5.1000000000000004E-3</v>
      </c>
      <c r="D30" s="37">
        <f>C7</f>
        <v>800</v>
      </c>
      <c r="E30" s="36">
        <f t="shared" si="9"/>
        <v>4.08</v>
      </c>
      <c r="F30" s="45"/>
      <c r="G30" s="25">
        <f>Rates!I260</f>
        <v>5.1000000000000004E-3</v>
      </c>
      <c r="H30" s="37">
        <f>D30</f>
        <v>800</v>
      </c>
      <c r="I30" s="36">
        <f t="shared" si="10"/>
        <v>4.08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Rates!B275</f>
        <v>Energy Price</v>
      </c>
      <c r="C31" s="25">
        <f>Rates!E275</f>
        <v>8.3900000000000002E-2</v>
      </c>
      <c r="D31" s="37">
        <f>C7</f>
        <v>800</v>
      </c>
      <c r="E31" s="36">
        <f t="shared" si="9"/>
        <v>67.12</v>
      </c>
      <c r="F31" s="45"/>
      <c r="G31" s="25">
        <f>Rates!I275</f>
        <v>8.3900000000000002E-2</v>
      </c>
      <c r="H31" s="37">
        <f>D31</f>
        <v>800</v>
      </c>
      <c r="I31" s="36">
        <f t="shared" si="10"/>
        <v>67.12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56"/>
      <c r="C32" s="51"/>
      <c r="D32" s="51"/>
      <c r="E32" s="51"/>
      <c r="F32" s="53"/>
      <c r="G32" s="51"/>
      <c r="H32" s="51"/>
      <c r="I32" s="51"/>
      <c r="J32" s="53"/>
      <c r="K32" s="54"/>
      <c r="L32" s="55"/>
    </row>
    <row r="33" spans="2:12" x14ac:dyDescent="0.2">
      <c r="B33" s="23" t="s">
        <v>63</v>
      </c>
      <c r="C33" s="35"/>
      <c r="D33" s="35"/>
      <c r="E33" s="39">
        <f>SUM(E26:E31)</f>
        <v>165.94768000000002</v>
      </c>
      <c r="F33" s="45"/>
      <c r="G33" s="35"/>
      <c r="H33" s="39"/>
      <c r="I33" s="39">
        <f>SUM(I26:I31)</f>
        <v>152.29369600000001</v>
      </c>
      <c r="J33" s="45"/>
      <c r="K33" s="36">
        <f t="shared" si="2"/>
        <v>-13.653984000000008</v>
      </c>
      <c r="L33" s="47">
        <f t="shared" si="3"/>
        <v>-8.2278848369558441E-2</v>
      </c>
    </row>
    <row r="34" spans="2:12" x14ac:dyDescent="0.2">
      <c r="B34" s="44" t="str">
        <f>Rates!B277</f>
        <v>HST</v>
      </c>
      <c r="C34" s="41">
        <f>Rates!E277</f>
        <v>0.13</v>
      </c>
      <c r="D34" s="35"/>
      <c r="E34" s="42">
        <f>E33*C34</f>
        <v>21.573198400000003</v>
      </c>
      <c r="F34" s="45"/>
      <c r="G34" s="41">
        <f>Rates!I277</f>
        <v>0.13</v>
      </c>
      <c r="H34" s="35"/>
      <c r="I34" s="42">
        <f>I33*G34</f>
        <v>19.798180480000003</v>
      </c>
      <c r="J34" s="45"/>
      <c r="K34" s="36">
        <f t="shared" si="2"/>
        <v>-1.7750179199999998</v>
      </c>
      <c r="L34" s="47">
        <f t="shared" si="3"/>
        <v>-8.2278848369558386E-2</v>
      </c>
    </row>
    <row r="35" spans="2:12" x14ac:dyDescent="0.2">
      <c r="B35" s="23" t="s">
        <v>64</v>
      </c>
      <c r="C35" s="35"/>
      <c r="D35" s="35"/>
      <c r="E35" s="42">
        <f>E33+E34</f>
        <v>187.52087840000002</v>
      </c>
      <c r="F35" s="45"/>
      <c r="G35" s="35"/>
      <c r="H35" s="35"/>
      <c r="I35" s="42">
        <f>I33+I34</f>
        <v>172.09187648000002</v>
      </c>
      <c r="J35" s="45"/>
      <c r="K35" s="36">
        <f t="shared" si="2"/>
        <v>-15.42900191999999</v>
      </c>
      <c r="L35" s="47">
        <f t="shared" si="3"/>
        <v>-8.2278848369558344E-2</v>
      </c>
    </row>
    <row r="36" spans="2:12" x14ac:dyDescent="0.2">
      <c r="B36" s="44" t="str">
        <f>Rates!B279</f>
        <v>OCEB</v>
      </c>
      <c r="C36" s="41">
        <f>Rates!E279</f>
        <v>-0.1</v>
      </c>
      <c r="D36" s="35"/>
      <c r="E36" s="42">
        <f>E35*C36</f>
        <v>-18.752087840000002</v>
      </c>
      <c r="F36" s="45"/>
      <c r="G36" s="41">
        <f>Rates!I279</f>
        <v>-0.1</v>
      </c>
      <c r="H36" s="35"/>
      <c r="I36" s="42">
        <f>I35*G36</f>
        <v>-17.209187648000004</v>
      </c>
      <c r="J36" s="45"/>
      <c r="K36" s="36">
        <f t="shared" si="2"/>
        <v>1.5429001919999976</v>
      </c>
      <c r="L36" s="47">
        <f t="shared" si="3"/>
        <v>-8.2278848369558275E-2</v>
      </c>
    </row>
    <row r="37" spans="2:12" ht="13.5" thickBot="1" x14ac:dyDescent="0.25">
      <c r="B37" s="30" t="s">
        <v>65</v>
      </c>
      <c r="C37" s="57"/>
      <c r="D37" s="57"/>
      <c r="E37" s="58">
        <f>E35+E36</f>
        <v>168.76879056000001</v>
      </c>
      <c r="F37" s="59"/>
      <c r="G37" s="57"/>
      <c r="H37" s="57"/>
      <c r="I37" s="58">
        <f>I35+I36</f>
        <v>154.88268883200001</v>
      </c>
      <c r="J37" s="59"/>
      <c r="K37" s="60">
        <f t="shared" si="2"/>
        <v>-13.886101728</v>
      </c>
      <c r="L37" s="61">
        <f t="shared" si="3"/>
        <v>-8.2278848369558399E-2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7"/>
  <sheetViews>
    <sheetView showGridLines="0" workbookViewId="0">
      <selection activeCell="G21" sqref="G21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Rates!B140</f>
        <v xml:space="preserve">Sentinel Lighting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60</v>
      </c>
    </row>
    <row r="8" spans="2:12" x14ac:dyDescent="0.2">
      <c r="B8" s="28" t="s">
        <v>69</v>
      </c>
      <c r="C8" s="62">
        <v>0.2</v>
      </c>
    </row>
    <row r="9" spans="2:12" ht="13.5" thickBot="1" x14ac:dyDescent="0.25">
      <c r="B9" s="30" t="s">
        <v>70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Rates!E141</f>
        <v>5.08</v>
      </c>
      <c r="D14" s="37">
        <f>C6</f>
        <v>1</v>
      </c>
      <c r="E14" s="36">
        <f>C14*D14</f>
        <v>5.08</v>
      </c>
      <c r="F14" s="45"/>
      <c r="G14" s="36">
        <f>Rates!I141</f>
        <v>5.18</v>
      </c>
      <c r="H14" s="37">
        <f>D14</f>
        <v>1</v>
      </c>
      <c r="I14" s="36">
        <f>G14*H14</f>
        <v>5.18</v>
      </c>
      <c r="J14" s="45"/>
      <c r="K14" s="36">
        <f>I14-E14</f>
        <v>9.9999999999999645E-2</v>
      </c>
      <c r="L14" s="47">
        <f>IF((E14)=0," ",K14/E14)</f>
        <v>1.968503937007867E-2</v>
      </c>
    </row>
    <row r="15" spans="2:12" x14ac:dyDescent="0.2">
      <c r="B15" s="44" t="str">
        <f>Rates!B7</f>
        <v>Distribution Volumetric Rate</v>
      </c>
      <c r="C15" s="25">
        <f>Rates!E142</f>
        <v>5.0109000000000004</v>
      </c>
      <c r="D15" s="93">
        <f>C8</f>
        <v>0.2</v>
      </c>
      <c r="E15" s="36">
        <f t="shared" ref="E15" si="0">C15*D15</f>
        <v>1.0021800000000001</v>
      </c>
      <c r="F15" s="45"/>
      <c r="G15" s="25">
        <f>Rates!I142</f>
        <v>4.9612999999999996</v>
      </c>
      <c r="H15" s="93">
        <f>D15</f>
        <v>0.2</v>
      </c>
      <c r="I15" s="36">
        <f t="shared" ref="I15" si="1">G15*H15</f>
        <v>0.99225999999999992</v>
      </c>
      <c r="J15" s="45"/>
      <c r="K15" s="36">
        <f t="shared" ref="K15:K37" si="2">I15-E15</f>
        <v>-9.9200000000001509E-3</v>
      </c>
      <c r="L15" s="47">
        <f t="shared" ref="L15:L37" si="3">IF((E15)=0," ",K15/E15)</f>
        <v>-9.8984214412582081E-3</v>
      </c>
    </row>
    <row r="16" spans="2:12" x14ac:dyDescent="0.2">
      <c r="B16" s="49" t="s">
        <v>38</v>
      </c>
      <c r="C16" s="50"/>
      <c r="D16" s="51"/>
      <c r="E16" s="52">
        <f>SUM(E14:E15)</f>
        <v>6.0821800000000001</v>
      </c>
      <c r="F16" s="53"/>
      <c r="G16" s="50"/>
      <c r="H16" s="51"/>
      <c r="I16" s="52">
        <f>SUM(I14:I15)</f>
        <v>6.1722599999999996</v>
      </c>
      <c r="J16" s="53"/>
      <c r="K16" s="54">
        <f t="shared" si="2"/>
        <v>9.0079999999999494E-2</v>
      </c>
      <c r="L16" s="55">
        <f t="shared" si="3"/>
        <v>1.4810479137414461E-2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3.2520000000000016</v>
      </c>
      <c r="E17" s="36">
        <f t="shared" ref="E17:E22" si="4">C17*D17</f>
        <v>0.27284280000000016</v>
      </c>
      <c r="F17" s="45"/>
      <c r="G17" s="25">
        <f>Rates!I275</f>
        <v>8.3900000000000002E-2</v>
      </c>
      <c r="H17" s="40">
        <f>(C5-1)*C7</f>
        <v>3.2520000000000016</v>
      </c>
      <c r="I17" s="36">
        <f t="shared" ref="I17:I22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Rates!E144</f>
        <v>-0.40139999999999998</v>
      </c>
      <c r="D18" s="91">
        <f>C8</f>
        <v>0.2</v>
      </c>
      <c r="E18" s="36">
        <f t="shared" si="4"/>
        <v>-8.0280000000000004E-2</v>
      </c>
      <c r="F18" s="45"/>
      <c r="G18" s="25">
        <f>Rates!I144</f>
        <v>0</v>
      </c>
      <c r="H18" s="91">
        <f t="shared" ref="H18:H22" si="6">D18</f>
        <v>0.2</v>
      </c>
      <c r="I18" s="36">
        <f t="shared" si="5"/>
        <v>0</v>
      </c>
      <c r="J18" s="45"/>
      <c r="K18" s="36">
        <f t="shared" si="2"/>
        <v>8.0280000000000004E-2</v>
      </c>
      <c r="L18" s="47">
        <f t="shared" si="3"/>
        <v>-1</v>
      </c>
    </row>
    <row r="19" spans="2:12" x14ac:dyDescent="0.2">
      <c r="B19" s="44" t="str">
        <f>Rates!B145</f>
        <v>Rate Rider for Deferral/Variance Account Disposition (2014) - effective until December 31, 2016</v>
      </c>
      <c r="C19" s="25">
        <f>Rates!E145</f>
        <v>0</v>
      </c>
      <c r="D19" s="91">
        <f>C8</f>
        <v>0.2</v>
      </c>
      <c r="E19" s="36">
        <f t="shared" si="4"/>
        <v>0</v>
      </c>
      <c r="F19" s="45"/>
      <c r="G19" s="25">
        <f>Rates!I145</f>
        <v>0.22090000000000001</v>
      </c>
      <c r="H19" s="91">
        <f t="shared" si="6"/>
        <v>0.2</v>
      </c>
      <c r="I19" s="36">
        <f t="shared" si="5"/>
        <v>4.4180000000000004E-2</v>
      </c>
      <c r="J19" s="45"/>
      <c r="K19" s="36">
        <f t="shared" ref="K19:K21" si="7">I19-E19</f>
        <v>4.4180000000000004E-2</v>
      </c>
      <c r="L19" s="47" t="str">
        <f t="shared" ref="L19:L21" si="8">IF((E19)=0," ",K19/E19)</f>
        <v xml:space="preserve"> </v>
      </c>
    </row>
    <row r="20" spans="2:12" ht="25.5" x14ac:dyDescent="0.2">
      <c r="B20" s="48" t="str">
        <f>Rates!B146</f>
        <v>Rate Rider for Global Adjustment Sub-Account Disposition (2014) - effective until December 31, 2016 Applicable only for Non-RPP Customers</v>
      </c>
      <c r="C20" s="25">
        <f>Rates!E146</f>
        <v>0</v>
      </c>
      <c r="D20" s="91">
        <f>C8</f>
        <v>0.2</v>
      </c>
      <c r="E20" s="36">
        <f t="shared" si="4"/>
        <v>0</v>
      </c>
      <c r="F20" s="45"/>
      <c r="G20" s="25">
        <f>Rates!I146</f>
        <v>0</v>
      </c>
      <c r="H20" s="91">
        <f t="shared" si="6"/>
        <v>0.2</v>
      </c>
      <c r="I20" s="36">
        <f t="shared" si="5"/>
        <v>0</v>
      </c>
      <c r="J20" s="45"/>
      <c r="K20" s="36">
        <f t="shared" si="7"/>
        <v>0</v>
      </c>
      <c r="L20" s="47" t="str">
        <f t="shared" si="8"/>
        <v xml:space="preserve"> </v>
      </c>
    </row>
    <row r="21" spans="2:12" x14ac:dyDescent="0.2">
      <c r="B21" s="44" t="str">
        <f>Rates!B147</f>
        <v>Rate Rider for Loss Revenue Adjustment Mechanism (LRAM) - effective until December 31, 2015</v>
      </c>
      <c r="C21" s="25">
        <f>Rates!E147</f>
        <v>0</v>
      </c>
      <c r="D21" s="91">
        <f>C8</f>
        <v>0.2</v>
      </c>
      <c r="E21" s="36">
        <f t="shared" si="4"/>
        <v>0</v>
      </c>
      <c r="F21" s="45"/>
      <c r="G21" s="25">
        <f>Rates!I147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Rates!B10</f>
        <v>Low Voltage Service Rate</v>
      </c>
      <c r="C22" s="25">
        <f>Rates!E143</f>
        <v>5.4199999999999998E-2</v>
      </c>
      <c r="D22" s="91">
        <f>C8</f>
        <v>0.2</v>
      </c>
      <c r="E22" s="36">
        <f t="shared" si="4"/>
        <v>1.0840000000000001E-2</v>
      </c>
      <c r="F22" s="45"/>
      <c r="G22" s="25">
        <f>Rates!I143</f>
        <v>5.4199999999999998E-2</v>
      </c>
      <c r="H22" s="91">
        <f t="shared" si="6"/>
        <v>0.2</v>
      </c>
      <c r="I22" s="36">
        <f t="shared" si="5"/>
        <v>1.0840000000000001E-2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9" t="s">
        <v>61</v>
      </c>
      <c r="C23" s="50"/>
      <c r="D23" s="92"/>
      <c r="E23" s="52">
        <f>SUM(E16:E22)</f>
        <v>6.2855828000000002</v>
      </c>
      <c r="F23" s="53"/>
      <c r="G23" s="50"/>
      <c r="H23" s="92"/>
      <c r="I23" s="52">
        <f>SUM(I16:I22)</f>
        <v>6.5001227999999998</v>
      </c>
      <c r="J23" s="53"/>
      <c r="K23" s="54">
        <f t="shared" si="2"/>
        <v>0.21453999999999951</v>
      </c>
      <c r="L23" s="55">
        <f t="shared" si="3"/>
        <v>3.4132077617368986E-2</v>
      </c>
    </row>
    <row r="24" spans="2:12" x14ac:dyDescent="0.2">
      <c r="B24" s="44" t="str">
        <f>Rates!B16</f>
        <v>Retail Transmission Rate - Network Service Rate</v>
      </c>
      <c r="C24" s="25">
        <f>Rates!E148</f>
        <v>2.1646999999999998</v>
      </c>
      <c r="D24" s="91">
        <f>C8</f>
        <v>0.2</v>
      </c>
      <c r="E24" s="36">
        <f>C24*D24</f>
        <v>0.43293999999999999</v>
      </c>
      <c r="F24" s="45"/>
      <c r="G24" s="25">
        <f>Rates!I148</f>
        <v>2.2633999999999999</v>
      </c>
      <c r="H24" s="91">
        <f>D24</f>
        <v>0.2</v>
      </c>
      <c r="I24" s="36">
        <f>G24*H24</f>
        <v>0.45267999999999997</v>
      </c>
      <c r="J24" s="45"/>
      <c r="K24" s="36">
        <f t="shared" si="2"/>
        <v>1.973999999999998E-2</v>
      </c>
      <c r="L24" s="47">
        <f t="shared" si="3"/>
        <v>4.5595232595740706E-2</v>
      </c>
    </row>
    <row r="25" spans="2:12" x14ac:dyDescent="0.2">
      <c r="B25" s="44" t="str">
        <f>Rates!B17</f>
        <v>Retail Transmission Rate - Line and Transformation Connection Service Rate</v>
      </c>
      <c r="C25" s="25">
        <f>Rates!E149</f>
        <v>1.5792999999999999</v>
      </c>
      <c r="D25" s="91">
        <f>C8</f>
        <v>0.2</v>
      </c>
      <c r="E25" s="36">
        <f>C25*D25</f>
        <v>0.31586000000000003</v>
      </c>
      <c r="F25" s="45"/>
      <c r="G25" s="25">
        <f>Rates!I149</f>
        <v>1.6627000000000001</v>
      </c>
      <c r="H25" s="91">
        <f>D25</f>
        <v>0.2</v>
      </c>
      <c r="I25" s="36">
        <f>G25*H25</f>
        <v>0.33254000000000006</v>
      </c>
      <c r="J25" s="45"/>
      <c r="K25" s="36">
        <f t="shared" si="2"/>
        <v>1.6680000000000028E-2</v>
      </c>
      <c r="L25" s="47">
        <f t="shared" si="3"/>
        <v>5.2808206167289387E-2</v>
      </c>
    </row>
    <row r="26" spans="2:12" x14ac:dyDescent="0.2">
      <c r="B26" s="49" t="s">
        <v>62</v>
      </c>
      <c r="C26" s="50"/>
      <c r="D26" s="51"/>
      <c r="E26" s="52">
        <f>SUM(E23:E25)</f>
        <v>7.0343828000000004</v>
      </c>
      <c r="F26" s="53"/>
      <c r="G26" s="50"/>
      <c r="H26" s="52"/>
      <c r="I26" s="52">
        <f>SUM(I23:I25)</f>
        <v>7.2853427999999996</v>
      </c>
      <c r="J26" s="53"/>
      <c r="K26" s="54">
        <f t="shared" si="2"/>
        <v>0.25095999999999918</v>
      </c>
      <c r="L26" s="55">
        <f t="shared" si="3"/>
        <v>3.56761932262201E-2</v>
      </c>
    </row>
    <row r="27" spans="2:12" x14ac:dyDescent="0.2">
      <c r="B27" s="44" t="str">
        <f>Rates!B253</f>
        <v>Wholesale Market Service Rate</v>
      </c>
      <c r="C27" s="25">
        <f>Rates!E253</f>
        <v>4.4000000000000003E-3</v>
      </c>
      <c r="D27" s="37">
        <f>C5*C7</f>
        <v>63.252000000000002</v>
      </c>
      <c r="E27" s="36">
        <f t="shared" ref="E27:E31" si="9">C27*D27</f>
        <v>0.27830880000000002</v>
      </c>
      <c r="F27" s="45"/>
      <c r="G27" s="25">
        <f>Rates!I253</f>
        <v>4.4000000000000003E-3</v>
      </c>
      <c r="H27" s="37">
        <f>D27</f>
        <v>63.252000000000002</v>
      </c>
      <c r="I27" s="36">
        <f t="shared" ref="I27:I31" si="10">G27*H27</f>
        <v>0.27830880000000002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Rates!B254</f>
        <v>Rural Rate Protection Charge</v>
      </c>
      <c r="C28" s="25">
        <f>Rates!E254</f>
        <v>1.1999999999999999E-3</v>
      </c>
      <c r="D28" s="37">
        <f>C5*C7</f>
        <v>63.252000000000002</v>
      </c>
      <c r="E28" s="36">
        <f t="shared" si="9"/>
        <v>7.5902399999999995E-2</v>
      </c>
      <c r="F28" s="45"/>
      <c r="G28" s="25">
        <f>Rates!I254</f>
        <v>1.1999999999999999E-3</v>
      </c>
      <c r="H28" s="37">
        <f t="shared" ref="H28:H29" si="11">D28</f>
        <v>63.252000000000002</v>
      </c>
      <c r="I28" s="36">
        <f t="shared" si="10"/>
        <v>7.5902399999999995E-2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Rates!B255</f>
        <v>Standard Supply Service - Administrative Charge (if applicable)</v>
      </c>
      <c r="C29" s="36">
        <f>Rates!E255</f>
        <v>0.25</v>
      </c>
      <c r="D29" s="37">
        <v>1</v>
      </c>
      <c r="E29" s="36">
        <f t="shared" si="9"/>
        <v>0.25</v>
      </c>
      <c r="F29" s="45"/>
      <c r="G29" s="36">
        <f>Rates!I255</f>
        <v>0.25</v>
      </c>
      <c r="H29" s="37">
        <f t="shared" si="11"/>
        <v>1</v>
      </c>
      <c r="I29" s="36">
        <f t="shared" si="10"/>
        <v>0.25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Rates!B258</f>
        <v>Debt Retirement Charge</v>
      </c>
      <c r="C30" s="25">
        <f>Rates!E260</f>
        <v>5.1000000000000004E-3</v>
      </c>
      <c r="D30" s="37">
        <f>C7</f>
        <v>60</v>
      </c>
      <c r="E30" s="36">
        <f t="shared" si="9"/>
        <v>0.30600000000000005</v>
      </c>
      <c r="F30" s="45"/>
      <c r="G30" s="25">
        <f>Rates!I260</f>
        <v>5.1000000000000004E-3</v>
      </c>
      <c r="H30" s="37">
        <f>D30</f>
        <v>60</v>
      </c>
      <c r="I30" s="36">
        <f t="shared" si="10"/>
        <v>0.30600000000000005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Rates!B275</f>
        <v>Energy Price</v>
      </c>
      <c r="C31" s="25">
        <f>Rates!E275</f>
        <v>8.3900000000000002E-2</v>
      </c>
      <c r="D31" s="37">
        <f>C7*0.64</f>
        <v>38.4</v>
      </c>
      <c r="E31" s="36">
        <f t="shared" si="9"/>
        <v>3.2217600000000002</v>
      </c>
      <c r="F31" s="45"/>
      <c r="G31" s="25">
        <f>Rates!I275</f>
        <v>8.3900000000000002E-2</v>
      </c>
      <c r="H31" s="37">
        <f>D31</f>
        <v>38.4</v>
      </c>
      <c r="I31" s="36">
        <f t="shared" si="10"/>
        <v>3.2217600000000002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56"/>
      <c r="C32" s="51"/>
      <c r="D32" s="51"/>
      <c r="E32" s="51"/>
      <c r="F32" s="53"/>
      <c r="G32" s="51"/>
      <c r="H32" s="51"/>
      <c r="I32" s="51"/>
      <c r="J32" s="53"/>
      <c r="K32" s="54"/>
      <c r="L32" s="55"/>
    </row>
    <row r="33" spans="2:12" x14ac:dyDescent="0.2">
      <c r="B33" s="23" t="s">
        <v>63</v>
      </c>
      <c r="C33" s="35"/>
      <c r="D33" s="35"/>
      <c r="E33" s="39">
        <f>SUM(E26:E31)</f>
        <v>11.166354000000002</v>
      </c>
      <c r="F33" s="45"/>
      <c r="G33" s="35"/>
      <c r="H33" s="39"/>
      <c r="I33" s="39">
        <f>SUM(I26:I31)</f>
        <v>11.417314000000001</v>
      </c>
      <c r="J33" s="45"/>
      <c r="K33" s="36">
        <f t="shared" si="2"/>
        <v>0.25095999999999918</v>
      </c>
      <c r="L33" s="47">
        <f t="shared" si="3"/>
        <v>2.2474659141202145E-2</v>
      </c>
    </row>
    <row r="34" spans="2:12" x14ac:dyDescent="0.2">
      <c r="B34" s="44" t="str">
        <f>Rates!B277</f>
        <v>HST</v>
      </c>
      <c r="C34" s="41">
        <f>Rates!E277</f>
        <v>0.13</v>
      </c>
      <c r="D34" s="35"/>
      <c r="E34" s="42">
        <f>E33*C34</f>
        <v>1.4516260200000004</v>
      </c>
      <c r="F34" s="45"/>
      <c r="G34" s="41">
        <f>Rates!I277</f>
        <v>0.13</v>
      </c>
      <c r="H34" s="35"/>
      <c r="I34" s="42">
        <f>I33*G34</f>
        <v>1.4842508200000002</v>
      </c>
      <c r="J34" s="45"/>
      <c r="K34" s="36">
        <f t="shared" si="2"/>
        <v>3.2624799999999787E-2</v>
      </c>
      <c r="L34" s="47">
        <f t="shared" si="3"/>
        <v>2.2474659141202068E-2</v>
      </c>
    </row>
    <row r="35" spans="2:12" x14ac:dyDescent="0.2">
      <c r="B35" s="23" t="s">
        <v>64</v>
      </c>
      <c r="C35" s="35"/>
      <c r="D35" s="35"/>
      <c r="E35" s="42">
        <f>E33+E34</f>
        <v>12.617980020000003</v>
      </c>
      <c r="F35" s="45"/>
      <c r="G35" s="35"/>
      <c r="H35" s="35"/>
      <c r="I35" s="42">
        <f>I33+I34</f>
        <v>12.901564820000001</v>
      </c>
      <c r="J35" s="45"/>
      <c r="K35" s="36">
        <f t="shared" si="2"/>
        <v>0.28358479999999808</v>
      </c>
      <c r="L35" s="47">
        <f t="shared" si="3"/>
        <v>2.2474659141202065E-2</v>
      </c>
    </row>
    <row r="36" spans="2:12" x14ac:dyDescent="0.2">
      <c r="B36" s="44" t="str">
        <f>Rates!B279</f>
        <v>OCEB</v>
      </c>
      <c r="C36" s="41">
        <f>Rates!E279</f>
        <v>-0.1</v>
      </c>
      <c r="D36" s="35"/>
      <c r="E36" s="42">
        <f>E35*C36</f>
        <v>-1.2617980020000004</v>
      </c>
      <c r="F36" s="45"/>
      <c r="G36" s="41">
        <f>Rates!I279</f>
        <v>-0.1</v>
      </c>
      <c r="H36" s="35"/>
      <c r="I36" s="42">
        <f>I35*G36</f>
        <v>-1.2901564820000002</v>
      </c>
      <c r="J36" s="45"/>
      <c r="K36" s="36">
        <f t="shared" si="2"/>
        <v>-2.8358479999999853E-2</v>
      </c>
      <c r="L36" s="47">
        <f t="shared" si="3"/>
        <v>2.24746591412021E-2</v>
      </c>
    </row>
    <row r="37" spans="2:12" ht="13.5" thickBot="1" x14ac:dyDescent="0.25">
      <c r="B37" s="30" t="s">
        <v>65</v>
      </c>
      <c r="C37" s="57"/>
      <c r="D37" s="57"/>
      <c r="E37" s="58">
        <f>E35+E36</f>
        <v>11.356182018000002</v>
      </c>
      <c r="F37" s="59"/>
      <c r="G37" s="57"/>
      <c r="H37" s="57"/>
      <c r="I37" s="58">
        <f>I35+I36</f>
        <v>11.611408338</v>
      </c>
      <c r="J37" s="59"/>
      <c r="K37" s="60">
        <f t="shared" si="2"/>
        <v>0.25522631999999845</v>
      </c>
      <c r="L37" s="61">
        <f t="shared" si="3"/>
        <v>2.2474659141202082E-2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G23" sqref="G2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Rates!B86</f>
        <v>CNPI - Eastern Ontario Power</v>
      </c>
    </row>
    <row r="3" spans="2:12" ht="15.75" x14ac:dyDescent="0.25">
      <c r="B3" s="24" t="str">
        <f>Rates!B151</f>
        <v>Street Lighting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900</v>
      </c>
    </row>
    <row r="7" spans="2:12" x14ac:dyDescent="0.2">
      <c r="B7" s="28" t="s">
        <v>68</v>
      </c>
      <c r="C7" s="29">
        <v>46000</v>
      </c>
    </row>
    <row r="8" spans="2:12" x14ac:dyDescent="0.2">
      <c r="B8" s="28" t="s">
        <v>69</v>
      </c>
      <c r="C8" s="62">
        <v>129</v>
      </c>
    </row>
    <row r="9" spans="2:12" ht="13.5" thickBot="1" x14ac:dyDescent="0.25">
      <c r="B9" s="30" t="s">
        <v>70</v>
      </c>
      <c r="C9" s="31">
        <f>IF(C8=0,"n/a",C7/(C8*24*365/12))</f>
        <v>0.48847828395455029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Rates!E152</f>
        <v>5.35</v>
      </c>
      <c r="D14" s="37">
        <f>C6</f>
        <v>900</v>
      </c>
      <c r="E14" s="36">
        <f>C14*D14</f>
        <v>4815</v>
      </c>
      <c r="F14" s="45"/>
      <c r="G14" s="36">
        <f>Rates!I152</f>
        <v>5.05</v>
      </c>
      <c r="H14" s="37">
        <f>D14</f>
        <v>900</v>
      </c>
      <c r="I14" s="36">
        <f>G14*H14</f>
        <v>4545</v>
      </c>
      <c r="J14" s="45"/>
      <c r="K14" s="36">
        <f>I14-E14</f>
        <v>-270</v>
      </c>
      <c r="L14" s="47">
        <f>IF((E14)=0," ",K14/E14)</f>
        <v>-5.6074766355140186E-2</v>
      </c>
    </row>
    <row r="15" spans="2:12" x14ac:dyDescent="0.2">
      <c r="B15" s="44" t="str">
        <f>Rates!B7</f>
        <v>Distribution Volumetric Rate</v>
      </c>
      <c r="C15" s="25">
        <f>Rates!E153</f>
        <v>10.1196</v>
      </c>
      <c r="D15" s="38">
        <f>C8</f>
        <v>129</v>
      </c>
      <c r="E15" s="36">
        <f t="shared" ref="E15" si="0">C15*D15</f>
        <v>1305.4284</v>
      </c>
      <c r="F15" s="45"/>
      <c r="G15" s="25">
        <f>Rates!I153</f>
        <v>10.5045</v>
      </c>
      <c r="H15" s="38">
        <f>D15</f>
        <v>129</v>
      </c>
      <c r="I15" s="36">
        <f t="shared" ref="I15" si="1">G15*H15</f>
        <v>1355.0805</v>
      </c>
      <c r="J15" s="45"/>
      <c r="K15" s="36">
        <f t="shared" ref="K15:K38" si="2">I15-E15</f>
        <v>49.652100000000019</v>
      </c>
      <c r="L15" s="47">
        <f t="shared" ref="L15:L38" si="3">IF((E15)=0," ",K15/E15)</f>
        <v>3.8035100201589012E-2</v>
      </c>
    </row>
    <row r="16" spans="2:12" x14ac:dyDescent="0.2">
      <c r="B16" s="49" t="s">
        <v>38</v>
      </c>
      <c r="C16" s="50"/>
      <c r="D16" s="51"/>
      <c r="E16" s="52">
        <f>SUM(E14:E15)</f>
        <v>6120.4283999999998</v>
      </c>
      <c r="F16" s="53"/>
      <c r="G16" s="50"/>
      <c r="H16" s="51"/>
      <c r="I16" s="52">
        <f>SUM(I14:I15)</f>
        <v>5900.0805</v>
      </c>
      <c r="J16" s="53"/>
      <c r="K16" s="54">
        <f t="shared" si="2"/>
        <v>-220.34789999999975</v>
      </c>
      <c r="L16" s="55">
        <f t="shared" si="3"/>
        <v>-3.6002038680821719E-2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2493.2000000000012</v>
      </c>
      <c r="E17" s="36">
        <f t="shared" ref="E17:E23" si="4">C17*D17</f>
        <v>209.1794800000001</v>
      </c>
      <c r="F17" s="45"/>
      <c r="G17" s="25">
        <f>Rates!I275</f>
        <v>8.3900000000000002E-2</v>
      </c>
      <c r="H17" s="40">
        <f>(C5-1)*C7</f>
        <v>2493.2000000000012</v>
      </c>
      <c r="I17" s="36">
        <f t="shared" ref="I17:I23" si="5">G17*H17</f>
        <v>209.1794800000001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Rates!E155</f>
        <v>-0.29089999999999999</v>
      </c>
      <c r="D18" s="37">
        <f>C8</f>
        <v>129</v>
      </c>
      <c r="E18" s="36">
        <f t="shared" si="4"/>
        <v>-37.5261</v>
      </c>
      <c r="F18" s="45"/>
      <c r="G18" s="25">
        <f>Rates!I155</f>
        <v>0</v>
      </c>
      <c r="H18" s="37">
        <f t="shared" ref="H18:H23" si="6">D18</f>
        <v>129</v>
      </c>
      <c r="I18" s="36">
        <f t="shared" si="5"/>
        <v>0</v>
      </c>
      <c r="J18" s="45"/>
      <c r="K18" s="36">
        <f t="shared" si="2"/>
        <v>37.5261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Rates!E156</f>
        <v>0.70679999999999998</v>
      </c>
      <c r="D19" s="37">
        <f>C8</f>
        <v>129</v>
      </c>
      <c r="E19" s="36">
        <f t="shared" si="4"/>
        <v>91.177199999999999</v>
      </c>
      <c r="F19" s="45"/>
      <c r="G19" s="25">
        <f>Rates!I156</f>
        <v>0</v>
      </c>
      <c r="H19" s="37">
        <f t="shared" si="6"/>
        <v>129</v>
      </c>
      <c r="I19" s="36">
        <f t="shared" si="5"/>
        <v>0</v>
      </c>
      <c r="J19" s="45"/>
      <c r="K19" s="36">
        <f t="shared" si="2"/>
        <v>-91.177199999999999</v>
      </c>
      <c r="L19" s="47">
        <f t="shared" si="3"/>
        <v>-1</v>
      </c>
    </row>
    <row r="20" spans="2:12" x14ac:dyDescent="0.2">
      <c r="B20" s="48" t="str">
        <f>Rates!B158</f>
        <v>Rate Rider for Deferral/Variance Account Disposition (2014) - effective until December 31, 2016</v>
      </c>
      <c r="C20" s="25">
        <f>Rates!E158</f>
        <v>0</v>
      </c>
      <c r="D20" s="37">
        <f>C8</f>
        <v>129</v>
      </c>
      <c r="E20" s="36">
        <f t="shared" si="4"/>
        <v>0</v>
      </c>
      <c r="F20" s="45"/>
      <c r="G20" s="25">
        <f>Rates!I158</f>
        <v>7.5600000000000001E-2</v>
      </c>
      <c r="H20" s="37">
        <f t="shared" si="6"/>
        <v>129</v>
      </c>
      <c r="I20" s="36">
        <f t="shared" si="5"/>
        <v>9.7523999999999997</v>
      </c>
      <c r="J20" s="45"/>
      <c r="K20" s="36">
        <f t="shared" ref="K20:K22" si="7">I20-E20</f>
        <v>9.7523999999999997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Rates!B159</f>
        <v>Rate Rider for Global Adjustment Sub-Account Disposition (2014) - effective until December 31, 2016 Applicable only for Non-RPP Customers</v>
      </c>
      <c r="C21" s="25">
        <f>Rates!E159</f>
        <v>0</v>
      </c>
      <c r="D21" s="37">
        <f>C8</f>
        <v>129</v>
      </c>
      <c r="E21" s="36">
        <f t="shared" si="4"/>
        <v>0</v>
      </c>
      <c r="F21" s="45"/>
      <c r="G21" s="25">
        <f>Rates!I159</f>
        <v>2.4809999999999999</v>
      </c>
      <c r="H21" s="37">
        <f t="shared" si="6"/>
        <v>129</v>
      </c>
      <c r="I21" s="36">
        <f t="shared" si="5"/>
        <v>320.04899999999998</v>
      </c>
      <c r="J21" s="45"/>
      <c r="K21" s="36">
        <f t="shared" si="7"/>
        <v>320.04899999999998</v>
      </c>
      <c r="L21" s="47" t="str">
        <f t="shared" si="8"/>
        <v xml:space="preserve"> </v>
      </c>
    </row>
    <row r="22" spans="2:12" x14ac:dyDescent="0.2">
      <c r="B22" s="48" t="str">
        <f>Rates!B160</f>
        <v>Rate Rider for Loss Revenue Adjustment Mechanism (LRAM) - effective until December 31, 2015</v>
      </c>
      <c r="C22" s="25">
        <f>Rates!E160</f>
        <v>0</v>
      </c>
      <c r="D22" s="37">
        <f>C8</f>
        <v>129</v>
      </c>
      <c r="E22" s="36">
        <f t="shared" si="4"/>
        <v>0</v>
      </c>
      <c r="F22" s="45"/>
      <c r="G22" s="25">
        <f>Rates!I160</f>
        <v>0</v>
      </c>
      <c r="H22" s="37">
        <f t="shared" si="6"/>
        <v>129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Rates!E154</f>
        <v>5.0700000000000002E-2</v>
      </c>
      <c r="D23" s="37">
        <f>C8</f>
        <v>129</v>
      </c>
      <c r="E23" s="36">
        <f t="shared" si="4"/>
        <v>6.5403000000000002</v>
      </c>
      <c r="F23" s="45"/>
      <c r="G23" s="25">
        <f>Rates!I154</f>
        <v>5.0700000000000002E-2</v>
      </c>
      <c r="H23" s="37">
        <f t="shared" si="6"/>
        <v>129</v>
      </c>
      <c r="I23" s="36">
        <f t="shared" si="5"/>
        <v>6.5403000000000002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6389.7992799999993</v>
      </c>
      <c r="F24" s="53"/>
      <c r="G24" s="50"/>
      <c r="H24" s="51"/>
      <c r="I24" s="52">
        <f>SUM(I16:I23)</f>
        <v>6445.6016799999998</v>
      </c>
      <c r="J24" s="53"/>
      <c r="K24" s="54">
        <f t="shared" si="2"/>
        <v>55.802400000000489</v>
      </c>
      <c r="L24" s="55">
        <f t="shared" si="3"/>
        <v>8.7330442717756997E-3</v>
      </c>
    </row>
    <row r="25" spans="2:12" x14ac:dyDescent="0.2">
      <c r="B25" s="44" t="str">
        <f>Rates!B16</f>
        <v>Retail Transmission Rate - Network Service Rate</v>
      </c>
      <c r="C25" s="25">
        <f>Rates!E161</f>
        <v>1.8801000000000001</v>
      </c>
      <c r="D25" s="37">
        <f>C8</f>
        <v>129</v>
      </c>
      <c r="E25" s="36">
        <f>C25*D25</f>
        <v>242.53290000000001</v>
      </c>
      <c r="F25" s="45"/>
      <c r="G25" s="25">
        <f>Rates!I161</f>
        <v>1.9658</v>
      </c>
      <c r="H25" s="37">
        <f>D25</f>
        <v>129</v>
      </c>
      <c r="I25" s="36">
        <f>G25*H25</f>
        <v>253.5882</v>
      </c>
      <c r="J25" s="45"/>
      <c r="K25" s="36">
        <f t="shared" si="2"/>
        <v>11.055299999999988</v>
      </c>
      <c r="L25" s="47">
        <f t="shared" si="3"/>
        <v>4.5582681772246107E-2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Rates!E162</f>
        <v>1.4765999999999999</v>
      </c>
      <c r="D26" s="37">
        <f>C8</f>
        <v>129</v>
      </c>
      <c r="E26" s="36">
        <f>C26*D26</f>
        <v>190.48139999999998</v>
      </c>
      <c r="F26" s="45"/>
      <c r="G26" s="25">
        <f>Rates!I162</f>
        <v>1.5546</v>
      </c>
      <c r="H26" s="37">
        <f>D26</f>
        <v>129</v>
      </c>
      <c r="I26" s="36">
        <f>G26*H26</f>
        <v>200.54339999999999</v>
      </c>
      <c r="J26" s="45"/>
      <c r="K26" s="36">
        <f t="shared" si="2"/>
        <v>10.062000000000012</v>
      </c>
      <c r="L26" s="47">
        <f t="shared" si="3"/>
        <v>5.2824055262088651E-2</v>
      </c>
    </row>
    <row r="27" spans="2:12" x14ac:dyDescent="0.2">
      <c r="B27" s="49" t="s">
        <v>62</v>
      </c>
      <c r="C27" s="50"/>
      <c r="D27" s="51"/>
      <c r="E27" s="52">
        <f>SUM(E24:E26)</f>
        <v>6822.8135799999991</v>
      </c>
      <c r="F27" s="53"/>
      <c r="G27" s="50"/>
      <c r="H27" s="52"/>
      <c r="I27" s="52">
        <f>SUM(I24:I26)</f>
        <v>6899.7332799999995</v>
      </c>
      <c r="J27" s="53"/>
      <c r="K27" s="54">
        <f t="shared" si="2"/>
        <v>76.919700000000375</v>
      </c>
      <c r="L27" s="55">
        <f t="shared" si="3"/>
        <v>1.1273897358925112E-2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48493.200000000004</v>
      </c>
      <c r="E28" s="36">
        <f t="shared" ref="E28:E32" si="9">C28*D28</f>
        <v>213.37008000000003</v>
      </c>
      <c r="F28" s="45"/>
      <c r="G28" s="25">
        <f>Rates!I253</f>
        <v>4.4000000000000003E-3</v>
      </c>
      <c r="H28" s="37">
        <f>D28</f>
        <v>48493.200000000004</v>
      </c>
      <c r="I28" s="36">
        <f t="shared" ref="I28:I32" si="10">G28*H28</f>
        <v>213.37008000000003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48493.200000000004</v>
      </c>
      <c r="E29" s="36">
        <f t="shared" si="9"/>
        <v>58.191839999999999</v>
      </c>
      <c r="F29" s="45"/>
      <c r="G29" s="25">
        <f>Rates!I254</f>
        <v>1.1999999999999999E-3</v>
      </c>
      <c r="H29" s="37">
        <f t="shared" ref="H29:H30" si="11">D29</f>
        <v>48493.200000000004</v>
      </c>
      <c r="I29" s="36">
        <f t="shared" si="10"/>
        <v>58.191839999999999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Rates!E260</f>
        <v>5.1000000000000004E-3</v>
      </c>
      <c r="D31" s="37">
        <f>C7</f>
        <v>46000</v>
      </c>
      <c r="E31" s="36">
        <f t="shared" si="9"/>
        <v>234.60000000000002</v>
      </c>
      <c r="F31" s="45"/>
      <c r="G31" s="25">
        <f>Rates!I260</f>
        <v>5.1000000000000004E-3</v>
      </c>
      <c r="H31" s="37">
        <f>D31</f>
        <v>46000</v>
      </c>
      <c r="I31" s="36">
        <f t="shared" si="10"/>
        <v>234.60000000000002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</f>
        <v>46000</v>
      </c>
      <c r="E32" s="36">
        <f t="shared" si="9"/>
        <v>3859.4</v>
      </c>
      <c r="F32" s="45"/>
      <c r="G32" s="25">
        <f>Rates!I275</f>
        <v>8.3900000000000002E-2</v>
      </c>
      <c r="H32" s="37">
        <f>D32</f>
        <v>46000</v>
      </c>
      <c r="I32" s="36">
        <f t="shared" si="10"/>
        <v>3859.4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11188.6255</v>
      </c>
      <c r="F34" s="45"/>
      <c r="G34" s="35"/>
      <c r="H34" s="39"/>
      <c r="I34" s="39">
        <f>SUM(I27:I32)</f>
        <v>11265.5452</v>
      </c>
      <c r="J34" s="45"/>
      <c r="K34" s="36">
        <f t="shared" si="2"/>
        <v>76.919700000000375</v>
      </c>
      <c r="L34" s="47">
        <f t="shared" si="3"/>
        <v>6.874812281454981E-3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1454.521315</v>
      </c>
      <c r="F35" s="45"/>
      <c r="G35" s="41">
        <f>Rates!I277</f>
        <v>0.13</v>
      </c>
      <c r="H35" s="35"/>
      <c r="I35" s="42">
        <f>I34*G35</f>
        <v>1464.520876</v>
      </c>
      <c r="J35" s="45"/>
      <c r="K35" s="36">
        <f t="shared" si="2"/>
        <v>9.9995610000000852</v>
      </c>
      <c r="L35" s="47">
        <f t="shared" si="3"/>
        <v>6.8748122814550061E-3</v>
      </c>
    </row>
    <row r="36" spans="2:12" x14ac:dyDescent="0.2">
      <c r="B36" s="23" t="s">
        <v>64</v>
      </c>
      <c r="C36" s="35"/>
      <c r="D36" s="35"/>
      <c r="E36" s="42">
        <f>E34+E35</f>
        <v>12643.146815</v>
      </c>
      <c r="F36" s="45"/>
      <c r="G36" s="35"/>
      <c r="H36" s="35"/>
      <c r="I36" s="42">
        <f>I34+I35</f>
        <v>12730.066076000001</v>
      </c>
      <c r="J36" s="45"/>
      <c r="K36" s="36">
        <f t="shared" si="2"/>
        <v>86.919261000000915</v>
      </c>
      <c r="L36" s="47">
        <f t="shared" si="3"/>
        <v>6.87481228145502E-3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-1264.3146815</v>
      </c>
      <c r="F37" s="45"/>
      <c r="G37" s="41">
        <f>Rates!I279</f>
        <v>-0.1</v>
      </c>
      <c r="H37" s="35"/>
      <c r="I37" s="42">
        <f>I36*G37</f>
        <v>-1273.0066076000003</v>
      </c>
      <c r="J37" s="45"/>
      <c r="K37" s="36">
        <f t="shared" si="2"/>
        <v>-8.6919261000002734</v>
      </c>
      <c r="L37" s="47">
        <f t="shared" si="3"/>
        <v>6.8748122814551631E-3</v>
      </c>
    </row>
    <row r="38" spans="2:12" ht="13.5" thickBot="1" x14ac:dyDescent="0.25">
      <c r="B38" s="30" t="s">
        <v>65</v>
      </c>
      <c r="C38" s="57"/>
      <c r="D38" s="57"/>
      <c r="E38" s="58">
        <f>E36+E37</f>
        <v>11378.8321335</v>
      </c>
      <c r="F38" s="59"/>
      <c r="G38" s="57"/>
      <c r="H38" s="57"/>
      <c r="I38" s="58">
        <f>I36+I37</f>
        <v>11457.059468400001</v>
      </c>
      <c r="J38" s="59"/>
      <c r="K38" s="60">
        <f t="shared" si="2"/>
        <v>78.227334900000642</v>
      </c>
      <c r="L38" s="61">
        <f t="shared" si="3"/>
        <v>6.8748122814550035E-3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4"/>
  <sheetViews>
    <sheetView showGridLines="0" topLeftCell="A13" workbookViewId="0">
      <selection activeCell="G26" sqref="G26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Rates!B167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Rates!E168</f>
        <v>17.63</v>
      </c>
      <c r="D14" s="37">
        <f>C6</f>
        <v>1</v>
      </c>
      <c r="E14" s="36">
        <f>C14*D14</f>
        <v>17.63</v>
      </c>
      <c r="F14" s="45"/>
      <c r="G14" s="36">
        <f>Rates!I168</f>
        <v>18.78</v>
      </c>
      <c r="H14" s="37">
        <f>D14</f>
        <v>1</v>
      </c>
      <c r="I14" s="36">
        <f>G14*H14</f>
        <v>18.78</v>
      </c>
      <c r="J14" s="45"/>
      <c r="K14" s="36">
        <f>I14-E14</f>
        <v>1.1500000000000021</v>
      </c>
      <c r="L14" s="47">
        <f>IF((E14)=0," ",K14/E14)</f>
        <v>6.5229722064662626E-2</v>
      </c>
    </row>
    <row r="15" spans="2:12" x14ac:dyDescent="0.2">
      <c r="B15" s="44" t="str">
        <f>Rates!B7</f>
        <v>Distribution Volumetric Rate</v>
      </c>
      <c r="C15" s="25">
        <f>Rates!E169</f>
        <v>2.2800000000000001E-2</v>
      </c>
      <c r="D15" s="38">
        <f>C7</f>
        <v>800</v>
      </c>
      <c r="E15" s="36">
        <f t="shared" ref="E15:E17" si="0">C15*D15</f>
        <v>18.240000000000002</v>
      </c>
      <c r="F15" s="45"/>
      <c r="G15" s="25">
        <f>Rates!I169</f>
        <v>2.1299999999999999E-2</v>
      </c>
      <c r="H15" s="38">
        <f>D15</f>
        <v>800</v>
      </c>
      <c r="I15" s="36">
        <f t="shared" ref="I15:I17" si="1">G15*H15</f>
        <v>17.04</v>
      </c>
      <c r="J15" s="45"/>
      <c r="K15" s="36">
        <f t="shared" ref="K15:K44" si="2">I15-E15</f>
        <v>-1.2000000000000028</v>
      </c>
      <c r="L15" s="47">
        <f t="shared" ref="L15:L44" si="3">IF((E15)=0," ",K15/E15)</f>
        <v>-6.5789473684210675E-2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Rates!E170</f>
        <v>0.84</v>
      </c>
      <c r="D16" s="37">
        <f>C6</f>
        <v>1</v>
      </c>
      <c r="E16" s="36">
        <f t="shared" si="0"/>
        <v>0.84</v>
      </c>
      <c r="F16" s="45"/>
      <c r="G16" s="36">
        <f>Rates!I170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-0.84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Rates!E171</f>
        <v>1.72</v>
      </c>
      <c r="D17" s="37">
        <f>C6</f>
        <v>1</v>
      </c>
      <c r="E17" s="36">
        <f t="shared" si="0"/>
        <v>1.72</v>
      </c>
      <c r="F17" s="45"/>
      <c r="G17" s="36">
        <f>Rates!I171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-1.72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38.430000000000007</v>
      </c>
      <c r="F18" s="53"/>
      <c r="G18" s="50"/>
      <c r="H18" s="51"/>
      <c r="I18" s="52">
        <f>SUM(I14:I17)</f>
        <v>35.82</v>
      </c>
      <c r="J18" s="53"/>
      <c r="K18" s="54">
        <f t="shared" si="2"/>
        <v>-2.6100000000000065</v>
      </c>
      <c r="L18" s="55">
        <f t="shared" si="3"/>
        <v>-6.7915690866510697E-2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7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7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Rates!E173</f>
        <v>1E-3</v>
      </c>
      <c r="D20" s="37">
        <f>C7</f>
        <v>800</v>
      </c>
      <c r="E20" s="36">
        <f t="shared" si="5"/>
        <v>0.8</v>
      </c>
      <c r="F20" s="45"/>
      <c r="G20" s="25">
        <f>Rates!I173</f>
        <v>0</v>
      </c>
      <c r="H20" s="37">
        <f t="shared" ref="H20:H27" si="7">D20</f>
        <v>800</v>
      </c>
      <c r="I20" s="36">
        <f t="shared" si="6"/>
        <v>0</v>
      </c>
      <c r="J20" s="45"/>
      <c r="K20" s="36">
        <f t="shared" si="2"/>
        <v>-0.8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Rates!E174</f>
        <v>1.2999999999999999E-3</v>
      </c>
      <c r="D21" s="37">
        <f>C7</f>
        <v>800</v>
      </c>
      <c r="E21" s="36">
        <f t="shared" si="5"/>
        <v>1.04</v>
      </c>
      <c r="F21" s="45"/>
      <c r="G21" s="25">
        <f>Rates!I174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-1.04</v>
      </c>
      <c r="L21" s="47">
        <f t="shared" si="3"/>
        <v>-1</v>
      </c>
    </row>
    <row r="22" spans="2:12" x14ac:dyDescent="0.2">
      <c r="B22" s="48" t="str">
        <f>Rates!B175</f>
        <v>Rate Rider for Deferral/Variance Account Disposition (2014) - effective until December 31, 2016</v>
      </c>
      <c r="C22" s="25">
        <f>Rates!E175</f>
        <v>0</v>
      </c>
      <c r="D22" s="37">
        <f>C7</f>
        <v>800</v>
      </c>
      <c r="E22" s="36">
        <f t="shared" si="5"/>
        <v>0</v>
      </c>
      <c r="F22" s="45"/>
      <c r="G22" s="25">
        <f>Rates!I175</f>
        <v>-6.9999999999999999E-4</v>
      </c>
      <c r="H22" s="37">
        <f t="shared" si="7"/>
        <v>800</v>
      </c>
      <c r="I22" s="36">
        <f t="shared" si="6"/>
        <v>-0.55999999999999994</v>
      </c>
      <c r="J22" s="45"/>
      <c r="K22" s="36">
        <f t="shared" si="2"/>
        <v>-0.55999999999999994</v>
      </c>
      <c r="L22" s="47" t="str">
        <f t="shared" si="3"/>
        <v xml:space="preserve"> </v>
      </c>
    </row>
    <row r="23" spans="2:12" ht="25.5" x14ac:dyDescent="0.2">
      <c r="B23" s="48" t="str">
        <f>Rates!B176</f>
        <v>Rate Rider for Global Adjustment Sub-Account Disposition (2014) - effective until December 31, 2016 Applicable only for Non-RPP Customers</v>
      </c>
      <c r="C23" s="25">
        <f>Rates!E176</f>
        <v>0</v>
      </c>
      <c r="D23" s="37">
        <f>C7</f>
        <v>800</v>
      </c>
      <c r="E23" s="36">
        <f t="shared" si="5"/>
        <v>0</v>
      </c>
      <c r="F23" s="45"/>
      <c r="G23" s="25"/>
      <c r="H23" s="37">
        <f t="shared" si="7"/>
        <v>800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4" t="str">
        <f>Rates!B177</f>
        <v>Rate Rider for the Disposition of Deferred PILs Variance Account 1562 - effective until December 31, 2016</v>
      </c>
      <c r="C24" s="25">
        <f>Rates!E177</f>
        <v>6.9999999999999999E-4</v>
      </c>
      <c r="D24" s="37">
        <f>C7</f>
        <v>800</v>
      </c>
      <c r="E24" s="36">
        <f t="shared" si="5"/>
        <v>0.55999999999999994</v>
      </c>
      <c r="F24" s="45"/>
      <c r="G24" s="25">
        <f>Rates!I177</f>
        <v>6.9999999999999999E-4</v>
      </c>
      <c r="H24" s="37">
        <f t="shared" si="7"/>
        <v>800</v>
      </c>
      <c r="I24" s="36">
        <f t="shared" si="6"/>
        <v>0.55999999999999994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8" t="str">
        <f>Rates!B178</f>
        <v>Rate Rider for Loss Revenue Adjustment Mechanism (LRAM) - effective until December 31, 2015</v>
      </c>
      <c r="C25" s="25">
        <f>Rates!E178</f>
        <v>0</v>
      </c>
      <c r="D25" s="37">
        <f>C7</f>
        <v>800</v>
      </c>
      <c r="E25" s="36">
        <f t="shared" si="5"/>
        <v>0</v>
      </c>
      <c r="F25" s="45"/>
      <c r="G25" s="25">
        <f>Rates!I178</f>
        <v>1E-4</v>
      </c>
      <c r="H25" s="37">
        <f t="shared" si="7"/>
        <v>800</v>
      </c>
      <c r="I25" s="36">
        <f t="shared" si="6"/>
        <v>0.08</v>
      </c>
      <c r="J25" s="45"/>
      <c r="K25" s="36">
        <f t="shared" si="2"/>
        <v>0.08</v>
      </c>
      <c r="L25" s="47" t="str">
        <f t="shared" si="3"/>
        <v xml:space="preserve"> </v>
      </c>
    </row>
    <row r="26" spans="2:12" x14ac:dyDescent="0.2">
      <c r="B26" s="44" t="str">
        <f>Rates!B10</f>
        <v>Low Voltage Service Rate</v>
      </c>
      <c r="C26" s="25">
        <f>Rates!E172</f>
        <v>2.0000000000000001E-4</v>
      </c>
      <c r="D26" s="37">
        <f>C7</f>
        <v>800</v>
      </c>
      <c r="E26" s="36">
        <f t="shared" si="5"/>
        <v>0.16</v>
      </c>
      <c r="F26" s="45"/>
      <c r="G26" s="25">
        <f>Rates!I172</f>
        <v>2.0000000000000001E-4</v>
      </c>
      <c r="H26" s="37">
        <f t="shared" si="7"/>
        <v>800</v>
      </c>
      <c r="I26" s="36">
        <f t="shared" si="6"/>
        <v>0.16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Rates!B256</f>
        <v>Smart Meter Entity Charge</v>
      </c>
      <c r="C27" s="36">
        <f>Rates!E256</f>
        <v>0.79</v>
      </c>
      <c r="D27" s="37">
        <f>C6</f>
        <v>1</v>
      </c>
      <c r="E27" s="36">
        <f t="shared" si="5"/>
        <v>0.79</v>
      </c>
      <c r="F27" s="45"/>
      <c r="G27" s="36">
        <f>Rates!I256</f>
        <v>0.79</v>
      </c>
      <c r="H27" s="37">
        <f t="shared" si="7"/>
        <v>1</v>
      </c>
      <c r="I27" s="36">
        <f t="shared" si="6"/>
        <v>0.79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9" t="s">
        <v>61</v>
      </c>
      <c r="C28" s="50"/>
      <c r="D28" s="51"/>
      <c r="E28" s="52">
        <f>SUM(E18:E27)</f>
        <v>45.417904</v>
      </c>
      <c r="F28" s="53"/>
      <c r="G28" s="50"/>
      <c r="H28" s="51"/>
      <c r="I28" s="52">
        <f>SUM(I18:I27)</f>
        <v>40.487903999999993</v>
      </c>
      <c r="J28" s="53"/>
      <c r="K28" s="54">
        <f t="shared" si="2"/>
        <v>-4.9300000000000068</v>
      </c>
      <c r="L28" s="55">
        <f t="shared" si="3"/>
        <v>-0.10854750144348375</v>
      </c>
    </row>
    <row r="29" spans="2:12" x14ac:dyDescent="0.2">
      <c r="B29" s="44" t="str">
        <f>Rates!B16</f>
        <v>Retail Transmission Rate - Network Service Rate</v>
      </c>
      <c r="C29" s="25">
        <f>Rates!E179</f>
        <v>7.0000000000000001E-3</v>
      </c>
      <c r="D29" s="37">
        <f>C7*C5</f>
        <v>843.36</v>
      </c>
      <c r="E29" s="36">
        <f>C29*D29</f>
        <v>5.9035200000000003</v>
      </c>
      <c r="F29" s="45"/>
      <c r="G29" s="25">
        <f>Rates!I179</f>
        <v>7.3000000000000001E-3</v>
      </c>
      <c r="H29" s="37">
        <f>D29</f>
        <v>843.36</v>
      </c>
      <c r="I29" s="36">
        <f>G29*H29</f>
        <v>6.1565279999999998</v>
      </c>
      <c r="J29" s="45"/>
      <c r="K29" s="36">
        <f t="shared" si="2"/>
        <v>0.25300799999999946</v>
      </c>
      <c r="L29" s="47">
        <f t="shared" si="3"/>
        <v>4.285714285714276E-2</v>
      </c>
    </row>
    <row r="30" spans="2:12" x14ac:dyDescent="0.2">
      <c r="B30" s="44" t="str">
        <f>Rates!B17</f>
        <v>Retail Transmission Rate - Line and Transformation Connection Service Rate</v>
      </c>
      <c r="C30" s="25">
        <f>Rates!E180</f>
        <v>5.4000000000000003E-3</v>
      </c>
      <c r="D30" s="37">
        <f>C7*C5</f>
        <v>843.36</v>
      </c>
      <c r="E30" s="36">
        <f>C30*D30</f>
        <v>4.554144</v>
      </c>
      <c r="F30" s="45"/>
      <c r="G30" s="25">
        <f>Rates!I180</f>
        <v>5.7000000000000002E-3</v>
      </c>
      <c r="H30" s="37">
        <f>D30</f>
        <v>843.36</v>
      </c>
      <c r="I30" s="36">
        <f>G30*H30</f>
        <v>4.8071520000000003</v>
      </c>
      <c r="J30" s="45"/>
      <c r="K30" s="36">
        <f t="shared" si="2"/>
        <v>0.25300800000000034</v>
      </c>
      <c r="L30" s="47">
        <f t="shared" si="3"/>
        <v>5.5555555555555629E-2</v>
      </c>
    </row>
    <row r="31" spans="2:12" x14ac:dyDescent="0.2">
      <c r="B31" s="49" t="s">
        <v>62</v>
      </c>
      <c r="C31" s="50"/>
      <c r="D31" s="51"/>
      <c r="E31" s="52">
        <f>SUM(E28:E30)</f>
        <v>55.875568000000001</v>
      </c>
      <c r="F31" s="53"/>
      <c r="G31" s="50"/>
      <c r="H31" s="52"/>
      <c r="I31" s="52">
        <f>SUM(I28:I30)</f>
        <v>51.451583999999997</v>
      </c>
      <c r="J31" s="53"/>
      <c r="K31" s="54">
        <f t="shared" si="2"/>
        <v>-4.4239840000000044</v>
      </c>
      <c r="L31" s="55">
        <f t="shared" si="3"/>
        <v>-7.9175642563490439E-2</v>
      </c>
    </row>
    <row r="32" spans="2:12" x14ac:dyDescent="0.2">
      <c r="B32" s="44" t="str">
        <f>Rates!B253</f>
        <v>Wholesale Market Service Rate</v>
      </c>
      <c r="C32" s="25">
        <f>Rates!E253</f>
        <v>4.4000000000000003E-3</v>
      </c>
      <c r="D32" s="37">
        <f>C5*C7</f>
        <v>843.36</v>
      </c>
      <c r="E32" s="36">
        <f t="shared" ref="E32:E38" si="8">C32*D32</f>
        <v>3.7107840000000003</v>
      </c>
      <c r="F32" s="45"/>
      <c r="G32" s="25">
        <f>Rates!I253</f>
        <v>4.4000000000000003E-3</v>
      </c>
      <c r="H32" s="37">
        <f>D32</f>
        <v>843.36</v>
      </c>
      <c r="I32" s="36">
        <f t="shared" ref="I32:I38" si="9">G32*H32</f>
        <v>3.7107840000000003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Rates!B254</f>
        <v>Rural Rate Protection Charge</v>
      </c>
      <c r="C33" s="25">
        <f>Rates!E254</f>
        <v>1.1999999999999999E-3</v>
      </c>
      <c r="D33" s="37">
        <f>C5*C7</f>
        <v>843.36</v>
      </c>
      <c r="E33" s="36">
        <f t="shared" si="8"/>
        <v>1.0120319999999998</v>
      </c>
      <c r="F33" s="45"/>
      <c r="G33" s="25">
        <f>Rates!I254</f>
        <v>1.1999999999999999E-3</v>
      </c>
      <c r="H33" s="37">
        <f t="shared" ref="H33:H34" si="10">D33</f>
        <v>843.36</v>
      </c>
      <c r="I33" s="36">
        <f t="shared" si="9"/>
        <v>1.0120319999999998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Rates!B255</f>
        <v>Standard Supply Service - Administrative Charge (if applicable)</v>
      </c>
      <c r="C34" s="36">
        <f>Rates!E255</f>
        <v>0.25</v>
      </c>
      <c r="D34" s="37">
        <v>1</v>
      </c>
      <c r="E34" s="36">
        <f t="shared" si="8"/>
        <v>0.25</v>
      </c>
      <c r="F34" s="45"/>
      <c r="G34" s="36">
        <f>Rates!I255</f>
        <v>0.25</v>
      </c>
      <c r="H34" s="37">
        <f t="shared" si="10"/>
        <v>1</v>
      </c>
      <c r="I34" s="36">
        <f t="shared" si="9"/>
        <v>0.25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Rates!B258</f>
        <v>Debt Retirement Charge</v>
      </c>
      <c r="C35" s="25">
        <f>Rates!E261</f>
        <v>7.0000000000000001E-3</v>
      </c>
      <c r="D35" s="37">
        <f>C7</f>
        <v>800</v>
      </c>
      <c r="E35" s="36">
        <f t="shared" si="8"/>
        <v>5.6000000000000005</v>
      </c>
      <c r="F35" s="45"/>
      <c r="G35" s="25">
        <f>Rates!I261</f>
        <v>7.0000000000000001E-3</v>
      </c>
      <c r="H35" s="37">
        <f>D35</f>
        <v>800</v>
      </c>
      <c r="I35" s="36">
        <f t="shared" si="9"/>
        <v>5.6000000000000005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Rates!B271</f>
        <v>TOU - Off Peak</v>
      </c>
      <c r="C36" s="25">
        <f>Rates!E271</f>
        <v>7.4999999999999997E-2</v>
      </c>
      <c r="D36" s="37">
        <f>C7*0.64</f>
        <v>512</v>
      </c>
      <c r="E36" s="36">
        <f t="shared" si="8"/>
        <v>38.4</v>
      </c>
      <c r="F36" s="45"/>
      <c r="G36" s="25">
        <f>Rates!I271</f>
        <v>7.4999999999999997E-2</v>
      </c>
      <c r="H36" s="37">
        <f>D36</f>
        <v>512</v>
      </c>
      <c r="I36" s="36">
        <f t="shared" si="9"/>
        <v>38.4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Rates!B272</f>
        <v>TOU - Mid Peak</v>
      </c>
      <c r="C37" s="25">
        <f>Rates!E272</f>
        <v>0.112</v>
      </c>
      <c r="D37" s="37">
        <f>C7*0.18</f>
        <v>144</v>
      </c>
      <c r="E37" s="36">
        <f t="shared" si="8"/>
        <v>16.128</v>
      </c>
      <c r="F37" s="45"/>
      <c r="G37" s="25">
        <f>Rates!I272</f>
        <v>0.112</v>
      </c>
      <c r="H37" s="37">
        <f t="shared" ref="H37:H38" si="11">D37</f>
        <v>144</v>
      </c>
      <c r="I37" s="36">
        <f t="shared" si="9"/>
        <v>16.128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44" t="str">
        <f>Rates!B273</f>
        <v>TOU - On Peak</v>
      </c>
      <c r="C38" s="25">
        <f>Rates!E273</f>
        <v>0.13500000000000001</v>
      </c>
      <c r="D38" s="37">
        <f>C7*0.18</f>
        <v>144</v>
      </c>
      <c r="E38" s="36">
        <f t="shared" si="8"/>
        <v>19.440000000000001</v>
      </c>
      <c r="F38" s="45"/>
      <c r="G38" s="25">
        <f>Rates!I273</f>
        <v>0.13500000000000001</v>
      </c>
      <c r="H38" s="37">
        <f t="shared" si="11"/>
        <v>144</v>
      </c>
      <c r="I38" s="36">
        <f t="shared" si="9"/>
        <v>19.440000000000001</v>
      </c>
      <c r="J38" s="45"/>
      <c r="K38" s="36">
        <f t="shared" si="2"/>
        <v>0</v>
      </c>
      <c r="L38" s="47">
        <f t="shared" si="3"/>
        <v>0</v>
      </c>
    </row>
    <row r="39" spans="2:12" x14ac:dyDescent="0.2">
      <c r="B39" s="56"/>
      <c r="C39" s="51"/>
      <c r="D39" s="51"/>
      <c r="E39" s="51"/>
      <c r="F39" s="53"/>
      <c r="G39" s="51"/>
      <c r="H39" s="51"/>
      <c r="I39" s="51"/>
      <c r="J39" s="53"/>
      <c r="K39" s="54"/>
      <c r="L39" s="55"/>
    </row>
    <row r="40" spans="2:12" x14ac:dyDescent="0.2">
      <c r="B40" s="23" t="s">
        <v>63</v>
      </c>
      <c r="C40" s="35"/>
      <c r="D40" s="35"/>
      <c r="E40" s="39">
        <f>SUM(E31:E38)</f>
        <v>140.41638400000002</v>
      </c>
      <c r="F40" s="45"/>
      <c r="G40" s="35"/>
      <c r="H40" s="39"/>
      <c r="I40" s="39">
        <f>SUM(I31:I38)</f>
        <v>135.9924</v>
      </c>
      <c r="J40" s="45"/>
      <c r="K40" s="36">
        <f t="shared" si="2"/>
        <v>-4.4239840000000186</v>
      </c>
      <c r="L40" s="47">
        <f t="shared" si="3"/>
        <v>-3.1506180931137051E-2</v>
      </c>
    </row>
    <row r="41" spans="2:12" x14ac:dyDescent="0.2">
      <c r="B41" s="44" t="str">
        <f>Rates!B277</f>
        <v>HST</v>
      </c>
      <c r="C41" s="41">
        <f>Rates!E277</f>
        <v>0.13</v>
      </c>
      <c r="D41" s="35"/>
      <c r="E41" s="42">
        <f>E40*C41</f>
        <v>18.254129920000004</v>
      </c>
      <c r="F41" s="45"/>
      <c r="G41" s="41">
        <f>Rates!I277</f>
        <v>0.13</v>
      </c>
      <c r="H41" s="35"/>
      <c r="I41" s="42">
        <f>I40*G41</f>
        <v>17.679012</v>
      </c>
      <c r="J41" s="45"/>
      <c r="K41" s="36">
        <f t="shared" si="2"/>
        <v>-0.57511792000000383</v>
      </c>
      <c r="L41" s="47">
        <f t="shared" si="3"/>
        <v>-3.1506180931137127E-2</v>
      </c>
    </row>
    <row r="42" spans="2:12" x14ac:dyDescent="0.2">
      <c r="B42" s="23" t="s">
        <v>64</v>
      </c>
      <c r="C42" s="35"/>
      <c r="D42" s="35"/>
      <c r="E42" s="42">
        <f>E40+E41</f>
        <v>158.67051392000002</v>
      </c>
      <c r="F42" s="45"/>
      <c r="G42" s="35"/>
      <c r="H42" s="35"/>
      <c r="I42" s="42">
        <f>I40+I41</f>
        <v>153.671412</v>
      </c>
      <c r="J42" s="45"/>
      <c r="K42" s="36">
        <f t="shared" si="2"/>
        <v>-4.9991019200000153</v>
      </c>
      <c r="L42" s="47">
        <f t="shared" si="3"/>
        <v>-3.1506180931137016E-2</v>
      </c>
    </row>
    <row r="43" spans="2:12" x14ac:dyDescent="0.2">
      <c r="B43" s="44" t="str">
        <f>Rates!B279</f>
        <v>OCEB</v>
      </c>
      <c r="C43" s="41">
        <f>Rates!E279</f>
        <v>-0.1</v>
      </c>
      <c r="D43" s="35"/>
      <c r="E43" s="42">
        <f>E42*C43</f>
        <v>-15.867051392000002</v>
      </c>
      <c r="F43" s="45"/>
      <c r="G43" s="41">
        <f>Rates!I279</f>
        <v>-0.1</v>
      </c>
      <c r="H43" s="35"/>
      <c r="I43" s="42">
        <f>I42*G43</f>
        <v>-15.367141200000001</v>
      </c>
      <c r="J43" s="45"/>
      <c r="K43" s="36">
        <f t="shared" si="2"/>
        <v>0.49991019200000153</v>
      </c>
      <c r="L43" s="47">
        <f t="shared" si="3"/>
        <v>-3.1506180931137016E-2</v>
      </c>
    </row>
    <row r="44" spans="2:12" ht="13.5" thickBot="1" x14ac:dyDescent="0.25">
      <c r="B44" s="30" t="s">
        <v>65</v>
      </c>
      <c r="C44" s="57"/>
      <c r="D44" s="57"/>
      <c r="E44" s="58">
        <f>E42+E43</f>
        <v>142.80346252800001</v>
      </c>
      <c r="F44" s="59"/>
      <c r="G44" s="57"/>
      <c r="H44" s="57"/>
      <c r="I44" s="58">
        <f>I42+I43</f>
        <v>138.30427080000001</v>
      </c>
      <c r="J44" s="59"/>
      <c r="K44" s="60">
        <f t="shared" si="2"/>
        <v>-4.4991917279999996</v>
      </c>
      <c r="L44" s="61">
        <f t="shared" si="3"/>
        <v>-3.1506180931136919E-2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I279"/>
  <sheetViews>
    <sheetView showGridLines="0" topLeftCell="A250" zoomScaleNormal="100" workbookViewId="0">
      <selection activeCell="B244" sqref="B244"/>
    </sheetView>
  </sheetViews>
  <sheetFormatPr defaultRowHeight="12.75" x14ac:dyDescent="0.2"/>
  <cols>
    <col min="1" max="1" width="3.85546875" customWidth="1"/>
    <col min="2" max="2" width="88.7109375" customWidth="1"/>
    <col min="3" max="3" width="6.7109375" style="2" customWidth="1"/>
    <col min="4" max="4" width="2.85546875" style="2" customWidth="1"/>
    <col min="5" max="5" width="13" customWidth="1"/>
    <col min="6" max="7" width="11.28515625" hidden="1" customWidth="1"/>
    <col min="8" max="8" width="2.85546875" customWidth="1"/>
    <col min="9" max="9" width="13" customWidth="1"/>
  </cols>
  <sheetData>
    <row r="2" spans="2:9" ht="15.75" x14ac:dyDescent="0.25">
      <c r="B2" s="104" t="s">
        <v>35</v>
      </c>
      <c r="C2" s="104"/>
      <c r="D2" s="104"/>
      <c r="E2" s="104"/>
      <c r="F2" s="104"/>
      <c r="G2" s="104"/>
      <c r="H2" s="104"/>
      <c r="I2" s="104"/>
    </row>
    <row r="3" spans="2:9" x14ac:dyDescent="0.2">
      <c r="B3" s="1" t="s">
        <v>57</v>
      </c>
    </row>
    <row r="4" spans="2:9" ht="38.25" x14ac:dyDescent="0.2">
      <c r="B4" s="1" t="s">
        <v>0</v>
      </c>
      <c r="C4" s="7" t="s">
        <v>14</v>
      </c>
      <c r="D4" s="7"/>
      <c r="E4" s="8" t="s">
        <v>92</v>
      </c>
      <c r="F4" s="8"/>
      <c r="G4" s="8"/>
      <c r="H4" s="7"/>
      <c r="I4" s="8" t="s">
        <v>91</v>
      </c>
    </row>
    <row r="5" spans="2:9" x14ac:dyDescent="0.2">
      <c r="B5" s="1" t="s">
        <v>27</v>
      </c>
    </row>
    <row r="6" spans="2:9" x14ac:dyDescent="0.2">
      <c r="B6" t="s">
        <v>1</v>
      </c>
      <c r="C6" s="2" t="s">
        <v>8</v>
      </c>
      <c r="E6" s="3">
        <v>18.940000000000001</v>
      </c>
      <c r="F6" s="3"/>
      <c r="G6" s="3"/>
      <c r="H6" s="9"/>
      <c r="I6" s="3">
        <v>19.45</v>
      </c>
    </row>
    <row r="7" spans="2:9" x14ac:dyDescent="0.2">
      <c r="B7" t="s">
        <v>2</v>
      </c>
      <c r="C7" s="2" t="s">
        <v>9</v>
      </c>
      <c r="E7" s="4">
        <v>2.01E-2</v>
      </c>
      <c r="F7" s="4"/>
      <c r="G7" s="4"/>
      <c r="H7" s="9"/>
      <c r="I7" s="4">
        <v>2.0199999999999999E-2</v>
      </c>
    </row>
    <row r="8" spans="2:9" x14ac:dyDescent="0.2">
      <c r="B8" s="10" t="s">
        <v>66</v>
      </c>
      <c r="C8" s="11" t="s">
        <v>8</v>
      </c>
      <c r="E8" s="12">
        <v>0.45</v>
      </c>
      <c r="F8" s="12"/>
      <c r="G8" s="12"/>
      <c r="I8" s="12">
        <v>0</v>
      </c>
    </row>
    <row r="9" spans="2:9" x14ac:dyDescent="0.2">
      <c r="B9" s="10" t="s">
        <v>49</v>
      </c>
      <c r="C9" s="11" t="s">
        <v>8</v>
      </c>
      <c r="E9" s="12">
        <v>1.5</v>
      </c>
      <c r="F9" s="12"/>
      <c r="G9" s="12"/>
      <c r="I9" s="12">
        <v>0</v>
      </c>
    </row>
    <row r="10" spans="2:9" x14ac:dyDescent="0.2">
      <c r="B10" s="10" t="s">
        <v>34</v>
      </c>
      <c r="C10" s="2" t="s">
        <v>9</v>
      </c>
      <c r="E10" s="4">
        <v>2.0000000000000001E-4</v>
      </c>
      <c r="F10" s="4"/>
      <c r="G10" s="4"/>
      <c r="H10" s="9"/>
      <c r="I10" s="4">
        <v>2.0000000000000001E-4</v>
      </c>
    </row>
    <row r="11" spans="2:9" x14ac:dyDescent="0.2">
      <c r="B11" s="10" t="s">
        <v>36</v>
      </c>
      <c r="C11" s="11" t="s">
        <v>9</v>
      </c>
      <c r="E11" s="4">
        <v>5.0000000000000001E-4</v>
      </c>
      <c r="F11" s="4"/>
      <c r="G11" s="4"/>
      <c r="H11" s="9"/>
      <c r="I11" s="4">
        <v>0</v>
      </c>
    </row>
    <row r="12" spans="2:9" ht="25.5" x14ac:dyDescent="0.2">
      <c r="B12" s="16" t="s">
        <v>37</v>
      </c>
      <c r="C12" s="20" t="s">
        <v>9</v>
      </c>
      <c r="D12" s="20"/>
      <c r="E12" s="21">
        <v>1.6999999999999999E-3</v>
      </c>
      <c r="F12" s="21"/>
      <c r="G12" s="21"/>
      <c r="H12" s="22"/>
      <c r="I12" s="21">
        <v>0</v>
      </c>
    </row>
    <row r="13" spans="2:9" x14ac:dyDescent="0.2">
      <c r="B13" s="10" t="s">
        <v>104</v>
      </c>
      <c r="C13" s="11" t="s">
        <v>9</v>
      </c>
      <c r="D13" s="20"/>
      <c r="E13" s="21"/>
      <c r="F13" s="21"/>
      <c r="G13" s="21"/>
      <c r="H13" s="22"/>
      <c r="I13" s="21">
        <v>8.0000000000000004E-4</v>
      </c>
    </row>
    <row r="14" spans="2:9" ht="25.5" x14ac:dyDescent="0.2">
      <c r="B14" s="16" t="s">
        <v>103</v>
      </c>
      <c r="C14" s="20" t="s">
        <v>9</v>
      </c>
      <c r="D14" s="20"/>
      <c r="E14" s="21"/>
      <c r="F14" s="21"/>
      <c r="G14" s="21"/>
      <c r="H14" s="22"/>
      <c r="I14" s="21">
        <v>-2.5000000000000001E-3</v>
      </c>
    </row>
    <row r="15" spans="2:9" x14ac:dyDescent="0.2">
      <c r="B15" s="16" t="s">
        <v>93</v>
      </c>
      <c r="C15" s="20" t="s">
        <v>9</v>
      </c>
      <c r="D15" s="20"/>
      <c r="E15" s="21"/>
      <c r="F15" s="21"/>
      <c r="G15" s="21"/>
      <c r="H15" s="22"/>
      <c r="I15" s="21">
        <v>1E-4</v>
      </c>
    </row>
    <row r="16" spans="2:9" x14ac:dyDescent="0.2">
      <c r="B16" t="s">
        <v>3</v>
      </c>
      <c r="C16" s="2" t="s">
        <v>9</v>
      </c>
      <c r="E16" s="4">
        <v>7.0000000000000001E-3</v>
      </c>
      <c r="F16" s="4"/>
      <c r="G16" s="4"/>
      <c r="H16" s="9"/>
      <c r="I16" s="4">
        <v>7.3000000000000001E-3</v>
      </c>
    </row>
    <row r="17" spans="2:9" x14ac:dyDescent="0.2">
      <c r="B17" t="s">
        <v>4</v>
      </c>
      <c r="C17" s="2" t="s">
        <v>9</v>
      </c>
      <c r="E17" s="4">
        <v>5.4000000000000003E-3</v>
      </c>
      <c r="F17" s="4"/>
      <c r="G17" s="4"/>
      <c r="I17" s="4">
        <v>5.7000000000000002E-3</v>
      </c>
    </row>
    <row r="19" spans="2:9" x14ac:dyDescent="0.2">
      <c r="B19" s="1" t="s">
        <v>17</v>
      </c>
    </row>
    <row r="20" spans="2:9" x14ac:dyDescent="0.2">
      <c r="B20" t="s">
        <v>1</v>
      </c>
      <c r="C20" s="2" t="s">
        <v>8</v>
      </c>
      <c r="E20" s="3">
        <v>24.36</v>
      </c>
      <c r="F20" s="3"/>
      <c r="G20" s="3"/>
      <c r="H20" s="9"/>
      <c r="I20" s="3">
        <v>26.24</v>
      </c>
    </row>
    <row r="21" spans="2:9" x14ac:dyDescent="0.2">
      <c r="B21" t="s">
        <v>2</v>
      </c>
      <c r="C21" s="2" t="s">
        <v>9</v>
      </c>
      <c r="E21" s="4">
        <v>2.4E-2</v>
      </c>
      <c r="F21" s="4"/>
      <c r="G21" s="4"/>
      <c r="H21" s="12"/>
      <c r="I21" s="4">
        <v>2.35E-2</v>
      </c>
    </row>
    <row r="22" spans="2:9" x14ac:dyDescent="0.2">
      <c r="B22" s="10" t="s">
        <v>50</v>
      </c>
      <c r="C22" s="11" t="s">
        <v>8</v>
      </c>
      <c r="E22" s="12">
        <v>1.96</v>
      </c>
      <c r="F22" s="12"/>
      <c r="G22" s="12"/>
      <c r="H22" s="12"/>
      <c r="I22" s="12">
        <v>0</v>
      </c>
    </row>
    <row r="23" spans="2:9" x14ac:dyDescent="0.2">
      <c r="B23" s="10" t="s">
        <v>49</v>
      </c>
      <c r="C23" s="11" t="s">
        <v>8</v>
      </c>
      <c r="E23" s="12">
        <v>3.04</v>
      </c>
      <c r="F23" s="12"/>
      <c r="G23" s="12"/>
      <c r="H23" s="9"/>
      <c r="I23" s="12">
        <v>0</v>
      </c>
    </row>
    <row r="24" spans="2:9" x14ac:dyDescent="0.2">
      <c r="B24" s="10" t="s">
        <v>34</v>
      </c>
      <c r="C24" s="2" t="s">
        <v>9</v>
      </c>
      <c r="D24" s="20"/>
      <c r="E24" s="4">
        <v>2.0000000000000001E-4</v>
      </c>
      <c r="F24" s="4"/>
      <c r="G24" s="4"/>
      <c r="I24" s="4">
        <v>2.0000000000000001E-4</v>
      </c>
    </row>
    <row r="25" spans="2:9" x14ac:dyDescent="0.2">
      <c r="B25" s="10" t="s">
        <v>36</v>
      </c>
      <c r="C25" s="11" t="s">
        <v>9</v>
      </c>
      <c r="E25" s="21">
        <v>2.0000000000000001E-4</v>
      </c>
      <c r="F25" s="21"/>
      <c r="G25" s="21"/>
      <c r="H25" s="22"/>
      <c r="I25" s="21">
        <v>0</v>
      </c>
    </row>
    <row r="26" spans="2:9" ht="25.5" x14ac:dyDescent="0.2">
      <c r="B26" s="16" t="s">
        <v>37</v>
      </c>
      <c r="C26" s="20" t="s">
        <v>9</v>
      </c>
      <c r="E26" s="4">
        <v>1.6999999999999999E-3</v>
      </c>
      <c r="F26" s="4"/>
      <c r="G26" s="4"/>
      <c r="I26" s="4">
        <v>0</v>
      </c>
    </row>
    <row r="27" spans="2:9" x14ac:dyDescent="0.2">
      <c r="B27" s="10" t="s">
        <v>104</v>
      </c>
      <c r="C27" s="11" t="s">
        <v>9</v>
      </c>
      <c r="E27" s="4"/>
      <c r="F27" s="4"/>
      <c r="G27" s="4"/>
      <c r="I27" s="4">
        <v>8.0000000000000004E-4</v>
      </c>
    </row>
    <row r="28" spans="2:9" ht="25.5" x14ac:dyDescent="0.2">
      <c r="B28" s="16" t="s">
        <v>103</v>
      </c>
      <c r="C28" s="20" t="s">
        <v>9</v>
      </c>
      <c r="E28" s="4"/>
      <c r="F28" s="4"/>
      <c r="G28" s="4"/>
      <c r="I28" s="4">
        <v>-2.5000000000000001E-3</v>
      </c>
    </row>
    <row r="29" spans="2:9" x14ac:dyDescent="0.2">
      <c r="B29" s="16" t="s">
        <v>93</v>
      </c>
      <c r="C29" s="20" t="s">
        <v>9</v>
      </c>
      <c r="E29" s="4"/>
      <c r="F29" s="4"/>
      <c r="G29" s="4"/>
      <c r="I29" s="4">
        <v>4.0000000000000002E-4</v>
      </c>
    </row>
    <row r="30" spans="2:9" x14ac:dyDescent="0.2">
      <c r="B30" t="s">
        <v>3</v>
      </c>
      <c r="C30" s="2" t="s">
        <v>9</v>
      </c>
      <c r="E30" s="4">
        <v>6.0000000000000001E-3</v>
      </c>
      <c r="F30" s="4"/>
      <c r="G30" s="4"/>
      <c r="I30" s="4">
        <v>6.3E-3</v>
      </c>
    </row>
    <row r="31" spans="2:9" x14ac:dyDescent="0.2">
      <c r="B31" t="s">
        <v>4</v>
      </c>
      <c r="C31" s="2" t="s">
        <v>9</v>
      </c>
      <c r="E31" s="4">
        <v>4.7000000000000002E-3</v>
      </c>
      <c r="F31" s="4"/>
      <c r="G31" s="4"/>
      <c r="I31" s="4">
        <v>4.8999999999999998E-3</v>
      </c>
    </row>
    <row r="32" spans="2:9" x14ac:dyDescent="0.2">
      <c r="E32" s="3"/>
      <c r="F32" s="3"/>
      <c r="G32" s="3"/>
      <c r="H32" s="3"/>
      <c r="I32" s="3"/>
    </row>
    <row r="33" spans="2:9" x14ac:dyDescent="0.2">
      <c r="B33" s="1" t="s">
        <v>19</v>
      </c>
    </row>
    <row r="34" spans="2:9" x14ac:dyDescent="0.2">
      <c r="B34" t="s">
        <v>1</v>
      </c>
      <c r="C34" s="2" t="s">
        <v>8</v>
      </c>
      <c r="E34" s="3">
        <v>143.56</v>
      </c>
      <c r="F34" s="3"/>
      <c r="G34" s="3"/>
      <c r="H34" s="9"/>
      <c r="I34" s="3">
        <v>149.51</v>
      </c>
    </row>
    <row r="35" spans="2:9" x14ac:dyDescent="0.2">
      <c r="B35" t="s">
        <v>2</v>
      </c>
      <c r="C35" s="2" t="s">
        <v>10</v>
      </c>
      <c r="E35" s="4">
        <v>6.9223999999999997</v>
      </c>
      <c r="F35" s="4"/>
      <c r="G35" s="4"/>
      <c r="H35" s="9"/>
      <c r="I35" s="4">
        <v>6.5865999999999998</v>
      </c>
    </row>
    <row r="36" spans="2:9" x14ac:dyDescent="0.2">
      <c r="B36" s="10" t="s">
        <v>34</v>
      </c>
      <c r="C36" s="2" t="s">
        <v>10</v>
      </c>
      <c r="E36" s="4">
        <v>7.3499999999999996E-2</v>
      </c>
      <c r="F36" s="4"/>
      <c r="G36" s="4"/>
      <c r="I36" s="4">
        <v>7.3499999999999996E-2</v>
      </c>
    </row>
    <row r="37" spans="2:9" x14ac:dyDescent="0.2">
      <c r="B37" s="10" t="s">
        <v>36</v>
      </c>
      <c r="C37" s="20" t="s">
        <v>10</v>
      </c>
      <c r="D37" s="20"/>
      <c r="E37" s="21">
        <v>0.1182</v>
      </c>
      <c r="F37" s="21"/>
      <c r="G37" s="21"/>
      <c r="H37" s="22"/>
      <c r="I37" s="21">
        <v>0</v>
      </c>
    </row>
    <row r="38" spans="2:9" ht="25.5" x14ac:dyDescent="0.2">
      <c r="B38" s="16" t="s">
        <v>37</v>
      </c>
      <c r="C38" s="2" t="s">
        <v>10</v>
      </c>
      <c r="E38" s="4">
        <v>0.62809999999999999</v>
      </c>
      <c r="F38" s="4"/>
      <c r="G38" s="4"/>
      <c r="I38" s="4">
        <v>0</v>
      </c>
    </row>
    <row r="39" spans="2:9" x14ac:dyDescent="0.2">
      <c r="B39" s="10" t="s">
        <v>104</v>
      </c>
      <c r="C39" s="2" t="s">
        <v>10</v>
      </c>
      <c r="E39" s="4"/>
      <c r="F39" s="4"/>
      <c r="G39" s="4"/>
      <c r="I39" s="4">
        <v>0.26019999999999999</v>
      </c>
    </row>
    <row r="40" spans="2:9" ht="25.5" x14ac:dyDescent="0.2">
      <c r="B40" s="16" t="s">
        <v>103</v>
      </c>
      <c r="C40" s="2" t="s">
        <v>10</v>
      </c>
      <c r="E40" s="4"/>
      <c r="F40" s="4"/>
      <c r="G40" s="4"/>
      <c r="I40" s="4">
        <v>-0.8619</v>
      </c>
    </row>
    <row r="41" spans="2:9" x14ac:dyDescent="0.2">
      <c r="B41" s="16" t="s">
        <v>93</v>
      </c>
      <c r="C41" s="20" t="s">
        <v>10</v>
      </c>
      <c r="E41" s="4"/>
      <c r="F41" s="4"/>
      <c r="G41" s="4"/>
      <c r="I41" s="4">
        <v>4.41E-2</v>
      </c>
    </row>
    <row r="42" spans="2:9" x14ac:dyDescent="0.2">
      <c r="B42" t="s">
        <v>3</v>
      </c>
      <c r="C42" s="2" t="s">
        <v>10</v>
      </c>
      <c r="E42" s="4">
        <v>2.5400999999999998</v>
      </c>
      <c r="F42" s="4"/>
      <c r="G42" s="4"/>
      <c r="I42" s="4">
        <v>2.6558999999999999</v>
      </c>
    </row>
    <row r="43" spans="2:9" x14ac:dyDescent="0.2">
      <c r="B43" t="s">
        <v>4</v>
      </c>
      <c r="C43" s="2" t="s">
        <v>10</v>
      </c>
      <c r="E43" s="4">
        <v>1.9351</v>
      </c>
      <c r="F43" s="4"/>
      <c r="G43" s="4"/>
      <c r="H43" s="5"/>
      <c r="I43" s="4">
        <v>2.0373000000000001</v>
      </c>
    </row>
    <row r="44" spans="2:9" x14ac:dyDescent="0.2">
      <c r="E44" s="3"/>
      <c r="F44" s="3"/>
      <c r="G44" s="3"/>
      <c r="H44" s="3"/>
      <c r="I44" s="3"/>
    </row>
    <row r="45" spans="2:9" x14ac:dyDescent="0.2">
      <c r="B45" s="1" t="s">
        <v>20</v>
      </c>
    </row>
    <row r="46" spans="2:9" x14ac:dyDescent="0.2">
      <c r="B46" s="10" t="s">
        <v>51</v>
      </c>
      <c r="C46" s="2" t="s">
        <v>8</v>
      </c>
      <c r="E46" s="3">
        <v>51.5</v>
      </c>
      <c r="F46" s="3"/>
      <c r="G46" s="3"/>
      <c r="H46" s="9"/>
      <c r="I46" s="3">
        <v>42.3</v>
      </c>
    </row>
    <row r="47" spans="2:9" x14ac:dyDescent="0.2">
      <c r="B47" t="s">
        <v>2</v>
      </c>
      <c r="C47" s="2" t="s">
        <v>9</v>
      </c>
      <c r="E47" s="4">
        <v>3.2399999999999998E-2</v>
      </c>
      <c r="F47" s="4"/>
      <c r="G47" s="4"/>
      <c r="H47" s="9"/>
      <c r="I47" s="4">
        <v>2.5000000000000001E-2</v>
      </c>
    </row>
    <row r="48" spans="2:9" x14ac:dyDescent="0.2">
      <c r="B48" s="10" t="s">
        <v>34</v>
      </c>
      <c r="C48" s="2" t="s">
        <v>9</v>
      </c>
      <c r="D48" s="20"/>
      <c r="E48" s="4">
        <v>2.0000000000000001E-4</v>
      </c>
      <c r="F48" s="4"/>
      <c r="G48" s="4"/>
      <c r="H48" s="22"/>
      <c r="I48" s="4">
        <v>2.0000000000000001E-4</v>
      </c>
    </row>
    <row r="49" spans="2:9" ht="12" customHeight="1" x14ac:dyDescent="0.2">
      <c r="B49" s="10" t="s">
        <v>36</v>
      </c>
      <c r="C49" s="11" t="s">
        <v>9</v>
      </c>
      <c r="E49" s="4">
        <v>2.9999999999999997E-4</v>
      </c>
      <c r="F49" s="4"/>
      <c r="G49" s="4"/>
      <c r="I49" s="4">
        <v>0</v>
      </c>
    </row>
    <row r="50" spans="2:9" ht="25.5" x14ac:dyDescent="0.2">
      <c r="B50" s="16" t="s">
        <v>37</v>
      </c>
      <c r="C50" s="20" t="s">
        <v>9</v>
      </c>
      <c r="E50" s="4">
        <v>1.6999999999999999E-3</v>
      </c>
      <c r="F50" s="4"/>
      <c r="G50" s="4"/>
      <c r="I50" s="4">
        <v>0</v>
      </c>
    </row>
    <row r="51" spans="2:9" x14ac:dyDescent="0.2">
      <c r="B51" s="10" t="s">
        <v>56</v>
      </c>
      <c r="C51" s="20"/>
      <c r="E51" s="4"/>
      <c r="F51" s="4"/>
      <c r="G51" s="4"/>
      <c r="I51" s="4"/>
    </row>
    <row r="52" spans="2:9" x14ac:dyDescent="0.2">
      <c r="B52" s="10" t="s">
        <v>104</v>
      </c>
      <c r="C52" s="11" t="s">
        <v>9</v>
      </c>
      <c r="E52" s="4"/>
      <c r="F52" s="4"/>
      <c r="G52" s="4"/>
      <c r="I52" s="4">
        <v>8.0000000000000004E-4</v>
      </c>
    </row>
    <row r="53" spans="2:9" ht="25.5" x14ac:dyDescent="0.2">
      <c r="B53" s="16" t="s">
        <v>103</v>
      </c>
      <c r="C53" s="20" t="s">
        <v>9</v>
      </c>
      <c r="E53" s="4"/>
      <c r="F53" s="4"/>
      <c r="G53" s="4"/>
      <c r="I53" s="4">
        <v>-2.5000000000000001E-3</v>
      </c>
    </row>
    <row r="54" spans="2:9" x14ac:dyDescent="0.2">
      <c r="B54" s="16" t="s">
        <v>93</v>
      </c>
      <c r="C54" s="20" t="s">
        <v>9</v>
      </c>
      <c r="E54" s="4"/>
      <c r="F54" s="4"/>
      <c r="G54" s="4"/>
      <c r="I54" s="4"/>
    </row>
    <row r="55" spans="2:9" x14ac:dyDescent="0.2">
      <c r="B55" t="s">
        <v>3</v>
      </c>
      <c r="C55" s="2" t="s">
        <v>9</v>
      </c>
      <c r="E55" s="4">
        <v>6.1999999999999998E-3</v>
      </c>
      <c r="F55" s="4"/>
      <c r="G55" s="4"/>
      <c r="H55" s="5"/>
      <c r="I55" s="4">
        <v>6.4999999999999997E-3</v>
      </c>
    </row>
    <row r="56" spans="2:9" x14ac:dyDescent="0.2">
      <c r="B56" t="s">
        <v>4</v>
      </c>
      <c r="C56" s="2" t="s">
        <v>9</v>
      </c>
      <c r="E56" s="4">
        <v>4.7999999999999996E-3</v>
      </c>
      <c r="F56" s="4"/>
      <c r="G56" s="4"/>
      <c r="H56" s="6"/>
      <c r="I56" s="4">
        <v>5.1000000000000004E-3</v>
      </c>
    </row>
    <row r="57" spans="2:9" x14ac:dyDescent="0.2">
      <c r="E57" s="3"/>
      <c r="F57" s="3"/>
      <c r="G57" s="3"/>
      <c r="H57" s="3"/>
      <c r="I57" s="3"/>
    </row>
    <row r="58" spans="2:9" x14ac:dyDescent="0.2">
      <c r="B58" s="1" t="s">
        <v>21</v>
      </c>
    </row>
    <row r="59" spans="2:9" x14ac:dyDescent="0.2">
      <c r="B59" s="10" t="s">
        <v>52</v>
      </c>
      <c r="C59" s="2" t="s">
        <v>8</v>
      </c>
      <c r="E59" s="3">
        <v>5.08</v>
      </c>
      <c r="F59" s="3"/>
      <c r="G59" s="3"/>
      <c r="H59" s="9"/>
      <c r="I59" s="3">
        <v>5.18</v>
      </c>
    </row>
    <row r="60" spans="2:9" x14ac:dyDescent="0.2">
      <c r="B60" t="s">
        <v>2</v>
      </c>
      <c r="C60" s="2" t="s">
        <v>10</v>
      </c>
      <c r="E60" s="4">
        <v>5.0109000000000004</v>
      </c>
      <c r="F60" s="4"/>
      <c r="G60" s="4"/>
      <c r="H60" s="9"/>
      <c r="I60" s="4">
        <v>4.9612999999999996</v>
      </c>
    </row>
    <row r="61" spans="2:9" x14ac:dyDescent="0.2">
      <c r="B61" s="10" t="s">
        <v>34</v>
      </c>
      <c r="C61" s="2" t="s">
        <v>10</v>
      </c>
      <c r="E61" s="4">
        <v>5.4199999999999998E-2</v>
      </c>
      <c r="F61" s="4"/>
      <c r="G61" s="4"/>
      <c r="H61" s="9"/>
      <c r="I61" s="4">
        <v>5.4199999999999998E-2</v>
      </c>
    </row>
    <row r="62" spans="2:9" x14ac:dyDescent="0.2">
      <c r="B62" s="10" t="s">
        <v>36</v>
      </c>
      <c r="C62" s="20" t="s">
        <v>10</v>
      </c>
      <c r="E62" s="4">
        <v>0.14929999999999999</v>
      </c>
      <c r="F62" s="4"/>
      <c r="G62" s="4"/>
      <c r="H62" s="9"/>
      <c r="I62" s="4">
        <v>0</v>
      </c>
    </row>
    <row r="63" spans="2:9" ht="25.5" x14ac:dyDescent="0.2">
      <c r="B63" s="16" t="s">
        <v>37</v>
      </c>
      <c r="C63" s="2" t="s">
        <v>10</v>
      </c>
      <c r="E63" s="4">
        <v>0.56059999999999999</v>
      </c>
      <c r="F63" s="4"/>
      <c r="G63" s="4"/>
      <c r="I63" s="4">
        <v>0</v>
      </c>
    </row>
    <row r="64" spans="2:9" x14ac:dyDescent="0.2">
      <c r="B64" s="10" t="s">
        <v>56</v>
      </c>
      <c r="E64" s="4"/>
      <c r="F64" s="4"/>
      <c r="G64" s="4"/>
      <c r="I64" s="4"/>
    </row>
    <row r="65" spans="2:9" x14ac:dyDescent="0.2">
      <c r="B65" s="10" t="s">
        <v>104</v>
      </c>
      <c r="C65" s="2" t="s">
        <v>10</v>
      </c>
      <c r="E65" s="4"/>
      <c r="F65" s="4"/>
      <c r="G65" s="4"/>
      <c r="I65" s="4">
        <v>0.1459</v>
      </c>
    </row>
    <row r="66" spans="2:9" ht="25.5" x14ac:dyDescent="0.2">
      <c r="B66" s="16" t="s">
        <v>103</v>
      </c>
      <c r="C66" s="2" t="s">
        <v>10</v>
      </c>
      <c r="E66" s="4"/>
      <c r="F66" s="4"/>
      <c r="G66" s="4"/>
      <c r="I66" s="4">
        <v>-0.4758</v>
      </c>
    </row>
    <row r="67" spans="2:9" x14ac:dyDescent="0.2">
      <c r="B67" s="16" t="s">
        <v>93</v>
      </c>
      <c r="C67" s="20" t="s">
        <v>10</v>
      </c>
      <c r="E67" s="4"/>
      <c r="F67" s="4"/>
      <c r="G67" s="4"/>
      <c r="I67" s="4"/>
    </row>
    <row r="68" spans="2:9" x14ac:dyDescent="0.2">
      <c r="B68" t="s">
        <v>3</v>
      </c>
      <c r="C68" s="2" t="s">
        <v>10</v>
      </c>
      <c r="E68" s="4">
        <v>2.1646999999999998</v>
      </c>
      <c r="F68" s="4"/>
      <c r="G68" s="4"/>
      <c r="I68" s="4">
        <v>2.2633999999999999</v>
      </c>
    </row>
    <row r="69" spans="2:9" x14ac:dyDescent="0.2">
      <c r="B69" t="s">
        <v>4</v>
      </c>
      <c r="C69" s="2" t="s">
        <v>10</v>
      </c>
      <c r="E69" s="4">
        <v>1.5792999999999999</v>
      </c>
      <c r="F69" s="4"/>
      <c r="G69" s="4"/>
      <c r="I69" s="4">
        <v>1.6627000000000001</v>
      </c>
    </row>
    <row r="70" spans="2:9" x14ac:dyDescent="0.2">
      <c r="E70" s="3"/>
      <c r="F70" s="3"/>
      <c r="G70" s="3"/>
      <c r="H70" s="3"/>
      <c r="I70" s="3"/>
    </row>
    <row r="71" spans="2:9" x14ac:dyDescent="0.2">
      <c r="B71" s="1" t="s">
        <v>7</v>
      </c>
    </row>
    <row r="72" spans="2:9" x14ac:dyDescent="0.2">
      <c r="B72" s="10" t="s">
        <v>52</v>
      </c>
      <c r="C72" s="2" t="s">
        <v>8</v>
      </c>
      <c r="E72" s="17">
        <v>5.35</v>
      </c>
      <c r="F72" s="17"/>
      <c r="G72" s="17"/>
      <c r="H72" s="9"/>
      <c r="I72" s="17">
        <v>5.05</v>
      </c>
    </row>
    <row r="73" spans="2:9" x14ac:dyDescent="0.2">
      <c r="B73" t="s">
        <v>2</v>
      </c>
      <c r="C73" s="2" t="s">
        <v>10</v>
      </c>
      <c r="E73" s="4">
        <v>10.1196</v>
      </c>
      <c r="F73" s="4"/>
      <c r="G73" s="4"/>
      <c r="I73" s="4">
        <v>10.5045</v>
      </c>
    </row>
    <row r="74" spans="2:9" x14ac:dyDescent="0.2">
      <c r="B74" s="10" t="s">
        <v>34</v>
      </c>
      <c r="C74" s="2" t="s">
        <v>10</v>
      </c>
      <c r="E74" s="4">
        <v>5.0700000000000002E-2</v>
      </c>
      <c r="F74" s="4"/>
      <c r="G74" s="4"/>
      <c r="H74" s="9"/>
      <c r="I74" s="4">
        <v>5.0700000000000002E-2</v>
      </c>
    </row>
    <row r="75" spans="2:9" x14ac:dyDescent="0.2">
      <c r="B75" s="10" t="s">
        <v>36</v>
      </c>
      <c r="C75" s="20" t="s">
        <v>10</v>
      </c>
      <c r="E75" s="4">
        <v>0.13650000000000001</v>
      </c>
      <c r="F75" s="4"/>
      <c r="G75" s="4"/>
      <c r="H75" s="9"/>
      <c r="I75" s="4">
        <v>0</v>
      </c>
    </row>
    <row r="76" spans="2:9" ht="25.5" x14ac:dyDescent="0.2">
      <c r="B76" s="16" t="s">
        <v>37</v>
      </c>
      <c r="C76" s="2" t="s">
        <v>10</v>
      </c>
      <c r="E76" s="4">
        <v>0.61319999999999997</v>
      </c>
      <c r="F76" s="4"/>
      <c r="G76" s="4"/>
      <c r="H76" s="9"/>
      <c r="I76" s="4">
        <v>0</v>
      </c>
    </row>
    <row r="77" spans="2:9" x14ac:dyDescent="0.2">
      <c r="B77" s="10" t="s">
        <v>56</v>
      </c>
      <c r="E77" s="4"/>
      <c r="F77" s="4"/>
      <c r="G77" s="4"/>
      <c r="H77" s="9"/>
      <c r="I77" s="4"/>
    </row>
    <row r="78" spans="2:9" x14ac:dyDescent="0.2">
      <c r="B78" s="10" t="s">
        <v>104</v>
      </c>
      <c r="C78" s="2" t="s">
        <v>10</v>
      </c>
      <c r="E78" s="4"/>
      <c r="F78" s="4"/>
      <c r="G78" s="4"/>
      <c r="H78" s="9"/>
      <c r="I78" s="4">
        <v>0.24560000000000001</v>
      </c>
    </row>
    <row r="79" spans="2:9" ht="25.5" x14ac:dyDescent="0.2">
      <c r="B79" s="16" t="s">
        <v>103</v>
      </c>
      <c r="C79" s="2" t="s">
        <v>10</v>
      </c>
      <c r="E79" s="4"/>
      <c r="F79" s="4"/>
      <c r="G79" s="4"/>
      <c r="H79" s="9"/>
      <c r="I79" s="4">
        <v>-0.76700000000000002</v>
      </c>
    </row>
    <row r="80" spans="2:9" x14ac:dyDescent="0.2">
      <c r="B80" s="16" t="s">
        <v>93</v>
      </c>
      <c r="C80" s="20" t="s">
        <v>10</v>
      </c>
      <c r="E80" s="4"/>
      <c r="F80" s="4"/>
      <c r="G80" s="4"/>
      <c r="H80" s="9"/>
      <c r="I80" s="4"/>
    </row>
    <row r="81" spans="2:9" x14ac:dyDescent="0.2">
      <c r="B81" t="s">
        <v>3</v>
      </c>
      <c r="C81" s="2" t="s">
        <v>10</v>
      </c>
      <c r="E81" s="4">
        <v>1.8801000000000001</v>
      </c>
      <c r="F81" s="4"/>
      <c r="G81" s="4"/>
      <c r="H81" s="9"/>
      <c r="I81" s="4">
        <v>1.9658</v>
      </c>
    </row>
    <row r="82" spans="2:9" x14ac:dyDescent="0.2">
      <c r="B82" t="s">
        <v>4</v>
      </c>
      <c r="C82" s="2" t="s">
        <v>10</v>
      </c>
      <c r="E82" s="4">
        <v>1.4765999999999999</v>
      </c>
      <c r="F82" s="4"/>
      <c r="G82" s="4"/>
      <c r="I82" s="4">
        <v>1.5546</v>
      </c>
    </row>
    <row r="83" spans="2:9" x14ac:dyDescent="0.2">
      <c r="E83" s="4"/>
      <c r="F83" s="4"/>
      <c r="G83" s="4"/>
      <c r="I83" s="13"/>
    </row>
    <row r="84" spans="2:9" x14ac:dyDescent="0.2">
      <c r="E84" s="4"/>
      <c r="F84" s="4"/>
      <c r="G84" s="4"/>
      <c r="I84" s="13"/>
    </row>
    <row r="85" spans="2:9" ht="15.75" x14ac:dyDescent="0.25">
      <c r="B85" s="104" t="s">
        <v>53</v>
      </c>
      <c r="C85" s="104"/>
      <c r="D85" s="104"/>
      <c r="E85" s="104"/>
      <c r="F85" s="104"/>
      <c r="G85" s="104"/>
      <c r="H85" s="104"/>
      <c r="I85" s="104"/>
    </row>
    <row r="86" spans="2:9" x14ac:dyDescent="0.2">
      <c r="B86" s="1" t="s">
        <v>72</v>
      </c>
    </row>
    <row r="87" spans="2:9" x14ac:dyDescent="0.2">
      <c r="B87" s="1" t="s">
        <v>27</v>
      </c>
    </row>
    <row r="88" spans="2:9" x14ac:dyDescent="0.2">
      <c r="B88" t="s">
        <v>1</v>
      </c>
      <c r="C88" s="2" t="s">
        <v>8</v>
      </c>
      <c r="E88" s="3">
        <v>18.940000000000001</v>
      </c>
      <c r="F88" s="3"/>
      <c r="G88" s="3"/>
      <c r="H88" s="9"/>
      <c r="I88" s="3">
        <v>19.45</v>
      </c>
    </row>
    <row r="89" spans="2:9" x14ac:dyDescent="0.2">
      <c r="B89" t="s">
        <v>2</v>
      </c>
      <c r="C89" s="2" t="s">
        <v>9</v>
      </c>
      <c r="E89" s="4">
        <v>2.01E-2</v>
      </c>
      <c r="F89" s="4"/>
      <c r="G89" s="4"/>
      <c r="H89" s="9"/>
      <c r="I89" s="4">
        <v>2.0199999999999999E-2</v>
      </c>
    </row>
    <row r="90" spans="2:9" x14ac:dyDescent="0.2">
      <c r="B90" s="10" t="s">
        <v>50</v>
      </c>
      <c r="C90" s="11" t="s">
        <v>8</v>
      </c>
      <c r="E90" s="12">
        <v>1.04</v>
      </c>
      <c r="F90" s="12"/>
      <c r="G90" s="12"/>
      <c r="I90" s="12">
        <v>0</v>
      </c>
    </row>
    <row r="91" spans="2:9" x14ac:dyDescent="0.2">
      <c r="B91" s="10" t="s">
        <v>49</v>
      </c>
      <c r="C91" s="11" t="s">
        <v>8</v>
      </c>
      <c r="E91" s="12">
        <v>1.5</v>
      </c>
      <c r="F91" s="12"/>
      <c r="G91" s="12"/>
      <c r="I91" s="12">
        <v>0</v>
      </c>
    </row>
    <row r="92" spans="2:9" x14ac:dyDescent="0.2">
      <c r="B92" s="10" t="s">
        <v>34</v>
      </c>
      <c r="C92" s="2" t="s">
        <v>9</v>
      </c>
      <c r="E92" s="4">
        <v>2.0000000000000001E-4</v>
      </c>
      <c r="F92" s="4"/>
      <c r="G92" s="4"/>
      <c r="H92" s="9"/>
      <c r="I92" s="4">
        <v>2.0000000000000001E-4</v>
      </c>
    </row>
    <row r="93" spans="2:9" x14ac:dyDescent="0.2">
      <c r="B93" s="10" t="s">
        <v>36</v>
      </c>
      <c r="C93" s="11" t="s">
        <v>9</v>
      </c>
      <c r="E93" s="4">
        <v>-8.9999999999999998E-4</v>
      </c>
      <c r="F93" s="4"/>
      <c r="G93" s="4"/>
      <c r="H93" s="9"/>
      <c r="I93" s="4">
        <v>0</v>
      </c>
    </row>
    <row r="94" spans="2:9" ht="25.5" x14ac:dyDescent="0.2">
      <c r="B94" s="16" t="s">
        <v>37</v>
      </c>
      <c r="C94" s="20" t="s">
        <v>9</v>
      </c>
      <c r="D94" s="20"/>
      <c r="E94" s="21">
        <v>2.0999999999999999E-3</v>
      </c>
      <c r="F94" s="21"/>
      <c r="G94" s="21"/>
      <c r="H94" s="22"/>
      <c r="I94" s="21">
        <v>0</v>
      </c>
    </row>
    <row r="95" spans="2:9" x14ac:dyDescent="0.2">
      <c r="B95" s="10" t="s">
        <v>104</v>
      </c>
      <c r="C95" s="11" t="s">
        <v>9</v>
      </c>
      <c r="D95" s="20"/>
      <c r="E95" s="21"/>
      <c r="F95" s="21"/>
      <c r="G95" s="21"/>
      <c r="H95" s="22"/>
      <c r="I95" s="21">
        <v>2.9999999999999997E-4</v>
      </c>
    </row>
    <row r="96" spans="2:9" ht="25.5" x14ac:dyDescent="0.2">
      <c r="B96" s="16" t="s">
        <v>103</v>
      </c>
      <c r="C96" s="20" t="s">
        <v>9</v>
      </c>
      <c r="D96" s="20"/>
      <c r="E96" s="21"/>
      <c r="F96" s="21"/>
      <c r="G96" s="21"/>
      <c r="H96" s="22"/>
      <c r="I96" s="21">
        <v>7.4999999999999997E-3</v>
      </c>
    </row>
    <row r="97" spans="2:9" x14ac:dyDescent="0.2">
      <c r="B97" s="16" t="s">
        <v>93</v>
      </c>
      <c r="C97" s="20" t="s">
        <v>9</v>
      </c>
      <c r="D97" s="20"/>
      <c r="E97" s="21"/>
      <c r="F97" s="21"/>
      <c r="G97" s="21"/>
      <c r="H97" s="22"/>
      <c r="I97" s="21">
        <v>1E-4</v>
      </c>
    </row>
    <row r="98" spans="2:9" x14ac:dyDescent="0.2">
      <c r="B98" t="s">
        <v>3</v>
      </c>
      <c r="C98" s="2" t="s">
        <v>9</v>
      </c>
      <c r="E98" s="4">
        <v>7.0000000000000001E-3</v>
      </c>
      <c r="F98" s="4"/>
      <c r="G98" s="4"/>
      <c r="H98" s="9"/>
      <c r="I98" s="4">
        <v>7.3000000000000001E-3</v>
      </c>
    </row>
    <row r="99" spans="2:9" x14ac:dyDescent="0.2">
      <c r="B99" t="s">
        <v>4</v>
      </c>
      <c r="C99" s="2" t="s">
        <v>9</v>
      </c>
      <c r="E99" s="4">
        <v>5.4000000000000003E-3</v>
      </c>
      <c r="F99" s="4"/>
      <c r="G99" s="4"/>
      <c r="I99" s="4">
        <v>5.7000000000000002E-3</v>
      </c>
    </row>
    <row r="101" spans="2:9" x14ac:dyDescent="0.2">
      <c r="B101" s="1" t="s">
        <v>17</v>
      </c>
    </row>
    <row r="102" spans="2:9" x14ac:dyDescent="0.2">
      <c r="B102" t="s">
        <v>1</v>
      </c>
      <c r="C102" s="2" t="s">
        <v>8</v>
      </c>
      <c r="E102" s="3">
        <v>24.36</v>
      </c>
      <c r="F102" s="3"/>
      <c r="G102" s="3"/>
      <c r="H102" s="9"/>
      <c r="I102" s="3">
        <v>26.24</v>
      </c>
    </row>
    <row r="103" spans="2:9" x14ac:dyDescent="0.2">
      <c r="B103" t="s">
        <v>2</v>
      </c>
      <c r="C103" s="2" t="s">
        <v>9</v>
      </c>
      <c r="E103" s="4">
        <v>2.4E-2</v>
      </c>
      <c r="F103" s="4"/>
      <c r="G103" s="4"/>
      <c r="H103" s="12"/>
      <c r="I103" s="4">
        <v>2.35E-2</v>
      </c>
    </row>
    <row r="104" spans="2:9" x14ac:dyDescent="0.2">
      <c r="B104" s="10" t="s">
        <v>50</v>
      </c>
      <c r="C104" s="11" t="s">
        <v>8</v>
      </c>
      <c r="E104" s="12">
        <v>3.38</v>
      </c>
      <c r="F104" s="12"/>
      <c r="G104" s="12"/>
      <c r="H104" s="12"/>
      <c r="I104" s="12">
        <v>0</v>
      </c>
    </row>
    <row r="105" spans="2:9" x14ac:dyDescent="0.2">
      <c r="B105" s="10" t="s">
        <v>49</v>
      </c>
      <c r="C105" s="11" t="s">
        <v>8</v>
      </c>
      <c r="E105" s="12">
        <v>3.04</v>
      </c>
      <c r="F105" s="12"/>
      <c r="G105" s="12"/>
      <c r="H105" s="9"/>
      <c r="I105" s="12">
        <v>0</v>
      </c>
    </row>
    <row r="106" spans="2:9" x14ac:dyDescent="0.2">
      <c r="B106" s="10" t="s">
        <v>34</v>
      </c>
      <c r="C106" s="2" t="s">
        <v>9</v>
      </c>
      <c r="D106" s="20"/>
      <c r="E106" s="4">
        <v>2.0000000000000001E-4</v>
      </c>
      <c r="F106" s="4"/>
      <c r="G106" s="4"/>
      <c r="I106" s="4">
        <v>2.0000000000000001E-4</v>
      </c>
    </row>
    <row r="107" spans="2:9" x14ac:dyDescent="0.2">
      <c r="B107" s="10" t="s">
        <v>36</v>
      </c>
      <c r="C107" s="11" t="s">
        <v>9</v>
      </c>
      <c r="E107" s="21">
        <v>-8.9999999999999998E-4</v>
      </c>
      <c r="F107" s="21"/>
      <c r="G107" s="21"/>
      <c r="H107" s="22"/>
      <c r="I107" s="21">
        <v>0</v>
      </c>
    </row>
    <row r="108" spans="2:9" ht="25.5" x14ac:dyDescent="0.2">
      <c r="B108" s="16" t="s">
        <v>37</v>
      </c>
      <c r="C108" s="20" t="s">
        <v>9</v>
      </c>
      <c r="E108" s="4">
        <v>2.0999999999999999E-3</v>
      </c>
      <c r="F108" s="4"/>
      <c r="G108" s="4"/>
      <c r="I108" s="4">
        <v>0</v>
      </c>
    </row>
    <row r="109" spans="2:9" x14ac:dyDescent="0.2">
      <c r="B109" s="10" t="s">
        <v>56</v>
      </c>
      <c r="C109" s="20"/>
      <c r="E109" s="4"/>
      <c r="F109" s="4"/>
      <c r="G109" s="4"/>
      <c r="I109" s="4"/>
    </row>
    <row r="110" spans="2:9" x14ac:dyDescent="0.2">
      <c r="B110" s="10" t="s">
        <v>104</v>
      </c>
      <c r="C110" s="11" t="s">
        <v>9</v>
      </c>
      <c r="E110" s="4"/>
      <c r="F110" s="4"/>
      <c r="G110" s="4"/>
      <c r="I110" s="4">
        <v>2.9999999999999997E-4</v>
      </c>
    </row>
    <row r="111" spans="2:9" ht="25.5" x14ac:dyDescent="0.2">
      <c r="B111" s="16" t="s">
        <v>103</v>
      </c>
      <c r="C111" s="20" t="s">
        <v>9</v>
      </c>
      <c r="E111" s="4"/>
      <c r="F111" s="4"/>
      <c r="G111" s="4"/>
      <c r="I111" s="4">
        <v>7.4999999999999997E-3</v>
      </c>
    </row>
    <row r="112" spans="2:9" x14ac:dyDescent="0.2">
      <c r="B112" s="16" t="s">
        <v>93</v>
      </c>
      <c r="C112" s="20" t="s">
        <v>9</v>
      </c>
      <c r="E112" s="4"/>
      <c r="F112" s="4"/>
      <c r="G112" s="4"/>
      <c r="I112" s="4">
        <v>4.0000000000000002E-4</v>
      </c>
    </row>
    <row r="113" spans="2:9" x14ac:dyDescent="0.2">
      <c r="B113" t="s">
        <v>3</v>
      </c>
      <c r="C113" s="2" t="s">
        <v>9</v>
      </c>
      <c r="E113" s="4">
        <v>6.0000000000000001E-3</v>
      </c>
      <c r="F113" s="4"/>
      <c r="G113" s="4"/>
      <c r="I113" s="4">
        <v>6.3E-3</v>
      </c>
    </row>
    <row r="114" spans="2:9" x14ac:dyDescent="0.2">
      <c r="B114" t="s">
        <v>4</v>
      </c>
      <c r="C114" s="2" t="s">
        <v>9</v>
      </c>
      <c r="E114" s="4">
        <v>4.7000000000000002E-3</v>
      </c>
      <c r="F114" s="4"/>
      <c r="G114" s="4"/>
      <c r="I114" s="4">
        <v>4.8999999999999998E-3</v>
      </c>
    </row>
    <row r="115" spans="2:9" x14ac:dyDescent="0.2">
      <c r="E115" s="3"/>
      <c r="F115" s="3"/>
      <c r="G115" s="3"/>
      <c r="H115" s="3"/>
      <c r="I115" s="3"/>
    </row>
    <row r="116" spans="2:9" x14ac:dyDescent="0.2">
      <c r="B116" s="1" t="s">
        <v>19</v>
      </c>
    </row>
    <row r="117" spans="2:9" x14ac:dyDescent="0.2">
      <c r="B117" t="s">
        <v>1</v>
      </c>
      <c r="C117" s="2" t="s">
        <v>8</v>
      </c>
      <c r="E117" s="3">
        <v>143.56</v>
      </c>
      <c r="F117" s="3"/>
      <c r="G117" s="3"/>
      <c r="H117" s="9"/>
      <c r="I117" s="3">
        <v>149.51</v>
      </c>
    </row>
    <row r="118" spans="2:9" x14ac:dyDescent="0.2">
      <c r="B118" t="s">
        <v>2</v>
      </c>
      <c r="C118" s="2" t="s">
        <v>10</v>
      </c>
      <c r="E118" s="4">
        <v>6.9223999999999997</v>
      </c>
      <c r="F118" s="4"/>
      <c r="G118" s="4"/>
      <c r="H118" s="9"/>
      <c r="I118" s="4">
        <v>6.5865999999999998</v>
      </c>
    </row>
    <row r="119" spans="2:9" x14ac:dyDescent="0.2">
      <c r="B119" s="10" t="s">
        <v>34</v>
      </c>
      <c r="C119" s="2" t="s">
        <v>10</v>
      </c>
      <c r="E119" s="4">
        <v>7.3499999999999996E-2</v>
      </c>
      <c r="F119" s="4"/>
      <c r="G119" s="4"/>
      <c r="I119" s="4">
        <v>7.3499999999999996E-2</v>
      </c>
    </row>
    <row r="120" spans="2:9" x14ac:dyDescent="0.2">
      <c r="B120" s="10" t="s">
        <v>36</v>
      </c>
      <c r="C120" s="20" t="s">
        <v>10</v>
      </c>
      <c r="D120" s="20"/>
      <c r="E120" s="21">
        <v>-0.31369999999999998</v>
      </c>
      <c r="F120" s="21"/>
      <c r="G120" s="21"/>
      <c r="H120" s="22"/>
      <c r="I120" s="21">
        <v>0</v>
      </c>
    </row>
    <row r="121" spans="2:9" ht="25.5" x14ac:dyDescent="0.2">
      <c r="B121" s="16" t="s">
        <v>37</v>
      </c>
      <c r="C121" s="2" t="s">
        <v>10</v>
      </c>
      <c r="E121" s="4">
        <v>0.77270000000000005</v>
      </c>
      <c r="F121" s="4"/>
      <c r="G121" s="4"/>
      <c r="I121" s="4">
        <v>0</v>
      </c>
    </row>
    <row r="122" spans="2:9" x14ac:dyDescent="0.2">
      <c r="B122" s="10" t="s">
        <v>56</v>
      </c>
      <c r="E122" s="4"/>
      <c r="F122" s="4"/>
      <c r="G122" s="4"/>
      <c r="I122" s="4"/>
    </row>
    <row r="123" spans="2:9" x14ac:dyDescent="0.2">
      <c r="B123" s="10" t="s">
        <v>104</v>
      </c>
      <c r="C123" s="2" t="s">
        <v>10</v>
      </c>
      <c r="E123" s="4"/>
      <c r="F123" s="4"/>
      <c r="G123" s="4"/>
      <c r="I123" s="4">
        <v>7.5800000000000006E-2</v>
      </c>
    </row>
    <row r="124" spans="2:9" ht="25.5" x14ac:dyDescent="0.2">
      <c r="B124" s="16" t="s">
        <v>103</v>
      </c>
      <c r="C124" s="2" t="s">
        <v>10</v>
      </c>
      <c r="E124" s="4"/>
      <c r="F124" s="4"/>
      <c r="G124" s="4"/>
      <c r="I124" s="4">
        <v>2.6877</v>
      </c>
    </row>
    <row r="125" spans="2:9" x14ac:dyDescent="0.2">
      <c r="B125" s="16" t="s">
        <v>93</v>
      </c>
      <c r="C125" s="20" t="s">
        <v>10</v>
      </c>
      <c r="E125" s="4"/>
      <c r="F125" s="4"/>
      <c r="G125" s="4"/>
      <c r="I125" s="4">
        <v>4.41E-2</v>
      </c>
    </row>
    <row r="126" spans="2:9" x14ac:dyDescent="0.2">
      <c r="B126" t="s">
        <v>3</v>
      </c>
      <c r="C126" s="2" t="s">
        <v>10</v>
      </c>
      <c r="E126" s="4">
        <v>2.5400999999999998</v>
      </c>
      <c r="F126" s="4"/>
      <c r="G126" s="4"/>
      <c r="I126" s="4">
        <v>2.6558999999999999</v>
      </c>
    </row>
    <row r="127" spans="2:9" x14ac:dyDescent="0.2">
      <c r="B127" t="s">
        <v>4</v>
      </c>
      <c r="C127" s="2" t="s">
        <v>10</v>
      </c>
      <c r="E127" s="4">
        <v>1.9351</v>
      </c>
      <c r="F127" s="4"/>
      <c r="G127" s="4"/>
      <c r="H127" s="5"/>
      <c r="I127" s="4">
        <v>2.0373000000000001</v>
      </c>
    </row>
    <row r="128" spans="2:9" x14ac:dyDescent="0.2">
      <c r="E128" s="3"/>
      <c r="F128" s="3"/>
      <c r="G128" s="3"/>
      <c r="H128" s="3"/>
      <c r="I128" s="3"/>
    </row>
    <row r="129" spans="2:9" x14ac:dyDescent="0.2">
      <c r="B129" s="1" t="s">
        <v>20</v>
      </c>
    </row>
    <row r="130" spans="2:9" x14ac:dyDescent="0.2">
      <c r="B130" s="10" t="s">
        <v>51</v>
      </c>
      <c r="C130" s="2" t="s">
        <v>8</v>
      </c>
      <c r="E130" s="3">
        <v>51.5</v>
      </c>
      <c r="F130" s="3"/>
      <c r="G130" s="3"/>
      <c r="H130" s="9"/>
      <c r="I130" s="3">
        <v>42.3</v>
      </c>
    </row>
    <row r="131" spans="2:9" x14ac:dyDescent="0.2">
      <c r="B131" t="s">
        <v>2</v>
      </c>
      <c r="C131" s="2" t="s">
        <v>9</v>
      </c>
      <c r="E131" s="4">
        <v>3.2399999999999998E-2</v>
      </c>
      <c r="F131" s="4"/>
      <c r="G131" s="4"/>
      <c r="H131" s="9"/>
      <c r="I131" s="4">
        <v>2.5000000000000001E-2</v>
      </c>
    </row>
    <row r="132" spans="2:9" x14ac:dyDescent="0.2">
      <c r="B132" s="10" t="s">
        <v>34</v>
      </c>
      <c r="C132" s="2" t="s">
        <v>9</v>
      </c>
      <c r="D132" s="20"/>
      <c r="E132" s="4">
        <v>2.0000000000000001E-4</v>
      </c>
      <c r="F132" s="4"/>
      <c r="G132" s="4"/>
      <c r="H132" s="22"/>
      <c r="I132" s="4">
        <v>2.0000000000000001E-4</v>
      </c>
    </row>
    <row r="133" spans="2:9" x14ac:dyDescent="0.2">
      <c r="B133" s="10" t="s">
        <v>36</v>
      </c>
      <c r="C133" s="11" t="s">
        <v>9</v>
      </c>
      <c r="E133" s="4">
        <v>-8.9999999999999998E-4</v>
      </c>
      <c r="F133" s="4"/>
      <c r="G133" s="4"/>
      <c r="I133" s="4">
        <v>0</v>
      </c>
    </row>
    <row r="134" spans="2:9" x14ac:dyDescent="0.2">
      <c r="B134" s="10" t="s">
        <v>104</v>
      </c>
      <c r="C134" s="11" t="s">
        <v>9</v>
      </c>
      <c r="E134" s="4"/>
      <c r="F134" s="4"/>
      <c r="G134" s="4"/>
      <c r="I134" s="4">
        <v>2.9999999999999997E-4</v>
      </c>
    </row>
    <row r="135" spans="2:9" ht="25.5" x14ac:dyDescent="0.2">
      <c r="B135" s="16" t="s">
        <v>103</v>
      </c>
      <c r="C135" s="20" t="s">
        <v>9</v>
      </c>
      <c r="E135" s="4"/>
      <c r="F135" s="4"/>
      <c r="G135" s="4"/>
      <c r="I135" s="4">
        <v>0</v>
      </c>
    </row>
    <row r="136" spans="2:9" x14ac:dyDescent="0.2">
      <c r="B136" s="16" t="s">
        <v>93</v>
      </c>
      <c r="C136" s="20" t="s">
        <v>9</v>
      </c>
      <c r="E136" s="4"/>
      <c r="F136" s="4"/>
      <c r="G136" s="4"/>
      <c r="I136" s="4"/>
    </row>
    <row r="137" spans="2:9" x14ac:dyDescent="0.2">
      <c r="B137" t="s">
        <v>3</v>
      </c>
      <c r="C137" s="2" t="s">
        <v>9</v>
      </c>
      <c r="E137" s="4">
        <v>6.1999999999999998E-3</v>
      </c>
      <c r="F137" s="4"/>
      <c r="G137" s="4"/>
      <c r="H137" s="5"/>
      <c r="I137" s="4">
        <v>6.4999999999999997E-3</v>
      </c>
    </row>
    <row r="138" spans="2:9" x14ac:dyDescent="0.2">
      <c r="B138" t="s">
        <v>4</v>
      </c>
      <c r="C138" s="2" t="s">
        <v>9</v>
      </c>
      <c r="E138" s="4">
        <v>4.7999999999999996E-3</v>
      </c>
      <c r="F138" s="4"/>
      <c r="G138" s="4"/>
      <c r="H138" s="6"/>
      <c r="I138" s="4">
        <v>5.1000000000000004E-3</v>
      </c>
    </row>
    <row r="139" spans="2:9" x14ac:dyDescent="0.2">
      <c r="E139" s="3"/>
      <c r="F139" s="3"/>
      <c r="G139" s="3"/>
      <c r="H139" s="3"/>
      <c r="I139" s="3"/>
    </row>
    <row r="140" spans="2:9" x14ac:dyDescent="0.2">
      <c r="B140" s="1" t="s">
        <v>21</v>
      </c>
    </row>
    <row r="141" spans="2:9" x14ac:dyDescent="0.2">
      <c r="B141" s="10" t="s">
        <v>52</v>
      </c>
      <c r="C141" s="2" t="s">
        <v>8</v>
      </c>
      <c r="E141" s="3">
        <v>5.08</v>
      </c>
      <c r="F141" s="3"/>
      <c r="G141" s="3"/>
      <c r="H141" s="9"/>
      <c r="I141" s="3">
        <v>5.18</v>
      </c>
    </row>
    <row r="142" spans="2:9" x14ac:dyDescent="0.2">
      <c r="B142" t="s">
        <v>2</v>
      </c>
      <c r="C142" s="2" t="s">
        <v>10</v>
      </c>
      <c r="E142" s="4">
        <v>5.0109000000000004</v>
      </c>
      <c r="F142" s="4"/>
      <c r="G142" s="4"/>
      <c r="H142" s="9"/>
      <c r="I142" s="4">
        <v>4.9612999999999996</v>
      </c>
    </row>
    <row r="143" spans="2:9" x14ac:dyDescent="0.2">
      <c r="B143" s="10" t="s">
        <v>34</v>
      </c>
      <c r="C143" s="2" t="s">
        <v>10</v>
      </c>
      <c r="E143" s="4">
        <v>5.4199999999999998E-2</v>
      </c>
      <c r="F143" s="4"/>
      <c r="G143" s="4"/>
      <c r="H143" s="9"/>
      <c r="I143" s="4">
        <v>5.4199999999999998E-2</v>
      </c>
    </row>
    <row r="144" spans="2:9" x14ac:dyDescent="0.2">
      <c r="B144" s="10" t="s">
        <v>36</v>
      </c>
      <c r="C144" s="20" t="s">
        <v>10</v>
      </c>
      <c r="E144" s="4">
        <v>-0.40139999999999998</v>
      </c>
      <c r="F144" s="4"/>
      <c r="G144" s="4"/>
      <c r="H144" s="9"/>
      <c r="I144" s="4">
        <v>0</v>
      </c>
    </row>
    <row r="145" spans="2:9" x14ac:dyDescent="0.2">
      <c r="B145" s="10" t="s">
        <v>104</v>
      </c>
      <c r="C145" s="2" t="s">
        <v>10</v>
      </c>
      <c r="E145" s="4"/>
      <c r="F145" s="4"/>
      <c r="G145" s="4"/>
      <c r="H145" s="9"/>
      <c r="I145" s="4">
        <v>0.22090000000000001</v>
      </c>
    </row>
    <row r="146" spans="2:9" ht="25.5" x14ac:dyDescent="0.2">
      <c r="B146" s="16" t="s">
        <v>103</v>
      </c>
      <c r="C146" s="2" t="s">
        <v>10</v>
      </c>
      <c r="E146" s="4"/>
      <c r="F146" s="4"/>
      <c r="G146" s="4"/>
      <c r="H146" s="9"/>
      <c r="I146" s="4">
        <v>0</v>
      </c>
    </row>
    <row r="147" spans="2:9" x14ac:dyDescent="0.2">
      <c r="B147" s="16" t="s">
        <v>93</v>
      </c>
      <c r="C147" s="20" t="s">
        <v>10</v>
      </c>
      <c r="E147" s="4"/>
      <c r="F147" s="4"/>
      <c r="G147" s="4"/>
      <c r="H147" s="9"/>
      <c r="I147" s="4"/>
    </row>
    <row r="148" spans="2:9" x14ac:dyDescent="0.2">
      <c r="B148" t="s">
        <v>3</v>
      </c>
      <c r="C148" s="2" t="s">
        <v>10</v>
      </c>
      <c r="E148" s="4">
        <v>2.1646999999999998</v>
      </c>
      <c r="F148" s="4"/>
      <c r="G148" s="4"/>
      <c r="I148" s="4">
        <v>2.2633999999999999</v>
      </c>
    </row>
    <row r="149" spans="2:9" x14ac:dyDescent="0.2">
      <c r="B149" t="s">
        <v>4</v>
      </c>
      <c r="C149" s="2" t="s">
        <v>10</v>
      </c>
      <c r="E149" s="4">
        <v>1.5792999999999999</v>
      </c>
      <c r="F149" s="4"/>
      <c r="G149" s="4"/>
      <c r="I149" s="4">
        <v>1.6627000000000001</v>
      </c>
    </row>
    <row r="150" spans="2:9" x14ac:dyDescent="0.2">
      <c r="E150" s="3"/>
      <c r="F150" s="3"/>
      <c r="G150" s="3"/>
      <c r="H150" s="3"/>
      <c r="I150" s="3"/>
    </row>
    <row r="151" spans="2:9" x14ac:dyDescent="0.2">
      <c r="B151" s="1" t="s">
        <v>7</v>
      </c>
    </row>
    <row r="152" spans="2:9" x14ac:dyDescent="0.2">
      <c r="B152" s="10" t="s">
        <v>52</v>
      </c>
      <c r="C152" s="2" t="s">
        <v>8</v>
      </c>
      <c r="E152" s="17">
        <v>5.35</v>
      </c>
      <c r="F152" s="17"/>
      <c r="G152" s="17"/>
      <c r="H152" s="9"/>
      <c r="I152" s="17">
        <v>5.05</v>
      </c>
    </row>
    <row r="153" spans="2:9" x14ac:dyDescent="0.2">
      <c r="B153" t="s">
        <v>2</v>
      </c>
      <c r="C153" s="2" t="s">
        <v>10</v>
      </c>
      <c r="E153" s="4">
        <v>10.1196</v>
      </c>
      <c r="F153" s="4"/>
      <c r="G153" s="4"/>
      <c r="I153" s="4">
        <v>10.5045</v>
      </c>
    </row>
    <row r="154" spans="2:9" x14ac:dyDescent="0.2">
      <c r="B154" s="10" t="s">
        <v>34</v>
      </c>
      <c r="C154" s="2" t="s">
        <v>10</v>
      </c>
      <c r="E154" s="4">
        <v>5.0700000000000002E-2</v>
      </c>
      <c r="F154" s="4"/>
      <c r="G154" s="4"/>
      <c r="H154" s="9"/>
      <c r="I154" s="4">
        <v>5.0700000000000002E-2</v>
      </c>
    </row>
    <row r="155" spans="2:9" x14ac:dyDescent="0.2">
      <c r="B155" s="10" t="s">
        <v>36</v>
      </c>
      <c r="C155" s="20" t="s">
        <v>10</v>
      </c>
      <c r="E155" s="4">
        <v>-0.29089999999999999</v>
      </c>
      <c r="F155" s="4"/>
      <c r="G155" s="4"/>
      <c r="H155" s="9"/>
      <c r="I155" s="4">
        <v>0</v>
      </c>
    </row>
    <row r="156" spans="2:9" ht="25.5" x14ac:dyDescent="0.2">
      <c r="B156" s="16" t="s">
        <v>37</v>
      </c>
      <c r="C156" s="2" t="s">
        <v>10</v>
      </c>
      <c r="E156" s="4">
        <v>0.70679999999999998</v>
      </c>
      <c r="F156" s="4"/>
      <c r="G156" s="4"/>
      <c r="H156" s="9"/>
      <c r="I156" s="4">
        <v>0</v>
      </c>
    </row>
    <row r="157" spans="2:9" x14ac:dyDescent="0.2">
      <c r="B157" s="10" t="s">
        <v>56</v>
      </c>
      <c r="E157" s="4"/>
      <c r="F157" s="4"/>
      <c r="G157" s="4"/>
      <c r="H157" s="9"/>
      <c r="I157" s="4"/>
    </row>
    <row r="158" spans="2:9" x14ac:dyDescent="0.2">
      <c r="B158" s="10" t="s">
        <v>104</v>
      </c>
      <c r="C158" s="2" t="s">
        <v>10</v>
      </c>
      <c r="E158" s="4"/>
      <c r="F158" s="4"/>
      <c r="G158" s="4"/>
      <c r="H158" s="9"/>
      <c r="I158" s="4">
        <v>7.5600000000000001E-2</v>
      </c>
    </row>
    <row r="159" spans="2:9" ht="25.5" x14ac:dyDescent="0.2">
      <c r="B159" s="16" t="s">
        <v>103</v>
      </c>
      <c r="C159" s="2" t="s">
        <v>10</v>
      </c>
      <c r="E159" s="4"/>
      <c r="F159" s="4"/>
      <c r="G159" s="4"/>
      <c r="H159" s="9"/>
      <c r="I159" s="4">
        <v>2.4809999999999999</v>
      </c>
    </row>
    <row r="160" spans="2:9" x14ac:dyDescent="0.2">
      <c r="B160" s="16" t="s">
        <v>93</v>
      </c>
      <c r="C160" s="20" t="s">
        <v>10</v>
      </c>
      <c r="E160" s="4"/>
      <c r="F160" s="4"/>
      <c r="G160" s="4"/>
      <c r="H160" s="9"/>
      <c r="I160" s="4"/>
    </row>
    <row r="161" spans="2:9" x14ac:dyDescent="0.2">
      <c r="B161" t="s">
        <v>3</v>
      </c>
      <c r="C161" s="2" t="s">
        <v>10</v>
      </c>
      <c r="E161" s="4">
        <v>1.8801000000000001</v>
      </c>
      <c r="F161" s="4"/>
      <c r="G161" s="4"/>
      <c r="H161" s="9"/>
      <c r="I161" s="4">
        <v>1.9658</v>
      </c>
    </row>
    <row r="162" spans="2:9" x14ac:dyDescent="0.2">
      <c r="B162" t="s">
        <v>4</v>
      </c>
      <c r="C162" s="2" t="s">
        <v>10</v>
      </c>
      <c r="E162" s="4">
        <v>1.4765999999999999</v>
      </c>
      <c r="F162" s="4"/>
      <c r="G162" s="4"/>
      <c r="I162" s="4">
        <v>1.5546</v>
      </c>
    </row>
    <row r="163" spans="2:9" x14ac:dyDescent="0.2">
      <c r="E163" s="4"/>
      <c r="F163" s="4"/>
      <c r="G163" s="4"/>
      <c r="I163" s="13"/>
    </row>
    <row r="164" spans="2:9" x14ac:dyDescent="0.2">
      <c r="E164" s="4"/>
      <c r="F164" s="4"/>
      <c r="G164" s="4"/>
      <c r="I164" s="13"/>
    </row>
    <row r="165" spans="2:9" ht="15.75" x14ac:dyDescent="0.25">
      <c r="B165" s="104" t="s">
        <v>54</v>
      </c>
      <c r="C165" s="104"/>
      <c r="D165" s="104"/>
      <c r="E165" s="104"/>
      <c r="F165" s="104"/>
      <c r="G165" s="104"/>
      <c r="H165" s="104"/>
      <c r="I165" s="104"/>
    </row>
    <row r="166" spans="2:9" x14ac:dyDescent="0.2">
      <c r="B166" s="1" t="s">
        <v>73</v>
      </c>
      <c r="I166" s="13"/>
    </row>
    <row r="167" spans="2:9" x14ac:dyDescent="0.2">
      <c r="B167" s="1" t="s">
        <v>27</v>
      </c>
      <c r="I167" s="13"/>
    </row>
    <row r="168" spans="2:9" x14ac:dyDescent="0.2">
      <c r="B168" t="s">
        <v>1</v>
      </c>
      <c r="C168" s="2" t="s">
        <v>8</v>
      </c>
      <c r="E168" s="3">
        <v>17.63</v>
      </c>
      <c r="F168" s="3"/>
      <c r="G168" s="3"/>
      <c r="I168" s="3">
        <v>18.78</v>
      </c>
    </row>
    <row r="169" spans="2:9" x14ac:dyDescent="0.2">
      <c r="B169" t="s">
        <v>2</v>
      </c>
      <c r="C169" s="2" t="s">
        <v>9</v>
      </c>
      <c r="E169" s="4">
        <v>2.2800000000000001E-2</v>
      </c>
      <c r="F169" s="4"/>
      <c r="G169" s="4"/>
      <c r="I169" s="4">
        <v>2.1299999999999999E-2</v>
      </c>
    </row>
    <row r="170" spans="2:9" x14ac:dyDescent="0.2">
      <c r="B170" s="10" t="s">
        <v>50</v>
      </c>
      <c r="C170" s="11" t="s">
        <v>8</v>
      </c>
      <c r="E170" s="12">
        <v>0.84</v>
      </c>
      <c r="F170" s="12"/>
      <c r="G170" s="12"/>
      <c r="I170" s="12">
        <v>0</v>
      </c>
    </row>
    <row r="171" spans="2:9" x14ac:dyDescent="0.2">
      <c r="B171" s="10" t="s">
        <v>49</v>
      </c>
      <c r="C171" s="11" t="s">
        <v>8</v>
      </c>
      <c r="E171" s="12">
        <v>1.72</v>
      </c>
      <c r="F171" s="12"/>
      <c r="G171" s="12"/>
      <c r="I171" s="12">
        <v>0</v>
      </c>
    </row>
    <row r="172" spans="2:9" x14ac:dyDescent="0.2">
      <c r="B172" s="10" t="s">
        <v>34</v>
      </c>
      <c r="C172" s="2" t="s">
        <v>9</v>
      </c>
      <c r="E172" s="4">
        <v>2.0000000000000001E-4</v>
      </c>
      <c r="F172" s="4"/>
      <c r="G172" s="4"/>
      <c r="I172" s="4">
        <v>2.0000000000000001E-4</v>
      </c>
    </row>
    <row r="173" spans="2:9" x14ac:dyDescent="0.2">
      <c r="B173" s="10" t="s">
        <v>36</v>
      </c>
      <c r="C173" s="11" t="s">
        <v>9</v>
      </c>
      <c r="E173" s="4">
        <v>1E-3</v>
      </c>
      <c r="F173" s="4"/>
      <c r="G173" s="4"/>
      <c r="I173" s="4">
        <v>0</v>
      </c>
    </row>
    <row r="174" spans="2:9" ht="25.5" x14ac:dyDescent="0.2">
      <c r="B174" s="16" t="s">
        <v>37</v>
      </c>
      <c r="C174" s="20" t="s">
        <v>9</v>
      </c>
      <c r="D174" s="20"/>
      <c r="E174" s="21">
        <v>1.2999999999999999E-3</v>
      </c>
      <c r="F174" s="21"/>
      <c r="G174" s="21"/>
      <c r="I174" s="21">
        <v>0</v>
      </c>
    </row>
    <row r="175" spans="2:9" x14ac:dyDescent="0.2">
      <c r="B175" s="10" t="s">
        <v>104</v>
      </c>
      <c r="C175" s="11" t="s">
        <v>9</v>
      </c>
      <c r="D175" s="20"/>
      <c r="E175" s="21"/>
      <c r="F175" s="21"/>
      <c r="G175" s="21"/>
      <c r="I175" s="21">
        <v>-6.9999999999999999E-4</v>
      </c>
    </row>
    <row r="176" spans="2:9" ht="25.5" x14ac:dyDescent="0.2">
      <c r="B176" s="16" t="s">
        <v>103</v>
      </c>
      <c r="C176" s="20" t="s">
        <v>9</v>
      </c>
      <c r="D176" s="20"/>
      <c r="E176" s="21"/>
      <c r="F176" s="21"/>
      <c r="G176" s="21"/>
      <c r="I176" s="21">
        <v>-2.3E-3</v>
      </c>
    </row>
    <row r="177" spans="2:9" ht="12.75" customHeight="1" x14ac:dyDescent="0.2">
      <c r="B177" s="16" t="s">
        <v>55</v>
      </c>
      <c r="C177" s="20" t="s">
        <v>9</v>
      </c>
      <c r="D177" s="20"/>
      <c r="E177" s="21">
        <v>6.9999999999999999E-4</v>
      </c>
      <c r="F177" s="21"/>
      <c r="G177" s="21"/>
      <c r="I177" s="21">
        <v>6.9999999999999999E-4</v>
      </c>
    </row>
    <row r="178" spans="2:9" ht="12.75" customHeight="1" x14ac:dyDescent="0.2">
      <c r="B178" s="16" t="s">
        <v>93</v>
      </c>
      <c r="C178" s="20" t="s">
        <v>9</v>
      </c>
      <c r="D178" s="20"/>
      <c r="E178" s="21"/>
      <c r="F178" s="21"/>
      <c r="G178" s="21"/>
      <c r="I178" s="21">
        <v>1E-4</v>
      </c>
    </row>
    <row r="179" spans="2:9" x14ac:dyDescent="0.2">
      <c r="B179" t="s">
        <v>3</v>
      </c>
      <c r="C179" s="2" t="s">
        <v>9</v>
      </c>
      <c r="E179" s="4">
        <v>7.0000000000000001E-3</v>
      </c>
      <c r="F179" s="4"/>
      <c r="G179" s="4"/>
      <c r="I179" s="4">
        <v>7.3000000000000001E-3</v>
      </c>
    </row>
    <row r="180" spans="2:9" x14ac:dyDescent="0.2">
      <c r="B180" t="s">
        <v>4</v>
      </c>
      <c r="C180" s="2" t="s">
        <v>9</v>
      </c>
      <c r="E180" s="4">
        <v>5.4000000000000003E-3</v>
      </c>
      <c r="F180" s="4"/>
      <c r="G180" s="4"/>
      <c r="I180" s="4">
        <v>5.7000000000000002E-3</v>
      </c>
    </row>
    <row r="182" spans="2:9" x14ac:dyDescent="0.2">
      <c r="B182" s="1" t="s">
        <v>17</v>
      </c>
    </row>
    <row r="183" spans="2:9" x14ac:dyDescent="0.2">
      <c r="B183" t="s">
        <v>1</v>
      </c>
      <c r="C183" s="2" t="s">
        <v>8</v>
      </c>
      <c r="E183" s="3">
        <v>29.38</v>
      </c>
      <c r="F183" s="3"/>
      <c r="G183" s="3"/>
      <c r="I183" s="3">
        <v>28.79</v>
      </c>
    </row>
    <row r="184" spans="2:9" x14ac:dyDescent="0.2">
      <c r="B184" t="s">
        <v>2</v>
      </c>
      <c r="C184" s="2" t="s">
        <v>9</v>
      </c>
      <c r="E184" s="4">
        <v>2.0899999999999998E-2</v>
      </c>
      <c r="F184" s="4"/>
      <c r="G184" s="4"/>
      <c r="I184" s="4">
        <v>2.1999999999999999E-2</v>
      </c>
    </row>
    <row r="185" spans="2:9" x14ac:dyDescent="0.2">
      <c r="B185" s="10" t="s">
        <v>50</v>
      </c>
      <c r="C185" s="11" t="s">
        <v>8</v>
      </c>
      <c r="E185" s="12">
        <v>3.57</v>
      </c>
      <c r="F185" s="12"/>
      <c r="G185" s="12"/>
      <c r="I185" s="12">
        <v>0</v>
      </c>
    </row>
    <row r="186" spans="2:9" x14ac:dyDescent="0.2">
      <c r="B186" s="10" t="s">
        <v>49</v>
      </c>
      <c r="C186" s="11" t="s">
        <v>8</v>
      </c>
      <c r="E186" s="12">
        <v>3.89</v>
      </c>
      <c r="F186" s="12"/>
      <c r="G186" s="12"/>
      <c r="I186" s="12">
        <v>0</v>
      </c>
    </row>
    <row r="187" spans="2:9" x14ac:dyDescent="0.2">
      <c r="B187" s="10" t="s">
        <v>34</v>
      </c>
      <c r="C187" s="2" t="s">
        <v>9</v>
      </c>
      <c r="D187" s="20"/>
      <c r="E187" s="4">
        <v>2.0000000000000001E-4</v>
      </c>
      <c r="F187" s="4"/>
      <c r="G187" s="4"/>
      <c r="I187" s="4">
        <v>2.0000000000000001E-4</v>
      </c>
    </row>
    <row r="188" spans="2:9" x14ac:dyDescent="0.2">
      <c r="B188" s="10" t="s">
        <v>36</v>
      </c>
      <c r="C188" s="11" t="s">
        <v>9</v>
      </c>
      <c r="E188" s="21">
        <v>1.1000000000000001E-3</v>
      </c>
      <c r="F188" s="21"/>
      <c r="G188" s="21"/>
      <c r="I188" s="21">
        <v>0</v>
      </c>
    </row>
    <row r="189" spans="2:9" ht="25.5" x14ac:dyDescent="0.2">
      <c r="B189" s="16" t="s">
        <v>37</v>
      </c>
      <c r="C189" s="20" t="s">
        <v>9</v>
      </c>
      <c r="E189" s="4">
        <v>1.2999999999999999E-3</v>
      </c>
      <c r="F189" s="4"/>
      <c r="G189" s="4"/>
      <c r="I189" s="4">
        <v>0</v>
      </c>
    </row>
    <row r="190" spans="2:9" x14ac:dyDescent="0.2">
      <c r="B190" s="10" t="s">
        <v>104</v>
      </c>
      <c r="C190" s="11" t="s">
        <v>9</v>
      </c>
      <c r="E190" s="4"/>
      <c r="F190" s="4"/>
      <c r="G190" s="4"/>
      <c r="I190" s="4">
        <v>-5.9999999999999995E-4</v>
      </c>
    </row>
    <row r="191" spans="2:9" ht="25.5" x14ac:dyDescent="0.2">
      <c r="B191" s="16" t="s">
        <v>103</v>
      </c>
      <c r="C191" s="20" t="s">
        <v>9</v>
      </c>
      <c r="E191" s="4"/>
      <c r="F191" s="4"/>
      <c r="G191" s="4"/>
      <c r="I191" s="4">
        <v>-2.3E-3</v>
      </c>
    </row>
    <row r="192" spans="2:9" ht="12.75" customHeight="1" x14ac:dyDescent="0.2">
      <c r="B192" s="16" t="s">
        <v>55</v>
      </c>
      <c r="C192" s="20"/>
      <c r="E192" s="4">
        <v>5.0000000000000001E-4</v>
      </c>
      <c r="F192" s="4"/>
      <c r="G192" s="4"/>
      <c r="I192" s="4">
        <v>5.0000000000000001E-4</v>
      </c>
    </row>
    <row r="193" spans="2:9" ht="12.75" customHeight="1" x14ac:dyDescent="0.2">
      <c r="B193" s="16" t="s">
        <v>93</v>
      </c>
      <c r="C193" s="20" t="s">
        <v>9</v>
      </c>
      <c r="E193" s="4"/>
      <c r="F193" s="4"/>
      <c r="G193" s="4"/>
      <c r="I193" s="4">
        <v>4.0000000000000002E-4</v>
      </c>
    </row>
    <row r="194" spans="2:9" x14ac:dyDescent="0.2">
      <c r="B194" t="s">
        <v>3</v>
      </c>
      <c r="C194" s="2" t="s">
        <v>9</v>
      </c>
      <c r="E194" s="4">
        <v>6.0000000000000001E-3</v>
      </c>
      <c r="F194" s="4"/>
      <c r="G194" s="4"/>
      <c r="I194" s="4">
        <v>6.3E-3</v>
      </c>
    </row>
    <row r="195" spans="2:9" x14ac:dyDescent="0.2">
      <c r="B195" t="s">
        <v>4</v>
      </c>
      <c r="C195" s="2" t="s">
        <v>9</v>
      </c>
      <c r="E195" s="4">
        <v>4.7000000000000002E-3</v>
      </c>
      <c r="F195" s="4"/>
      <c r="G195" s="4"/>
      <c r="I195" s="4">
        <v>4.8999999999999998E-3</v>
      </c>
    </row>
    <row r="196" spans="2:9" x14ac:dyDescent="0.2">
      <c r="E196" s="3"/>
      <c r="F196" s="3"/>
      <c r="G196" s="3"/>
      <c r="I196" s="3"/>
    </row>
    <row r="197" spans="2:9" x14ac:dyDescent="0.2">
      <c r="B197" s="1" t="s">
        <v>19</v>
      </c>
    </row>
    <row r="198" spans="2:9" x14ac:dyDescent="0.2">
      <c r="B198" t="s">
        <v>1</v>
      </c>
      <c r="C198" s="2" t="s">
        <v>8</v>
      </c>
      <c r="E198" s="3">
        <v>286.73</v>
      </c>
      <c r="F198" s="3"/>
      <c r="G198" s="3"/>
      <c r="I198" s="3">
        <v>149.51</v>
      </c>
    </row>
    <row r="199" spans="2:9" x14ac:dyDescent="0.2">
      <c r="B199" t="s">
        <v>2</v>
      </c>
      <c r="C199" s="2" t="s">
        <v>10</v>
      </c>
      <c r="E199" s="4">
        <v>5.5975999999999999</v>
      </c>
      <c r="F199" s="4"/>
      <c r="G199" s="4"/>
      <c r="I199" s="4">
        <v>6.5865999999999998</v>
      </c>
    </row>
    <row r="200" spans="2:9" x14ac:dyDescent="0.2">
      <c r="B200" s="10" t="s">
        <v>34</v>
      </c>
      <c r="C200" s="2" t="s">
        <v>10</v>
      </c>
      <c r="E200" s="4">
        <v>7.3499999999999996E-2</v>
      </c>
      <c r="F200" s="4"/>
      <c r="G200" s="4"/>
      <c r="I200" s="4">
        <v>7.3499999999999996E-2</v>
      </c>
    </row>
    <row r="201" spans="2:9" x14ac:dyDescent="0.2">
      <c r="B201" s="10" t="s">
        <v>36</v>
      </c>
      <c r="C201" s="20" t="s">
        <v>10</v>
      </c>
      <c r="D201" s="20"/>
      <c r="E201" s="21">
        <v>0.3241</v>
      </c>
      <c r="F201" s="21"/>
      <c r="G201" s="21"/>
      <c r="I201" s="21">
        <v>0</v>
      </c>
    </row>
    <row r="202" spans="2:9" ht="25.5" x14ac:dyDescent="0.2">
      <c r="B202" s="16" t="s">
        <v>37</v>
      </c>
      <c r="C202" s="2" t="s">
        <v>10</v>
      </c>
      <c r="E202" s="4">
        <v>0.40620000000000001</v>
      </c>
      <c r="F202" s="4"/>
      <c r="G202" s="4"/>
      <c r="I202" s="4">
        <v>0</v>
      </c>
    </row>
    <row r="203" spans="2:9" x14ac:dyDescent="0.2">
      <c r="B203" s="10" t="s">
        <v>104</v>
      </c>
      <c r="C203" s="2" t="s">
        <v>10</v>
      </c>
      <c r="E203" s="4"/>
      <c r="F203" s="4"/>
      <c r="G203" s="4"/>
      <c r="I203" s="4">
        <v>-3.8399999999999997E-2</v>
      </c>
    </row>
    <row r="204" spans="2:9" ht="25.5" x14ac:dyDescent="0.2">
      <c r="B204" s="16" t="s">
        <v>103</v>
      </c>
      <c r="C204" s="2" t="s">
        <v>10</v>
      </c>
      <c r="E204" s="4"/>
      <c r="F204" s="4"/>
      <c r="G204" s="4"/>
      <c r="I204" s="4">
        <v>-0.67420000000000002</v>
      </c>
    </row>
    <row r="205" spans="2:9" ht="12.75" customHeight="1" x14ac:dyDescent="0.2">
      <c r="B205" s="16" t="s">
        <v>55</v>
      </c>
      <c r="E205" s="4">
        <v>8.1100000000000005E-2</v>
      </c>
      <c r="F205" s="4"/>
      <c r="G205" s="4"/>
      <c r="I205" s="4">
        <v>8.1100000000000005E-2</v>
      </c>
    </row>
    <row r="206" spans="2:9" ht="12.75" customHeight="1" x14ac:dyDescent="0.2">
      <c r="B206" s="16" t="s">
        <v>93</v>
      </c>
      <c r="C206" s="20" t="s">
        <v>10</v>
      </c>
      <c r="E206" s="4"/>
      <c r="F206" s="4"/>
      <c r="G206" s="4"/>
      <c r="I206" s="4">
        <v>4.41E-2</v>
      </c>
    </row>
    <row r="207" spans="2:9" x14ac:dyDescent="0.2">
      <c r="B207" t="s">
        <v>3</v>
      </c>
      <c r="C207" s="2" t="s">
        <v>10</v>
      </c>
      <c r="E207" s="4">
        <v>2.5400999999999998</v>
      </c>
      <c r="F207" s="4"/>
      <c r="G207" s="4"/>
      <c r="I207" s="4">
        <v>2.6558999999999999</v>
      </c>
    </row>
    <row r="208" spans="2:9" x14ac:dyDescent="0.2">
      <c r="B208" t="s">
        <v>4</v>
      </c>
      <c r="C208" s="2" t="s">
        <v>10</v>
      </c>
      <c r="E208" s="4">
        <v>1.9351</v>
      </c>
      <c r="F208" s="4"/>
      <c r="G208" s="4"/>
      <c r="I208" s="4">
        <v>2.0373000000000001</v>
      </c>
    </row>
    <row r="209" spans="2:9" x14ac:dyDescent="0.2">
      <c r="E209" s="3"/>
      <c r="F209" s="3"/>
      <c r="G209" s="3"/>
      <c r="I209" s="3"/>
    </row>
    <row r="210" spans="2:9" x14ac:dyDescent="0.2">
      <c r="B210" s="1" t="s">
        <v>20</v>
      </c>
    </row>
    <row r="211" spans="2:9" x14ac:dyDescent="0.2">
      <c r="B211" s="10" t="s">
        <v>51</v>
      </c>
      <c r="C211" s="2" t="s">
        <v>8</v>
      </c>
      <c r="E211" s="3">
        <v>42.16</v>
      </c>
      <c r="F211" s="3"/>
      <c r="G211" s="3"/>
      <c r="I211" s="3">
        <v>37.47</v>
      </c>
    </row>
    <row r="212" spans="2:9" x14ac:dyDescent="0.2">
      <c r="B212" t="s">
        <v>2</v>
      </c>
      <c r="C212" s="2" t="s">
        <v>9</v>
      </c>
      <c r="E212" s="4">
        <v>2.53E-2</v>
      </c>
      <c r="F212" s="4"/>
      <c r="G212" s="4"/>
      <c r="I212" s="4">
        <v>2.1999999999999999E-2</v>
      </c>
    </row>
    <row r="213" spans="2:9" x14ac:dyDescent="0.2">
      <c r="B213" s="10" t="s">
        <v>34</v>
      </c>
      <c r="C213" s="2" t="s">
        <v>9</v>
      </c>
      <c r="D213" s="20"/>
      <c r="E213" s="4">
        <v>2.0000000000000001E-4</v>
      </c>
      <c r="F213" s="4"/>
      <c r="G213" s="4"/>
      <c r="I213" s="4">
        <v>2.0000000000000001E-4</v>
      </c>
    </row>
    <row r="214" spans="2:9" x14ac:dyDescent="0.2">
      <c r="B214" s="10" t="s">
        <v>36</v>
      </c>
      <c r="C214" s="11" t="s">
        <v>9</v>
      </c>
      <c r="E214" s="4">
        <v>1.1000000000000001E-3</v>
      </c>
      <c r="F214" s="4"/>
      <c r="G214" s="4"/>
      <c r="I214" s="4">
        <v>0</v>
      </c>
    </row>
    <row r="215" spans="2:9" ht="25.5" x14ac:dyDescent="0.2">
      <c r="B215" s="16" t="s">
        <v>37</v>
      </c>
      <c r="C215" s="20" t="s">
        <v>9</v>
      </c>
      <c r="E215" s="4">
        <v>1.2999999999999999E-3</v>
      </c>
      <c r="F215" s="4"/>
      <c r="G215" s="4"/>
      <c r="I215" s="4">
        <v>0</v>
      </c>
    </row>
    <row r="216" spans="2:9" x14ac:dyDescent="0.2">
      <c r="B216" s="10" t="s">
        <v>104</v>
      </c>
      <c r="C216" s="11" t="s">
        <v>9</v>
      </c>
      <c r="E216" s="4"/>
      <c r="F216" s="4"/>
      <c r="G216" s="4"/>
      <c r="I216" s="4">
        <v>-8.0000000000000004E-4</v>
      </c>
    </row>
    <row r="217" spans="2:9" ht="25.5" x14ac:dyDescent="0.2">
      <c r="B217" s="16" t="s">
        <v>103</v>
      </c>
      <c r="C217" s="20" t="s">
        <v>9</v>
      </c>
      <c r="E217" s="4"/>
      <c r="F217" s="4"/>
      <c r="G217" s="4"/>
      <c r="I217" s="4">
        <v>-2.3E-3</v>
      </c>
    </row>
    <row r="218" spans="2:9" ht="12.75" customHeight="1" x14ac:dyDescent="0.2">
      <c r="B218" s="16" t="s">
        <v>55</v>
      </c>
      <c r="C218" s="20"/>
      <c r="E218" s="4">
        <v>5.9999999999999995E-4</v>
      </c>
      <c r="F218" s="4"/>
      <c r="G218" s="4"/>
      <c r="I218" s="4">
        <v>5.9999999999999995E-4</v>
      </c>
    </row>
    <row r="219" spans="2:9" ht="12.75" customHeight="1" x14ac:dyDescent="0.2">
      <c r="B219" s="16" t="s">
        <v>93</v>
      </c>
      <c r="C219" s="20" t="s">
        <v>9</v>
      </c>
      <c r="E219" s="4"/>
      <c r="F219" s="4"/>
      <c r="G219" s="4"/>
      <c r="I219" s="4"/>
    </row>
    <row r="220" spans="2:9" x14ac:dyDescent="0.2">
      <c r="B220" t="s">
        <v>3</v>
      </c>
      <c r="C220" s="2" t="s">
        <v>9</v>
      </c>
      <c r="E220" s="4">
        <v>6.1999999999999998E-3</v>
      </c>
      <c r="F220" s="4"/>
      <c r="G220" s="4"/>
      <c r="I220" s="4">
        <v>6.4999999999999997E-3</v>
      </c>
    </row>
    <row r="221" spans="2:9" x14ac:dyDescent="0.2">
      <c r="B221" t="s">
        <v>4</v>
      </c>
      <c r="C221" s="2" t="s">
        <v>9</v>
      </c>
      <c r="E221" s="4">
        <v>4.7999999999999996E-3</v>
      </c>
      <c r="F221" s="4"/>
      <c r="G221" s="4"/>
      <c r="I221" s="4">
        <v>5.1000000000000004E-3</v>
      </c>
    </row>
    <row r="222" spans="2:9" x14ac:dyDescent="0.2">
      <c r="E222" s="3"/>
      <c r="F222" s="3"/>
      <c r="G222" s="3"/>
      <c r="I222" s="3"/>
    </row>
    <row r="223" spans="2:9" x14ac:dyDescent="0.2">
      <c r="B223" s="1" t="s">
        <v>21</v>
      </c>
    </row>
    <row r="224" spans="2:9" x14ac:dyDescent="0.2">
      <c r="B224" s="10" t="s">
        <v>52</v>
      </c>
      <c r="C224" s="2" t="s">
        <v>8</v>
      </c>
      <c r="E224" s="3">
        <v>5.08</v>
      </c>
      <c r="F224" s="3"/>
      <c r="G224" s="3"/>
      <c r="I224" s="3">
        <v>5.18</v>
      </c>
    </row>
    <row r="225" spans="2:9" x14ac:dyDescent="0.2">
      <c r="B225" t="s">
        <v>2</v>
      </c>
      <c r="C225" s="2" t="s">
        <v>10</v>
      </c>
      <c r="E225" s="4">
        <v>5.0109000000000004</v>
      </c>
      <c r="F225" s="4"/>
      <c r="G225" s="4"/>
      <c r="I225" s="4">
        <v>4.9612999999999996</v>
      </c>
    </row>
    <row r="226" spans="2:9" x14ac:dyDescent="0.2">
      <c r="B226" s="10" t="s">
        <v>34</v>
      </c>
      <c r="C226" s="2" t="s">
        <v>10</v>
      </c>
      <c r="E226" s="4">
        <v>5.4199999999999998E-2</v>
      </c>
      <c r="F226" s="4"/>
      <c r="G226" s="4"/>
      <c r="I226" s="4">
        <v>5.4199999999999998E-2</v>
      </c>
    </row>
    <row r="227" spans="2:9" x14ac:dyDescent="0.2">
      <c r="B227" s="10" t="s">
        <v>36</v>
      </c>
      <c r="C227" s="20" t="s">
        <v>10</v>
      </c>
      <c r="E227" s="4">
        <v>0.36849999999999999</v>
      </c>
      <c r="F227" s="4"/>
      <c r="G227" s="4"/>
      <c r="I227" s="4">
        <v>0</v>
      </c>
    </row>
    <row r="228" spans="2:9" x14ac:dyDescent="0.2">
      <c r="B228" s="10" t="s">
        <v>104</v>
      </c>
      <c r="C228" s="2" t="s">
        <v>10</v>
      </c>
      <c r="E228" s="4"/>
      <c r="F228" s="4"/>
      <c r="G228" s="4"/>
      <c r="I228" s="4">
        <v>-0.25600000000000001</v>
      </c>
    </row>
    <row r="229" spans="2:9" ht="25.5" x14ac:dyDescent="0.2">
      <c r="B229" s="16" t="s">
        <v>103</v>
      </c>
      <c r="C229" s="2" t="s">
        <v>10</v>
      </c>
      <c r="E229" s="4"/>
      <c r="F229" s="4"/>
      <c r="G229" s="4"/>
      <c r="I229" s="4">
        <v>0</v>
      </c>
    </row>
    <row r="230" spans="2:9" ht="12.75" customHeight="1" x14ac:dyDescent="0.2">
      <c r="B230" s="16" t="s">
        <v>55</v>
      </c>
      <c r="E230" s="4">
        <v>0.94199999999999995</v>
      </c>
      <c r="F230" s="4"/>
      <c r="G230" s="4"/>
      <c r="I230" s="4">
        <v>0.94199999999999995</v>
      </c>
    </row>
    <row r="231" spans="2:9" ht="12.75" customHeight="1" x14ac:dyDescent="0.2">
      <c r="B231" s="16" t="s">
        <v>93</v>
      </c>
      <c r="C231" s="20" t="s">
        <v>10</v>
      </c>
      <c r="E231" s="4"/>
      <c r="F231" s="4"/>
      <c r="G231" s="4"/>
      <c r="I231" s="4"/>
    </row>
    <row r="232" spans="2:9" x14ac:dyDescent="0.2">
      <c r="B232" t="s">
        <v>3</v>
      </c>
      <c r="C232" s="2" t="s">
        <v>10</v>
      </c>
      <c r="E232" s="4">
        <v>2.1646999999999998</v>
      </c>
      <c r="F232" s="4"/>
      <c r="G232" s="4"/>
      <c r="I232" s="4">
        <v>2.2633999999999999</v>
      </c>
    </row>
    <row r="233" spans="2:9" x14ac:dyDescent="0.2">
      <c r="B233" t="s">
        <v>4</v>
      </c>
      <c r="C233" s="2" t="s">
        <v>10</v>
      </c>
      <c r="E233" s="4">
        <v>1.5792999999999999</v>
      </c>
      <c r="F233" s="4"/>
      <c r="G233" s="4"/>
      <c r="I233" s="4">
        <v>1.6627000000000001</v>
      </c>
    </row>
    <row r="234" spans="2:9" x14ac:dyDescent="0.2">
      <c r="E234" s="3"/>
      <c r="F234" s="3"/>
      <c r="G234" s="3"/>
      <c r="I234" s="3"/>
    </row>
    <row r="235" spans="2:9" x14ac:dyDescent="0.2">
      <c r="B235" s="1" t="s">
        <v>7</v>
      </c>
    </row>
    <row r="236" spans="2:9" x14ac:dyDescent="0.2">
      <c r="B236" s="10" t="s">
        <v>52</v>
      </c>
      <c r="C236" s="2" t="s">
        <v>8</v>
      </c>
      <c r="E236" s="17">
        <v>4.04</v>
      </c>
      <c r="F236" s="17"/>
      <c r="G236" s="17"/>
      <c r="I236" s="17">
        <v>4.6100000000000003</v>
      </c>
    </row>
    <row r="237" spans="2:9" x14ac:dyDescent="0.2">
      <c r="B237" t="s">
        <v>2</v>
      </c>
      <c r="C237" s="2" t="s">
        <v>10</v>
      </c>
      <c r="E237" s="4">
        <v>10.1196</v>
      </c>
      <c r="F237" s="4"/>
      <c r="G237" s="4"/>
      <c r="I237" s="4">
        <v>10.5045</v>
      </c>
    </row>
    <row r="238" spans="2:9" x14ac:dyDescent="0.2">
      <c r="B238" s="10" t="s">
        <v>34</v>
      </c>
      <c r="C238" s="2" t="s">
        <v>10</v>
      </c>
      <c r="E238" s="4">
        <v>5.0700000000000002E-2</v>
      </c>
      <c r="F238" s="4"/>
      <c r="G238" s="4"/>
      <c r="I238" s="4">
        <v>5.0700000000000002E-2</v>
      </c>
    </row>
    <row r="239" spans="2:9" x14ac:dyDescent="0.2">
      <c r="B239" s="10" t="s">
        <v>36</v>
      </c>
      <c r="C239" s="20" t="s">
        <v>10</v>
      </c>
      <c r="E239" s="4">
        <v>0.46639999999999998</v>
      </c>
      <c r="F239" s="4"/>
      <c r="G239" s="4"/>
      <c r="I239" s="4">
        <v>0</v>
      </c>
    </row>
    <row r="240" spans="2:9" ht="25.5" x14ac:dyDescent="0.2">
      <c r="B240" s="16" t="s">
        <v>37</v>
      </c>
      <c r="C240" s="2" t="s">
        <v>10</v>
      </c>
      <c r="E240" s="4">
        <v>0.58409999999999995</v>
      </c>
      <c r="F240" s="4"/>
      <c r="G240" s="4"/>
      <c r="I240" s="4">
        <v>0</v>
      </c>
    </row>
    <row r="241" spans="2:9" x14ac:dyDescent="0.2">
      <c r="B241" s="10" t="s">
        <v>104</v>
      </c>
      <c r="C241" s="2" t="s">
        <v>10</v>
      </c>
      <c r="E241" s="4"/>
      <c r="F241" s="4"/>
      <c r="G241" s="4"/>
      <c r="I241" s="4">
        <v>-4.9000000000000002E-2</v>
      </c>
    </row>
    <row r="242" spans="2:9" ht="25.5" x14ac:dyDescent="0.2">
      <c r="B242" s="16" t="s">
        <v>103</v>
      </c>
      <c r="C242" s="2" t="s">
        <v>10</v>
      </c>
      <c r="E242" s="4"/>
      <c r="F242" s="4"/>
      <c r="G242" s="4"/>
      <c r="I242" s="4">
        <v>-0.77990000000000004</v>
      </c>
    </row>
    <row r="243" spans="2:9" ht="12.75" customHeight="1" x14ac:dyDescent="0.2">
      <c r="B243" s="16" t="s">
        <v>55</v>
      </c>
      <c r="E243" s="4">
        <v>0.43690000000000001</v>
      </c>
      <c r="F243" s="4"/>
      <c r="G243" s="4"/>
      <c r="I243" s="4">
        <v>0.43690000000000001</v>
      </c>
    </row>
    <row r="244" spans="2:9" ht="12.75" customHeight="1" x14ac:dyDescent="0.2">
      <c r="B244" s="16" t="s">
        <v>93</v>
      </c>
      <c r="C244" s="20" t="s">
        <v>10</v>
      </c>
      <c r="E244" s="4"/>
      <c r="F244" s="4"/>
      <c r="G244" s="4"/>
      <c r="I244" s="4"/>
    </row>
    <row r="245" spans="2:9" x14ac:dyDescent="0.2">
      <c r="B245" t="s">
        <v>3</v>
      </c>
      <c r="C245" s="2" t="s">
        <v>10</v>
      </c>
      <c r="E245" s="4">
        <v>1.8801000000000001</v>
      </c>
      <c r="F245" s="4"/>
      <c r="G245" s="4"/>
      <c r="I245" s="4">
        <v>1.9658</v>
      </c>
    </row>
    <row r="246" spans="2:9" x14ac:dyDescent="0.2">
      <c r="B246" t="s">
        <v>4</v>
      </c>
      <c r="C246" s="2" t="s">
        <v>10</v>
      </c>
      <c r="E246" s="4">
        <v>1.4765999999999999</v>
      </c>
      <c r="F246" s="4"/>
      <c r="G246" s="4"/>
      <c r="I246" s="4">
        <v>1.5546</v>
      </c>
    </row>
    <row r="247" spans="2:9" x14ac:dyDescent="0.2">
      <c r="E247" s="4"/>
      <c r="F247" s="4"/>
      <c r="G247" s="4"/>
      <c r="I247" s="13"/>
    </row>
    <row r="248" spans="2:9" x14ac:dyDescent="0.2">
      <c r="E248" s="4"/>
      <c r="F248" s="4"/>
      <c r="G248" s="4"/>
      <c r="I248" s="13"/>
    </row>
    <row r="249" spans="2:9" x14ac:dyDescent="0.2">
      <c r="B249" s="1" t="s">
        <v>48</v>
      </c>
      <c r="I249" s="14"/>
    </row>
    <row r="250" spans="2:9" x14ac:dyDescent="0.2">
      <c r="B250" s="10" t="s">
        <v>22</v>
      </c>
      <c r="C250" s="2" t="s">
        <v>8</v>
      </c>
      <c r="E250" s="17">
        <v>5.4</v>
      </c>
      <c r="F250" s="17"/>
      <c r="G250" s="17"/>
      <c r="I250" s="12">
        <v>5.4</v>
      </c>
    </row>
    <row r="251" spans="2:9" x14ac:dyDescent="0.2">
      <c r="B251" s="10"/>
      <c r="E251" s="17"/>
      <c r="F251" s="17"/>
      <c r="G251" s="17"/>
      <c r="I251" s="12"/>
    </row>
    <row r="252" spans="2:9" x14ac:dyDescent="0.2">
      <c r="B252" s="1" t="s">
        <v>43</v>
      </c>
      <c r="E252" s="17"/>
      <c r="F252" s="17"/>
      <c r="G252" s="17"/>
      <c r="I252" s="12"/>
    </row>
    <row r="253" spans="2:9" x14ac:dyDescent="0.2">
      <c r="B253" t="s">
        <v>5</v>
      </c>
      <c r="C253" s="2" t="s">
        <v>9</v>
      </c>
      <c r="E253" s="4">
        <v>4.4000000000000003E-3</v>
      </c>
      <c r="F253" s="4"/>
      <c r="G253" s="4"/>
      <c r="I253" s="4">
        <v>4.4000000000000003E-3</v>
      </c>
    </row>
    <row r="254" spans="2:9" x14ac:dyDescent="0.2">
      <c r="B254" t="s">
        <v>6</v>
      </c>
      <c r="C254" s="2" t="s">
        <v>9</v>
      </c>
      <c r="E254" s="4">
        <v>1.1999999999999999E-3</v>
      </c>
      <c r="F254" s="4"/>
      <c r="G254" s="4"/>
      <c r="I254" s="4">
        <v>1.1999999999999999E-3</v>
      </c>
    </row>
    <row r="255" spans="2:9" x14ac:dyDescent="0.2">
      <c r="B255" s="10" t="s">
        <v>18</v>
      </c>
      <c r="C255" s="2" t="s">
        <v>8</v>
      </c>
      <c r="E255" s="17">
        <v>0.25</v>
      </c>
      <c r="F255" s="17"/>
      <c r="G255" s="17"/>
      <c r="I255" s="17">
        <v>0.25</v>
      </c>
    </row>
    <row r="256" spans="2:9" x14ac:dyDescent="0.2">
      <c r="B256" s="10" t="s">
        <v>47</v>
      </c>
      <c r="C256" s="11" t="s">
        <v>8</v>
      </c>
      <c r="E256" s="17">
        <v>0.79</v>
      </c>
      <c r="F256" s="17"/>
      <c r="G256" s="17"/>
      <c r="I256" s="17">
        <v>0.79</v>
      </c>
    </row>
    <row r="257" spans="2:9" x14ac:dyDescent="0.2">
      <c r="B257" s="10"/>
      <c r="E257" s="17"/>
      <c r="F257" s="17"/>
      <c r="G257" s="17"/>
      <c r="I257" s="12"/>
    </row>
    <row r="258" spans="2:9" x14ac:dyDescent="0.2">
      <c r="B258" s="1" t="s">
        <v>11</v>
      </c>
      <c r="E258" s="17"/>
      <c r="F258" s="17"/>
      <c r="G258" s="17"/>
      <c r="I258" s="12"/>
    </row>
    <row r="259" spans="2:9" x14ac:dyDescent="0.2">
      <c r="B259" s="10" t="s">
        <v>44</v>
      </c>
      <c r="C259" s="2" t="s">
        <v>8</v>
      </c>
      <c r="E259" s="4">
        <v>0</v>
      </c>
      <c r="F259" s="4"/>
      <c r="G259" s="4"/>
      <c r="I259" s="4">
        <v>0</v>
      </c>
    </row>
    <row r="260" spans="2:9" x14ac:dyDescent="0.2">
      <c r="B260" s="10" t="s">
        <v>45</v>
      </c>
      <c r="C260" s="2" t="s">
        <v>8</v>
      </c>
      <c r="E260" s="4">
        <v>5.1000000000000004E-3</v>
      </c>
      <c r="F260" s="4"/>
      <c r="G260" s="4"/>
      <c r="I260" s="4">
        <v>5.1000000000000004E-3</v>
      </c>
    </row>
    <row r="261" spans="2:9" x14ac:dyDescent="0.2">
      <c r="B261" s="10" t="s">
        <v>46</v>
      </c>
      <c r="C261" s="2" t="s">
        <v>8</v>
      </c>
      <c r="E261" s="4">
        <v>7.0000000000000001E-3</v>
      </c>
      <c r="F261" s="4"/>
      <c r="G261" s="4"/>
      <c r="I261" s="4">
        <v>7.0000000000000001E-3</v>
      </c>
    </row>
    <row r="262" spans="2:9" x14ac:dyDescent="0.2">
      <c r="B262" s="10"/>
      <c r="E262" s="4"/>
      <c r="F262" s="4"/>
      <c r="G262" s="4"/>
      <c r="I262" s="13"/>
    </row>
    <row r="263" spans="2:9" x14ac:dyDescent="0.2">
      <c r="B263" s="1" t="s">
        <v>28</v>
      </c>
      <c r="E263" s="4"/>
      <c r="F263" s="4"/>
      <c r="G263" s="4"/>
      <c r="I263" s="13"/>
    </row>
    <row r="264" spans="2:9" x14ac:dyDescent="0.2">
      <c r="B264" s="10" t="s">
        <v>23</v>
      </c>
      <c r="C264" s="2" t="s">
        <v>10</v>
      </c>
      <c r="E264" s="4">
        <v>-0.6</v>
      </c>
      <c r="F264" s="4"/>
      <c r="G264" s="4"/>
      <c r="I264" s="13">
        <f>+E264</f>
        <v>-0.6</v>
      </c>
    </row>
    <row r="265" spans="2:9" x14ac:dyDescent="0.2">
      <c r="B265" s="10" t="s">
        <v>24</v>
      </c>
      <c r="C265" s="11" t="s">
        <v>12</v>
      </c>
      <c r="E265" s="4">
        <v>-1</v>
      </c>
      <c r="F265" s="4"/>
      <c r="G265" s="4"/>
      <c r="I265" s="13">
        <f>+E265</f>
        <v>-1</v>
      </c>
    </row>
    <row r="266" spans="2:9" x14ac:dyDescent="0.2">
      <c r="E266" s="3"/>
      <c r="F266" s="3"/>
      <c r="G266" s="3"/>
      <c r="H266" s="3"/>
      <c r="I266" s="12"/>
    </row>
    <row r="267" spans="2:9" x14ac:dyDescent="0.2">
      <c r="B267" s="1" t="s">
        <v>13</v>
      </c>
      <c r="H267" s="3"/>
      <c r="I267" s="14"/>
    </row>
    <row r="268" spans="2:9" x14ac:dyDescent="0.2">
      <c r="B268" s="10" t="s">
        <v>25</v>
      </c>
      <c r="E268" s="4">
        <v>1.0542</v>
      </c>
      <c r="F268" s="4"/>
      <c r="G268" s="4"/>
      <c r="I268" s="13">
        <v>1.0542</v>
      </c>
    </row>
    <row r="269" spans="2:9" x14ac:dyDescent="0.2">
      <c r="B269" s="10" t="s">
        <v>26</v>
      </c>
      <c r="E269" s="4">
        <v>1.043658</v>
      </c>
      <c r="F269" s="4"/>
      <c r="G269" s="4"/>
      <c r="I269" s="13">
        <f>I268*0.99</f>
        <v>1.043658</v>
      </c>
    </row>
    <row r="270" spans="2:9" x14ac:dyDescent="0.2">
      <c r="B270" s="10"/>
      <c r="E270" s="4"/>
      <c r="F270" s="4"/>
      <c r="G270" s="4"/>
      <c r="I270" s="15"/>
    </row>
    <row r="271" spans="2:9" x14ac:dyDescent="0.2">
      <c r="B271" s="10" t="s">
        <v>40</v>
      </c>
      <c r="C271" s="2" t="s">
        <v>9</v>
      </c>
      <c r="E271" s="18">
        <v>7.4999999999999997E-2</v>
      </c>
      <c r="F271" s="18"/>
      <c r="G271" s="18"/>
      <c r="I271" s="18">
        <v>7.4999999999999997E-2</v>
      </c>
    </row>
    <row r="272" spans="2:9" x14ac:dyDescent="0.2">
      <c r="B272" s="10" t="s">
        <v>41</v>
      </c>
      <c r="C272" s="2" t="s">
        <v>9</v>
      </c>
      <c r="E272" s="18">
        <v>0.112</v>
      </c>
      <c r="F272" s="18"/>
      <c r="G272" s="18"/>
      <c r="I272" s="18">
        <v>0.112</v>
      </c>
    </row>
    <row r="273" spans="2:9" x14ac:dyDescent="0.2">
      <c r="B273" s="10" t="s">
        <v>42</v>
      </c>
      <c r="C273" s="2" t="s">
        <v>9</v>
      </c>
      <c r="E273" s="18">
        <v>0.13500000000000001</v>
      </c>
      <c r="F273" s="18"/>
      <c r="G273" s="18"/>
      <c r="I273" s="18">
        <v>0.13500000000000001</v>
      </c>
    </row>
    <row r="275" spans="2:9" x14ac:dyDescent="0.2">
      <c r="B275" s="10" t="s">
        <v>74</v>
      </c>
      <c r="C275" s="2" t="s">
        <v>9</v>
      </c>
      <c r="E275" s="18">
        <v>8.3900000000000002E-2</v>
      </c>
      <c r="F275" s="18"/>
      <c r="G275" s="18"/>
      <c r="I275" s="18">
        <v>8.3900000000000002E-2</v>
      </c>
    </row>
    <row r="277" spans="2:9" x14ac:dyDescent="0.2">
      <c r="B277" s="10" t="s">
        <v>30</v>
      </c>
      <c r="C277" s="11" t="s">
        <v>12</v>
      </c>
      <c r="E277" s="19">
        <v>0.13</v>
      </c>
      <c r="F277" s="19"/>
      <c r="G277" s="19"/>
      <c r="I277" s="19">
        <v>0.13</v>
      </c>
    </row>
    <row r="279" spans="2:9" x14ac:dyDescent="0.2">
      <c r="B279" s="10" t="s">
        <v>31</v>
      </c>
      <c r="C279" s="11" t="s">
        <v>12</v>
      </c>
      <c r="E279" s="19">
        <v>-0.1</v>
      </c>
      <c r="F279" s="19"/>
      <c r="G279" s="19"/>
      <c r="I279" s="19">
        <v>-0.1</v>
      </c>
    </row>
  </sheetData>
  <mergeCells count="3">
    <mergeCell ref="B2:I2"/>
    <mergeCell ref="B85:I85"/>
    <mergeCell ref="B165:I165"/>
  </mergeCells>
  <phoneticPr fontId="2" type="noConversion"/>
  <pageMargins left="0.74803149606299213" right="0.74803149606299213" top="0.98425196850393704" bottom="0.98425196850393704" header="0.51181102362204722" footer="0.51181102362204722"/>
  <pageSetup scale="64" fitToHeight="0" orientation="portrait" r:id="rId1"/>
  <headerFooter alignWithMargins="0">
    <oddHeader xml:space="preserve">&amp;C&amp;"Arial,Bold"&amp;16 </oddHeader>
  </headerFooter>
  <rowBreaks count="2" manualBreakCount="2">
    <brk id="84" max="16383" man="1"/>
    <brk id="1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4"/>
  <sheetViews>
    <sheetView showGridLines="0" workbookViewId="0">
      <selection activeCell="G25" sqref="G25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Rates!B167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Rates!E168</f>
        <v>17.63</v>
      </c>
      <c r="D14" s="37">
        <f>C6</f>
        <v>1</v>
      </c>
      <c r="E14" s="36">
        <f>C14*D14</f>
        <v>17.63</v>
      </c>
      <c r="F14" s="45"/>
      <c r="G14" s="36">
        <f>Rates!I168</f>
        <v>18.78</v>
      </c>
      <c r="H14" s="37">
        <f>D14</f>
        <v>1</v>
      </c>
      <c r="I14" s="36">
        <f>G14*H14</f>
        <v>18.78</v>
      </c>
      <c r="J14" s="45"/>
      <c r="K14" s="36">
        <f>I14-E14</f>
        <v>1.1500000000000021</v>
      </c>
      <c r="L14" s="47">
        <f>IF((E14)=0," ",K14/E14)</f>
        <v>6.5229722064662626E-2</v>
      </c>
    </row>
    <row r="15" spans="2:12" x14ac:dyDescent="0.2">
      <c r="B15" s="44" t="str">
        <f>Rates!B7</f>
        <v>Distribution Volumetric Rate</v>
      </c>
      <c r="C15" s="25">
        <f>Rates!E169</f>
        <v>2.2800000000000001E-2</v>
      </c>
      <c r="D15" s="38">
        <f>C7</f>
        <v>800</v>
      </c>
      <c r="E15" s="36">
        <f t="shared" ref="E15:E17" si="0">C15*D15</f>
        <v>18.240000000000002</v>
      </c>
      <c r="F15" s="45"/>
      <c r="G15" s="25">
        <f>Rates!I169</f>
        <v>2.1299999999999999E-2</v>
      </c>
      <c r="H15" s="38">
        <f>D15</f>
        <v>800</v>
      </c>
      <c r="I15" s="36">
        <f t="shared" ref="I15:I17" si="1">G15*H15</f>
        <v>17.04</v>
      </c>
      <c r="J15" s="45"/>
      <c r="K15" s="36">
        <f t="shared" ref="K15:K44" si="2">I15-E15</f>
        <v>-1.2000000000000028</v>
      </c>
      <c r="L15" s="47">
        <f t="shared" ref="L15:L44" si="3">IF((E15)=0," ",K15/E15)</f>
        <v>-6.5789473684210675E-2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Rates!E170</f>
        <v>0.84</v>
      </c>
      <c r="D16" s="37">
        <f>C6</f>
        <v>1</v>
      </c>
      <c r="E16" s="36">
        <f t="shared" si="0"/>
        <v>0.84</v>
      </c>
      <c r="F16" s="45"/>
      <c r="G16" s="36">
        <f>Rates!I170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-0.84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Rates!E171</f>
        <v>1.72</v>
      </c>
      <c r="D17" s="37">
        <f>C6</f>
        <v>1</v>
      </c>
      <c r="E17" s="36">
        <f t="shared" si="0"/>
        <v>1.72</v>
      </c>
      <c r="F17" s="45"/>
      <c r="G17" s="36">
        <f>Rates!I171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-1.72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38.430000000000007</v>
      </c>
      <c r="F18" s="53"/>
      <c r="G18" s="50"/>
      <c r="H18" s="51"/>
      <c r="I18" s="52">
        <f>SUM(I14:I17)</f>
        <v>35.82</v>
      </c>
      <c r="J18" s="53"/>
      <c r="K18" s="54">
        <f t="shared" si="2"/>
        <v>-2.6100000000000065</v>
      </c>
      <c r="L18" s="55">
        <f t="shared" si="3"/>
        <v>-6.7915690866510697E-2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7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7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Rates!E173</f>
        <v>1E-3</v>
      </c>
      <c r="D20" s="37">
        <f>C7</f>
        <v>800</v>
      </c>
      <c r="E20" s="36">
        <f t="shared" si="5"/>
        <v>0.8</v>
      </c>
      <c r="F20" s="45"/>
      <c r="G20" s="25">
        <f>Rates!I173</f>
        <v>0</v>
      </c>
      <c r="H20" s="37">
        <f t="shared" ref="H20:H27" si="7">D20</f>
        <v>800</v>
      </c>
      <c r="I20" s="36">
        <f t="shared" si="6"/>
        <v>0</v>
      </c>
      <c r="J20" s="45"/>
      <c r="K20" s="36">
        <f t="shared" si="2"/>
        <v>-0.8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Rates!E174</f>
        <v>1.2999999999999999E-3</v>
      </c>
      <c r="D21" s="37">
        <f>C7</f>
        <v>800</v>
      </c>
      <c r="E21" s="36">
        <f t="shared" si="5"/>
        <v>1.04</v>
      </c>
      <c r="F21" s="45"/>
      <c r="G21" s="25">
        <f>Rates!I174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-1.04</v>
      </c>
      <c r="L21" s="47">
        <f t="shared" si="3"/>
        <v>-1</v>
      </c>
    </row>
    <row r="22" spans="2:12" x14ac:dyDescent="0.2">
      <c r="B22" s="48" t="str">
        <f>Rates!B175</f>
        <v>Rate Rider for Deferral/Variance Account Disposition (2014) - effective until December 31, 2016</v>
      </c>
      <c r="C22" s="25">
        <f>Rates!E175</f>
        <v>0</v>
      </c>
      <c r="D22" s="37">
        <f>C7</f>
        <v>800</v>
      </c>
      <c r="E22" s="36">
        <f t="shared" si="5"/>
        <v>0</v>
      </c>
      <c r="F22" s="45"/>
      <c r="G22" s="25">
        <f>Rates!I175</f>
        <v>-6.9999999999999999E-4</v>
      </c>
      <c r="H22" s="37">
        <f t="shared" si="7"/>
        <v>800</v>
      </c>
      <c r="I22" s="36">
        <f t="shared" si="6"/>
        <v>-0.55999999999999994</v>
      </c>
      <c r="J22" s="45"/>
      <c r="K22" s="36">
        <f t="shared" ref="K22:K25" si="8">I22-E22</f>
        <v>-0.55999999999999994</v>
      </c>
      <c r="L22" s="47" t="str">
        <f t="shared" ref="L22:L25" si="9">IF((E22)=0," ",K22/E22)</f>
        <v xml:space="preserve"> </v>
      </c>
    </row>
    <row r="23" spans="2:12" ht="25.5" x14ac:dyDescent="0.2">
      <c r="B23" s="48" t="str">
        <f>Rates!B176</f>
        <v>Rate Rider for Global Adjustment Sub-Account Disposition (2014) - effective until December 31, 2016 Applicable only for Non-RPP Customers</v>
      </c>
      <c r="C23" s="25">
        <f>Rates!E176</f>
        <v>0</v>
      </c>
      <c r="D23" s="37">
        <f>C7</f>
        <v>800</v>
      </c>
      <c r="E23" s="36">
        <f t="shared" si="5"/>
        <v>0</v>
      </c>
      <c r="F23" s="45"/>
      <c r="G23" s="25">
        <f>Rates!I176</f>
        <v>-2.3E-3</v>
      </c>
      <c r="H23" s="37">
        <f t="shared" si="7"/>
        <v>800</v>
      </c>
      <c r="I23" s="36">
        <f t="shared" si="6"/>
        <v>-1.8399999999999999</v>
      </c>
      <c r="J23" s="45"/>
      <c r="K23" s="36">
        <f t="shared" si="8"/>
        <v>-1.8399999999999999</v>
      </c>
      <c r="L23" s="47" t="str">
        <f t="shared" si="9"/>
        <v xml:space="preserve"> </v>
      </c>
    </row>
    <row r="24" spans="2:12" x14ac:dyDescent="0.2">
      <c r="B24" s="44" t="str">
        <f>Rates!B177</f>
        <v>Rate Rider for the Disposition of Deferred PILs Variance Account 1562 - effective until December 31, 2016</v>
      </c>
      <c r="C24" s="25">
        <f>Rates!E177</f>
        <v>6.9999999999999999E-4</v>
      </c>
      <c r="D24" s="37">
        <f>C7</f>
        <v>800</v>
      </c>
      <c r="E24" s="36">
        <f t="shared" si="5"/>
        <v>0.55999999999999994</v>
      </c>
      <c r="F24" s="45"/>
      <c r="G24" s="25">
        <f>Rates!I177</f>
        <v>6.9999999999999999E-4</v>
      </c>
      <c r="H24" s="37">
        <f t="shared" si="7"/>
        <v>800</v>
      </c>
      <c r="I24" s="36">
        <f t="shared" si="6"/>
        <v>0.55999999999999994</v>
      </c>
      <c r="J24" s="45"/>
      <c r="K24" s="36">
        <f t="shared" si="8"/>
        <v>0</v>
      </c>
      <c r="L24" s="47">
        <f t="shared" si="9"/>
        <v>0</v>
      </c>
    </row>
    <row r="25" spans="2:12" x14ac:dyDescent="0.2">
      <c r="B25" s="48" t="str">
        <f>Rates!B178</f>
        <v>Rate Rider for Loss Revenue Adjustment Mechanism (LRAM) - effective until December 31, 2015</v>
      </c>
      <c r="C25" s="25">
        <f>Rates!E178</f>
        <v>0</v>
      </c>
      <c r="D25" s="37">
        <f>C7</f>
        <v>800</v>
      </c>
      <c r="E25" s="36">
        <f t="shared" si="5"/>
        <v>0</v>
      </c>
      <c r="F25" s="45"/>
      <c r="G25" s="25">
        <f>Rates!I178</f>
        <v>1E-4</v>
      </c>
      <c r="H25" s="37">
        <f t="shared" si="7"/>
        <v>800</v>
      </c>
      <c r="I25" s="36">
        <f t="shared" si="6"/>
        <v>0.08</v>
      </c>
      <c r="J25" s="45"/>
      <c r="K25" s="36">
        <f t="shared" si="8"/>
        <v>0.08</v>
      </c>
      <c r="L25" s="47" t="str">
        <f t="shared" si="9"/>
        <v xml:space="preserve"> </v>
      </c>
    </row>
    <row r="26" spans="2:12" x14ac:dyDescent="0.2">
      <c r="B26" s="44" t="str">
        <f>Rates!B10</f>
        <v>Low Voltage Service Rate</v>
      </c>
      <c r="C26" s="25">
        <f>Rates!E172</f>
        <v>2.0000000000000001E-4</v>
      </c>
      <c r="D26" s="37">
        <f>C7</f>
        <v>800</v>
      </c>
      <c r="E26" s="36">
        <f t="shared" si="5"/>
        <v>0.16</v>
      </c>
      <c r="F26" s="45"/>
      <c r="G26" s="25">
        <f>Rates!I172</f>
        <v>2.0000000000000001E-4</v>
      </c>
      <c r="H26" s="37">
        <f t="shared" si="7"/>
        <v>800</v>
      </c>
      <c r="I26" s="36">
        <f t="shared" si="6"/>
        <v>0.16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Rates!B256</f>
        <v>Smart Meter Entity Charge</v>
      </c>
      <c r="C27" s="36">
        <f>Rates!E256</f>
        <v>0.79</v>
      </c>
      <c r="D27" s="37">
        <f>C6</f>
        <v>1</v>
      </c>
      <c r="E27" s="36">
        <f t="shared" si="5"/>
        <v>0.79</v>
      </c>
      <c r="F27" s="45"/>
      <c r="G27" s="36">
        <f>Rates!I256</f>
        <v>0.79</v>
      </c>
      <c r="H27" s="37">
        <f t="shared" si="7"/>
        <v>1</v>
      </c>
      <c r="I27" s="36">
        <f t="shared" si="6"/>
        <v>0.79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9" t="s">
        <v>61</v>
      </c>
      <c r="C28" s="50"/>
      <c r="D28" s="51"/>
      <c r="E28" s="52">
        <f>SUM(E18:E27)</f>
        <v>45.417904</v>
      </c>
      <c r="F28" s="53"/>
      <c r="G28" s="50"/>
      <c r="H28" s="51"/>
      <c r="I28" s="52">
        <f>SUM(I18:I27)</f>
        <v>38.64790399999999</v>
      </c>
      <c r="J28" s="53"/>
      <c r="K28" s="54">
        <f t="shared" si="2"/>
        <v>-6.7700000000000102</v>
      </c>
      <c r="L28" s="55">
        <f t="shared" si="3"/>
        <v>-0.14906015918303958</v>
      </c>
    </row>
    <row r="29" spans="2:12" x14ac:dyDescent="0.2">
      <c r="B29" s="44" t="str">
        <f>Rates!B16</f>
        <v>Retail Transmission Rate - Network Service Rate</v>
      </c>
      <c r="C29" s="25">
        <f>Rates!E179</f>
        <v>7.0000000000000001E-3</v>
      </c>
      <c r="D29" s="37">
        <f>C7*C5</f>
        <v>843.36</v>
      </c>
      <c r="E29" s="36">
        <f>C29*D29</f>
        <v>5.9035200000000003</v>
      </c>
      <c r="F29" s="45"/>
      <c r="G29" s="25">
        <f>Rates!I179</f>
        <v>7.3000000000000001E-3</v>
      </c>
      <c r="H29" s="37">
        <f>D29</f>
        <v>843.36</v>
      </c>
      <c r="I29" s="36">
        <f>G29*H29</f>
        <v>6.1565279999999998</v>
      </c>
      <c r="J29" s="45"/>
      <c r="K29" s="36">
        <f t="shared" si="2"/>
        <v>0.25300799999999946</v>
      </c>
      <c r="L29" s="47">
        <f t="shared" si="3"/>
        <v>4.285714285714276E-2</v>
      </c>
    </row>
    <row r="30" spans="2:12" x14ac:dyDescent="0.2">
      <c r="B30" s="44" t="str">
        <f>Rates!B17</f>
        <v>Retail Transmission Rate - Line and Transformation Connection Service Rate</v>
      </c>
      <c r="C30" s="25">
        <f>Rates!E180</f>
        <v>5.4000000000000003E-3</v>
      </c>
      <c r="D30" s="37">
        <f>C7*C5</f>
        <v>843.36</v>
      </c>
      <c r="E30" s="36">
        <f>C30*D30</f>
        <v>4.554144</v>
      </c>
      <c r="F30" s="45"/>
      <c r="G30" s="25">
        <f>Rates!I180</f>
        <v>5.7000000000000002E-3</v>
      </c>
      <c r="H30" s="37">
        <f>D30</f>
        <v>843.36</v>
      </c>
      <c r="I30" s="36">
        <f>G30*H30</f>
        <v>4.8071520000000003</v>
      </c>
      <c r="J30" s="45"/>
      <c r="K30" s="36">
        <f t="shared" si="2"/>
        <v>0.25300800000000034</v>
      </c>
      <c r="L30" s="47">
        <f t="shared" si="3"/>
        <v>5.5555555555555629E-2</v>
      </c>
    </row>
    <row r="31" spans="2:12" x14ac:dyDescent="0.2">
      <c r="B31" s="49" t="s">
        <v>62</v>
      </c>
      <c r="C31" s="50"/>
      <c r="D31" s="51"/>
      <c r="E31" s="52">
        <f>SUM(E28:E30)</f>
        <v>55.875568000000001</v>
      </c>
      <c r="F31" s="53"/>
      <c r="G31" s="50"/>
      <c r="H31" s="52"/>
      <c r="I31" s="52">
        <f>SUM(I28:I30)</f>
        <v>49.611583999999993</v>
      </c>
      <c r="J31" s="53"/>
      <c r="K31" s="54">
        <f t="shared" si="2"/>
        <v>-6.2639840000000078</v>
      </c>
      <c r="L31" s="55">
        <f t="shared" si="3"/>
        <v>-0.11210595657837442</v>
      </c>
    </row>
    <row r="32" spans="2:12" x14ac:dyDescent="0.2">
      <c r="B32" s="44" t="str">
        <f>Rates!B253</f>
        <v>Wholesale Market Service Rate</v>
      </c>
      <c r="C32" s="25">
        <f>Rates!E253</f>
        <v>4.4000000000000003E-3</v>
      </c>
      <c r="D32" s="37">
        <f>C5*C7</f>
        <v>843.36</v>
      </c>
      <c r="E32" s="36">
        <f t="shared" ref="E32:E38" si="10">C32*D32</f>
        <v>3.7107840000000003</v>
      </c>
      <c r="F32" s="45"/>
      <c r="G32" s="25">
        <f>Rates!I253</f>
        <v>4.4000000000000003E-3</v>
      </c>
      <c r="H32" s="37">
        <f>D32</f>
        <v>843.36</v>
      </c>
      <c r="I32" s="36">
        <f t="shared" ref="I32:I38" si="11">G32*H32</f>
        <v>3.7107840000000003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Rates!B254</f>
        <v>Rural Rate Protection Charge</v>
      </c>
      <c r="C33" s="25">
        <f>Rates!E254</f>
        <v>1.1999999999999999E-3</v>
      </c>
      <c r="D33" s="37">
        <f>C5*C7</f>
        <v>843.36</v>
      </c>
      <c r="E33" s="36">
        <f t="shared" si="10"/>
        <v>1.0120319999999998</v>
      </c>
      <c r="F33" s="45"/>
      <c r="G33" s="25">
        <f>Rates!I254</f>
        <v>1.1999999999999999E-3</v>
      </c>
      <c r="H33" s="37">
        <f t="shared" ref="H33:H34" si="12">D33</f>
        <v>843.36</v>
      </c>
      <c r="I33" s="36">
        <f t="shared" si="11"/>
        <v>1.0120319999999998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Rates!B255</f>
        <v>Standard Supply Service - Administrative Charge (if applicable)</v>
      </c>
      <c r="C34" s="36">
        <f>Rates!E255</f>
        <v>0.25</v>
      </c>
      <c r="D34" s="37">
        <v>1</v>
      </c>
      <c r="E34" s="36">
        <f t="shared" si="10"/>
        <v>0.25</v>
      </c>
      <c r="F34" s="45"/>
      <c r="G34" s="36">
        <f>Rates!I255</f>
        <v>0.25</v>
      </c>
      <c r="H34" s="37">
        <f t="shared" si="12"/>
        <v>1</v>
      </c>
      <c r="I34" s="36">
        <f t="shared" si="11"/>
        <v>0.25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Rates!B258</f>
        <v>Debt Retirement Charge</v>
      </c>
      <c r="C35" s="25">
        <f>Rates!E261</f>
        <v>7.0000000000000001E-3</v>
      </c>
      <c r="D35" s="37">
        <f>C7</f>
        <v>800</v>
      </c>
      <c r="E35" s="36">
        <f t="shared" si="10"/>
        <v>5.6000000000000005</v>
      </c>
      <c r="F35" s="45"/>
      <c r="G35" s="25">
        <f>Rates!I261</f>
        <v>7.0000000000000001E-3</v>
      </c>
      <c r="H35" s="37">
        <f>D35</f>
        <v>800</v>
      </c>
      <c r="I35" s="36">
        <f t="shared" si="11"/>
        <v>5.6000000000000005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Rates!B271</f>
        <v>TOU - Off Peak</v>
      </c>
      <c r="C36" s="25">
        <f>Rates!E271</f>
        <v>7.4999999999999997E-2</v>
      </c>
      <c r="D36" s="37">
        <f>C7*0.64</f>
        <v>512</v>
      </c>
      <c r="E36" s="36">
        <f t="shared" si="10"/>
        <v>38.4</v>
      </c>
      <c r="F36" s="45"/>
      <c r="G36" s="25">
        <f>Rates!I271</f>
        <v>7.4999999999999997E-2</v>
      </c>
      <c r="H36" s="37">
        <f>D36</f>
        <v>512</v>
      </c>
      <c r="I36" s="36">
        <f t="shared" si="11"/>
        <v>38.4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Rates!B272</f>
        <v>TOU - Mid Peak</v>
      </c>
      <c r="C37" s="25">
        <f>Rates!E272</f>
        <v>0.112</v>
      </c>
      <c r="D37" s="37">
        <f>C7*0.18</f>
        <v>144</v>
      </c>
      <c r="E37" s="36">
        <f t="shared" si="10"/>
        <v>16.128</v>
      </c>
      <c r="F37" s="45"/>
      <c r="G37" s="25">
        <f>Rates!I272</f>
        <v>0.112</v>
      </c>
      <c r="H37" s="37">
        <f t="shared" ref="H37:H38" si="13">D37</f>
        <v>144</v>
      </c>
      <c r="I37" s="36">
        <f t="shared" si="11"/>
        <v>16.128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44" t="str">
        <f>Rates!B273</f>
        <v>TOU - On Peak</v>
      </c>
      <c r="C38" s="25">
        <f>Rates!E273</f>
        <v>0.13500000000000001</v>
      </c>
      <c r="D38" s="37">
        <f>C7*0.18</f>
        <v>144</v>
      </c>
      <c r="E38" s="36">
        <f t="shared" si="10"/>
        <v>19.440000000000001</v>
      </c>
      <c r="F38" s="45"/>
      <c r="G38" s="25">
        <f>Rates!I273</f>
        <v>0.13500000000000001</v>
      </c>
      <c r="H38" s="37">
        <f t="shared" si="13"/>
        <v>144</v>
      </c>
      <c r="I38" s="36">
        <f t="shared" si="11"/>
        <v>19.440000000000001</v>
      </c>
      <c r="J38" s="45"/>
      <c r="K38" s="36">
        <f t="shared" si="2"/>
        <v>0</v>
      </c>
      <c r="L38" s="47">
        <f t="shared" si="3"/>
        <v>0</v>
      </c>
    </row>
    <row r="39" spans="2:12" x14ac:dyDescent="0.2">
      <c r="B39" s="56"/>
      <c r="C39" s="51"/>
      <c r="D39" s="51"/>
      <c r="E39" s="51"/>
      <c r="F39" s="53"/>
      <c r="G39" s="51"/>
      <c r="H39" s="51"/>
      <c r="I39" s="51"/>
      <c r="J39" s="53"/>
      <c r="K39" s="54"/>
      <c r="L39" s="55"/>
    </row>
    <row r="40" spans="2:12" x14ac:dyDescent="0.2">
      <c r="B40" s="23" t="s">
        <v>63</v>
      </c>
      <c r="C40" s="35"/>
      <c r="D40" s="35"/>
      <c r="E40" s="39">
        <f>SUM(E31:E38)</f>
        <v>140.41638400000002</v>
      </c>
      <c r="F40" s="45"/>
      <c r="G40" s="35"/>
      <c r="H40" s="39"/>
      <c r="I40" s="39">
        <f>SUM(I31:I38)</f>
        <v>134.1524</v>
      </c>
      <c r="J40" s="45"/>
      <c r="K40" s="36">
        <f t="shared" si="2"/>
        <v>-6.263984000000022</v>
      </c>
      <c r="L40" s="47">
        <f t="shared" si="3"/>
        <v>-4.4610064876759829E-2</v>
      </c>
    </row>
    <row r="41" spans="2:12" x14ac:dyDescent="0.2">
      <c r="B41" s="44" t="str">
        <f>Rates!B277</f>
        <v>HST</v>
      </c>
      <c r="C41" s="41">
        <f>Rates!E277</f>
        <v>0.13</v>
      </c>
      <c r="D41" s="35"/>
      <c r="E41" s="42">
        <f>E40*C41</f>
        <v>18.254129920000004</v>
      </c>
      <c r="F41" s="45"/>
      <c r="G41" s="41">
        <f>Rates!I277</f>
        <v>0.13</v>
      </c>
      <c r="H41" s="35"/>
      <c r="I41" s="42">
        <f>I40*G41</f>
        <v>17.439812</v>
      </c>
      <c r="J41" s="45"/>
      <c r="K41" s="36">
        <f t="shared" si="2"/>
        <v>-0.81431792000000414</v>
      </c>
      <c r="L41" s="47">
        <f t="shared" si="3"/>
        <v>-4.4610064876759899E-2</v>
      </c>
    </row>
    <row r="42" spans="2:12" x14ac:dyDescent="0.2">
      <c r="B42" s="23" t="s">
        <v>64</v>
      </c>
      <c r="C42" s="35"/>
      <c r="D42" s="35"/>
      <c r="E42" s="42">
        <f>E40+E41</f>
        <v>158.67051392000002</v>
      </c>
      <c r="F42" s="45"/>
      <c r="G42" s="35"/>
      <c r="H42" s="35"/>
      <c r="I42" s="42">
        <f>I40+I41</f>
        <v>151.59221199999999</v>
      </c>
      <c r="J42" s="45"/>
      <c r="K42" s="36">
        <f t="shared" si="2"/>
        <v>-7.0783019200000297</v>
      </c>
      <c r="L42" s="47">
        <f t="shared" si="3"/>
        <v>-4.4610064876759864E-2</v>
      </c>
    </row>
    <row r="43" spans="2:12" x14ac:dyDescent="0.2">
      <c r="B43" s="44" t="str">
        <f>Rates!B279</f>
        <v>OCEB</v>
      </c>
      <c r="C43" s="41">
        <f>Rates!E279</f>
        <v>-0.1</v>
      </c>
      <c r="D43" s="35"/>
      <c r="E43" s="42">
        <f>E42*C43</f>
        <v>-15.867051392000002</v>
      </c>
      <c r="F43" s="45"/>
      <c r="G43" s="41">
        <f>Rates!I279</f>
        <v>-0.1</v>
      </c>
      <c r="H43" s="35"/>
      <c r="I43" s="42">
        <f>I42*G43</f>
        <v>-15.159221199999999</v>
      </c>
      <c r="J43" s="45"/>
      <c r="K43" s="36">
        <f t="shared" si="2"/>
        <v>0.70783019200000297</v>
      </c>
      <c r="L43" s="47">
        <f t="shared" si="3"/>
        <v>-4.4610064876759864E-2</v>
      </c>
    </row>
    <row r="44" spans="2:12" ht="13.5" thickBot="1" x14ac:dyDescent="0.25">
      <c r="B44" s="30" t="s">
        <v>65</v>
      </c>
      <c r="C44" s="57"/>
      <c r="D44" s="57"/>
      <c r="E44" s="58">
        <f>E42+E43</f>
        <v>142.80346252800001</v>
      </c>
      <c r="F44" s="59"/>
      <c r="G44" s="57"/>
      <c r="H44" s="57"/>
      <c r="I44" s="58">
        <f>I42+I43</f>
        <v>136.4329908</v>
      </c>
      <c r="J44" s="59"/>
      <c r="K44" s="60">
        <f t="shared" si="2"/>
        <v>-6.3704717280000125</v>
      </c>
      <c r="L44" s="61">
        <f t="shared" si="3"/>
        <v>-4.4610064876759767E-2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4"/>
  <sheetViews>
    <sheetView showGridLines="0" topLeftCell="A13" workbookViewId="0">
      <selection activeCell="O30" sqref="O3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Rates!B182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Rates!E183</f>
        <v>29.38</v>
      </c>
      <c r="D14" s="37">
        <f>C6</f>
        <v>1</v>
      </c>
      <c r="E14" s="36">
        <f>C14*D14</f>
        <v>29.38</v>
      </c>
      <c r="F14" s="45"/>
      <c r="G14" s="36">
        <f>Rates!I183</f>
        <v>28.79</v>
      </c>
      <c r="H14" s="37">
        <f>D14</f>
        <v>1</v>
      </c>
      <c r="I14" s="36">
        <f>G14*H14</f>
        <v>28.79</v>
      </c>
      <c r="J14" s="45"/>
      <c r="K14" s="36">
        <f>I14-E14</f>
        <v>-0.58999999999999986</v>
      </c>
      <c r="L14" s="47">
        <f>IF((E14)=0," ",K14/E14)</f>
        <v>-2.008168822328114E-2</v>
      </c>
    </row>
    <row r="15" spans="2:12" x14ac:dyDescent="0.2">
      <c r="B15" s="44" t="str">
        <f>Rates!B7</f>
        <v>Distribution Volumetric Rate</v>
      </c>
      <c r="C15" s="25">
        <f>Rates!E184</f>
        <v>2.0899999999999998E-2</v>
      </c>
      <c r="D15" s="38">
        <f>C7</f>
        <v>2000</v>
      </c>
      <c r="E15" s="36">
        <f t="shared" ref="E15:E17" si="0">C15*D15</f>
        <v>41.8</v>
      </c>
      <c r="F15" s="45"/>
      <c r="G15" s="25">
        <f>Rates!I184</f>
        <v>2.1999999999999999E-2</v>
      </c>
      <c r="H15" s="38">
        <f>D15</f>
        <v>2000</v>
      </c>
      <c r="I15" s="36">
        <f t="shared" ref="I15:I17" si="1">G15*H15</f>
        <v>44</v>
      </c>
      <c r="J15" s="45"/>
      <c r="K15" s="36">
        <f t="shared" ref="K15:K44" si="2">I15-E15</f>
        <v>2.2000000000000028</v>
      </c>
      <c r="L15" s="47">
        <f t="shared" ref="L15:L44" si="3">IF((E15)=0," ",K15/E15)</f>
        <v>5.2631578947368494E-2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Rates!E185</f>
        <v>3.57</v>
      </c>
      <c r="D16" s="37">
        <f>C6</f>
        <v>1</v>
      </c>
      <c r="E16" s="36">
        <f t="shared" si="0"/>
        <v>3.57</v>
      </c>
      <c r="F16" s="45"/>
      <c r="G16" s="36">
        <f>Rates!I185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-3.57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Rates!E186</f>
        <v>3.89</v>
      </c>
      <c r="D17" s="37">
        <f>C6</f>
        <v>1</v>
      </c>
      <c r="E17" s="36">
        <f t="shared" si="0"/>
        <v>3.89</v>
      </c>
      <c r="F17" s="45"/>
      <c r="G17" s="36">
        <f>Rates!I186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-3.89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78.639999999999986</v>
      </c>
      <c r="F18" s="53"/>
      <c r="G18" s="50"/>
      <c r="H18" s="51"/>
      <c r="I18" s="52">
        <f>SUM(I14:I17)</f>
        <v>72.789999999999992</v>
      </c>
      <c r="J18" s="53"/>
      <c r="K18" s="54">
        <f t="shared" si="2"/>
        <v>-5.8499999999999943</v>
      </c>
      <c r="L18" s="55">
        <f t="shared" si="3"/>
        <v>-7.43896236012207E-2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7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7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Rates!E188</f>
        <v>1.1000000000000001E-3</v>
      </c>
      <c r="D20" s="37">
        <f>C7</f>
        <v>2000</v>
      </c>
      <c r="E20" s="36">
        <f t="shared" si="5"/>
        <v>2.2000000000000002</v>
      </c>
      <c r="F20" s="45"/>
      <c r="G20" s="25">
        <f>Rates!I188</f>
        <v>0</v>
      </c>
      <c r="H20" s="37">
        <f t="shared" ref="H20:H27" si="7">D20</f>
        <v>2000</v>
      </c>
      <c r="I20" s="36">
        <f t="shared" si="6"/>
        <v>0</v>
      </c>
      <c r="J20" s="45"/>
      <c r="K20" s="36">
        <f t="shared" si="2"/>
        <v>-2.2000000000000002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Rates!E189</f>
        <v>1.2999999999999999E-3</v>
      </c>
      <c r="D21" s="37">
        <f>C7</f>
        <v>2000</v>
      </c>
      <c r="E21" s="36">
        <f t="shared" si="5"/>
        <v>2.6</v>
      </c>
      <c r="F21" s="45"/>
      <c r="G21" s="25">
        <f>Rates!I189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-2.6</v>
      </c>
      <c r="L21" s="47">
        <f t="shared" si="3"/>
        <v>-1</v>
      </c>
    </row>
    <row r="22" spans="2:12" x14ac:dyDescent="0.2">
      <c r="B22" s="48" t="str">
        <f>Rates!B190</f>
        <v>Rate Rider for Deferral/Variance Account Disposition (2014) - effective until December 31, 2016</v>
      </c>
      <c r="C22" s="25">
        <f>Rates!E190</f>
        <v>0</v>
      </c>
      <c r="D22" s="37">
        <f>C7</f>
        <v>2000</v>
      </c>
      <c r="E22" s="36">
        <f t="shared" si="5"/>
        <v>0</v>
      </c>
      <c r="F22" s="45"/>
      <c r="G22" s="25">
        <f>Rates!I190</f>
        <v>-5.9999999999999995E-4</v>
      </c>
      <c r="H22" s="37">
        <f t="shared" si="7"/>
        <v>2000</v>
      </c>
      <c r="I22" s="36">
        <f t="shared" si="6"/>
        <v>-1.2</v>
      </c>
      <c r="J22" s="45"/>
      <c r="K22" s="36">
        <f t="shared" si="2"/>
        <v>-1.2</v>
      </c>
      <c r="L22" s="47" t="str">
        <f t="shared" si="3"/>
        <v xml:space="preserve"> </v>
      </c>
    </row>
    <row r="23" spans="2:12" ht="25.5" x14ac:dyDescent="0.2">
      <c r="B23" s="48" t="str">
        <f>Rates!B191</f>
        <v>Rate Rider for Global Adjustment Sub-Account Disposition (2014) - effective until December 31, 2016 Applicable only for Non-RPP Customers</v>
      </c>
      <c r="C23" s="25">
        <f>Rates!E191</f>
        <v>0</v>
      </c>
      <c r="D23" s="37">
        <f>C7</f>
        <v>2000</v>
      </c>
      <c r="E23" s="36">
        <f t="shared" si="5"/>
        <v>0</v>
      </c>
      <c r="F23" s="45"/>
      <c r="G23" s="25"/>
      <c r="H23" s="37">
        <f t="shared" si="7"/>
        <v>2000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4" t="str">
        <f>Rates!B177</f>
        <v>Rate Rider for the Disposition of Deferred PILs Variance Account 1562 - effective until December 31, 2016</v>
      </c>
      <c r="C24" s="25">
        <f>Rates!E192</f>
        <v>5.0000000000000001E-4</v>
      </c>
      <c r="D24" s="37">
        <f>C7</f>
        <v>2000</v>
      </c>
      <c r="E24" s="36">
        <f t="shared" si="5"/>
        <v>1</v>
      </c>
      <c r="F24" s="45"/>
      <c r="G24" s="25">
        <f>Rates!I192</f>
        <v>5.0000000000000001E-4</v>
      </c>
      <c r="H24" s="37">
        <f t="shared" si="7"/>
        <v>2000</v>
      </c>
      <c r="I24" s="36">
        <f t="shared" si="6"/>
        <v>1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8" t="str">
        <f>Rates!B193</f>
        <v>Rate Rider for Loss Revenue Adjustment Mechanism (LRAM) - effective until December 31, 2015</v>
      </c>
      <c r="C25" s="25">
        <f>Rates!E193</f>
        <v>0</v>
      </c>
      <c r="D25" s="37">
        <f>C7</f>
        <v>2000</v>
      </c>
      <c r="E25" s="36">
        <f t="shared" si="5"/>
        <v>0</v>
      </c>
      <c r="F25" s="45"/>
      <c r="G25" s="25">
        <f>Rates!I193</f>
        <v>4.0000000000000002E-4</v>
      </c>
      <c r="H25" s="37">
        <f t="shared" si="7"/>
        <v>2000</v>
      </c>
      <c r="I25" s="36">
        <f t="shared" si="6"/>
        <v>0.8</v>
      </c>
      <c r="J25" s="45"/>
      <c r="K25" s="36">
        <f t="shared" si="2"/>
        <v>0.8</v>
      </c>
      <c r="L25" s="47" t="str">
        <f t="shared" si="3"/>
        <v xml:space="preserve"> </v>
      </c>
    </row>
    <row r="26" spans="2:12" x14ac:dyDescent="0.2">
      <c r="B26" s="44" t="str">
        <f>Rates!B10</f>
        <v>Low Voltage Service Rate</v>
      </c>
      <c r="C26" s="25">
        <f>Rates!E187</f>
        <v>2.0000000000000001E-4</v>
      </c>
      <c r="D26" s="37">
        <f>C7</f>
        <v>2000</v>
      </c>
      <c r="E26" s="36">
        <f t="shared" si="5"/>
        <v>0.4</v>
      </c>
      <c r="F26" s="45"/>
      <c r="G26" s="25">
        <f>Rates!I187</f>
        <v>2.0000000000000001E-4</v>
      </c>
      <c r="H26" s="37">
        <f t="shared" si="7"/>
        <v>2000</v>
      </c>
      <c r="I26" s="36">
        <f t="shared" si="6"/>
        <v>0.4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Rates!B256</f>
        <v>Smart Meter Entity Charge</v>
      </c>
      <c r="C27" s="36">
        <f>Rates!E256</f>
        <v>0.79</v>
      </c>
      <c r="D27" s="37">
        <f>C6</f>
        <v>1</v>
      </c>
      <c r="E27" s="36">
        <f t="shared" si="5"/>
        <v>0.79</v>
      </c>
      <c r="F27" s="45"/>
      <c r="G27" s="36">
        <f>Rates!I256</f>
        <v>0.79</v>
      </c>
      <c r="H27" s="37">
        <f t="shared" si="7"/>
        <v>1</v>
      </c>
      <c r="I27" s="36">
        <f t="shared" si="6"/>
        <v>0.79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9" t="s">
        <v>61</v>
      </c>
      <c r="C28" s="50"/>
      <c r="D28" s="51"/>
      <c r="E28" s="52">
        <f>SUM(E18:E27)</f>
        <v>94.724760000000003</v>
      </c>
      <c r="F28" s="53"/>
      <c r="G28" s="50"/>
      <c r="H28" s="51"/>
      <c r="I28" s="52">
        <f>SUM(I18:I27)</f>
        <v>83.674760000000006</v>
      </c>
      <c r="J28" s="53"/>
      <c r="K28" s="54">
        <f t="shared" si="2"/>
        <v>-11.049999999999997</v>
      </c>
      <c r="L28" s="55">
        <f t="shared" si="3"/>
        <v>-0.11665376613252962</v>
      </c>
    </row>
    <row r="29" spans="2:12" x14ac:dyDescent="0.2">
      <c r="B29" s="44" t="str">
        <f>Rates!B16</f>
        <v>Retail Transmission Rate - Network Service Rate</v>
      </c>
      <c r="C29" s="25">
        <f>Rates!E194</f>
        <v>6.0000000000000001E-3</v>
      </c>
      <c r="D29" s="37">
        <f>C7*C5</f>
        <v>2108.4</v>
      </c>
      <c r="E29" s="36">
        <f>C29*D29</f>
        <v>12.650400000000001</v>
      </c>
      <c r="F29" s="45"/>
      <c r="G29" s="25">
        <f>Rates!I194</f>
        <v>6.3E-3</v>
      </c>
      <c r="H29" s="37">
        <f>D29</f>
        <v>2108.4</v>
      </c>
      <c r="I29" s="36">
        <f>G29*H29</f>
        <v>13.282920000000001</v>
      </c>
      <c r="J29" s="45"/>
      <c r="K29" s="36">
        <f t="shared" si="2"/>
        <v>0.63251999999999953</v>
      </c>
      <c r="L29" s="47">
        <f t="shared" si="3"/>
        <v>4.9999999999999961E-2</v>
      </c>
    </row>
    <row r="30" spans="2:12" x14ac:dyDescent="0.2">
      <c r="B30" s="44" t="str">
        <f>Rates!B17</f>
        <v>Retail Transmission Rate - Line and Transformation Connection Service Rate</v>
      </c>
      <c r="C30" s="25">
        <f>Rates!E195</f>
        <v>4.7000000000000002E-3</v>
      </c>
      <c r="D30" s="37">
        <f>C7*C5</f>
        <v>2108.4</v>
      </c>
      <c r="E30" s="36">
        <f>C30*D30</f>
        <v>9.9094800000000003</v>
      </c>
      <c r="F30" s="45"/>
      <c r="G30" s="25">
        <f>Rates!I195</f>
        <v>4.8999999999999998E-3</v>
      </c>
      <c r="H30" s="37">
        <f>D30</f>
        <v>2108.4</v>
      </c>
      <c r="I30" s="36">
        <f>G30*H30</f>
        <v>10.331160000000001</v>
      </c>
      <c r="J30" s="45"/>
      <c r="K30" s="36">
        <f t="shared" si="2"/>
        <v>0.42168000000000028</v>
      </c>
      <c r="L30" s="47">
        <f t="shared" si="3"/>
        <v>4.2553191489361729E-2</v>
      </c>
    </row>
    <row r="31" spans="2:12" x14ac:dyDescent="0.2">
      <c r="B31" s="49" t="s">
        <v>62</v>
      </c>
      <c r="C31" s="50"/>
      <c r="D31" s="51"/>
      <c r="E31" s="52">
        <f>SUM(E28:E30)</f>
        <v>117.28464000000001</v>
      </c>
      <c r="F31" s="53"/>
      <c r="G31" s="50"/>
      <c r="H31" s="52"/>
      <c r="I31" s="52">
        <f>SUM(I28:I30)</f>
        <v>107.28884000000001</v>
      </c>
      <c r="J31" s="53"/>
      <c r="K31" s="54">
        <f t="shared" si="2"/>
        <v>-9.9958000000000027</v>
      </c>
      <c r="L31" s="55">
        <f t="shared" si="3"/>
        <v>-8.5226846413989088E-2</v>
      </c>
    </row>
    <row r="32" spans="2:12" x14ac:dyDescent="0.2">
      <c r="B32" s="44" t="str">
        <f>Rates!B253</f>
        <v>Wholesale Market Service Rate</v>
      </c>
      <c r="C32" s="25">
        <f>Rates!E253</f>
        <v>4.4000000000000003E-3</v>
      </c>
      <c r="D32" s="37">
        <f>C5*C7</f>
        <v>2108.4</v>
      </c>
      <c r="E32" s="36">
        <f t="shared" ref="E32:E38" si="8">C32*D32</f>
        <v>9.2769600000000008</v>
      </c>
      <c r="F32" s="45"/>
      <c r="G32" s="25">
        <f>Rates!I253</f>
        <v>4.4000000000000003E-3</v>
      </c>
      <c r="H32" s="37">
        <f>D32</f>
        <v>2108.4</v>
      </c>
      <c r="I32" s="36">
        <f t="shared" ref="I32:I38" si="9">G32*H32</f>
        <v>9.2769600000000008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Rates!B254</f>
        <v>Rural Rate Protection Charge</v>
      </c>
      <c r="C33" s="25">
        <f>Rates!E254</f>
        <v>1.1999999999999999E-3</v>
      </c>
      <c r="D33" s="37">
        <f>C5*C7</f>
        <v>2108.4</v>
      </c>
      <c r="E33" s="36">
        <f t="shared" si="8"/>
        <v>2.5300799999999999</v>
      </c>
      <c r="F33" s="45"/>
      <c r="G33" s="25">
        <f>Rates!I254</f>
        <v>1.1999999999999999E-3</v>
      </c>
      <c r="H33" s="37">
        <f t="shared" ref="H33:H34" si="10">D33</f>
        <v>2108.4</v>
      </c>
      <c r="I33" s="36">
        <f t="shared" si="9"/>
        <v>2.5300799999999999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Rates!B255</f>
        <v>Standard Supply Service - Administrative Charge (if applicable)</v>
      </c>
      <c r="C34" s="36">
        <f>Rates!E255</f>
        <v>0.25</v>
      </c>
      <c r="D34" s="37">
        <v>1</v>
      </c>
      <c r="E34" s="36">
        <f t="shared" si="8"/>
        <v>0.25</v>
      </c>
      <c r="F34" s="45"/>
      <c r="G34" s="36">
        <f>Rates!I255</f>
        <v>0.25</v>
      </c>
      <c r="H34" s="37">
        <f t="shared" si="10"/>
        <v>1</v>
      </c>
      <c r="I34" s="36">
        <f t="shared" si="9"/>
        <v>0.25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Rates!B258</f>
        <v>Debt Retirement Charge</v>
      </c>
      <c r="C35" s="25">
        <f>Rates!E261</f>
        <v>7.0000000000000001E-3</v>
      </c>
      <c r="D35" s="37">
        <f>C7</f>
        <v>2000</v>
      </c>
      <c r="E35" s="36">
        <f t="shared" si="8"/>
        <v>14</v>
      </c>
      <c r="F35" s="45"/>
      <c r="G35" s="25">
        <f>Rates!I261</f>
        <v>7.0000000000000001E-3</v>
      </c>
      <c r="H35" s="37">
        <f>D35</f>
        <v>2000</v>
      </c>
      <c r="I35" s="36">
        <f t="shared" si="9"/>
        <v>14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Rates!B271</f>
        <v>TOU - Off Peak</v>
      </c>
      <c r="C36" s="25">
        <f>Rates!E271</f>
        <v>7.4999999999999997E-2</v>
      </c>
      <c r="D36" s="37">
        <f>C7*0.64</f>
        <v>1280</v>
      </c>
      <c r="E36" s="36">
        <f t="shared" si="8"/>
        <v>96</v>
      </c>
      <c r="F36" s="45"/>
      <c r="G36" s="25">
        <f>Rates!I271</f>
        <v>7.4999999999999997E-2</v>
      </c>
      <c r="H36" s="37">
        <f>D36</f>
        <v>1280</v>
      </c>
      <c r="I36" s="36">
        <f t="shared" si="9"/>
        <v>96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Rates!B272</f>
        <v>TOU - Mid Peak</v>
      </c>
      <c r="C37" s="25">
        <f>Rates!E272</f>
        <v>0.112</v>
      </c>
      <c r="D37" s="37">
        <f>C7*0.18</f>
        <v>360</v>
      </c>
      <c r="E37" s="36">
        <f t="shared" si="8"/>
        <v>40.32</v>
      </c>
      <c r="F37" s="45"/>
      <c r="G37" s="25">
        <f>Rates!I272</f>
        <v>0.112</v>
      </c>
      <c r="H37" s="37">
        <f t="shared" ref="H37:H38" si="11">D37</f>
        <v>360</v>
      </c>
      <c r="I37" s="36">
        <f t="shared" si="9"/>
        <v>40.32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44" t="str">
        <f>Rates!B273</f>
        <v>TOU - On Peak</v>
      </c>
      <c r="C38" s="25">
        <f>Rates!E273</f>
        <v>0.13500000000000001</v>
      </c>
      <c r="D38" s="37">
        <f>C7*0.18</f>
        <v>360</v>
      </c>
      <c r="E38" s="36">
        <f t="shared" si="8"/>
        <v>48.6</v>
      </c>
      <c r="F38" s="45"/>
      <c r="G38" s="25">
        <f>Rates!I273</f>
        <v>0.13500000000000001</v>
      </c>
      <c r="H38" s="37">
        <f t="shared" si="11"/>
        <v>360</v>
      </c>
      <c r="I38" s="36">
        <f t="shared" si="9"/>
        <v>48.6</v>
      </c>
      <c r="J38" s="45"/>
      <c r="K38" s="36">
        <f t="shared" si="2"/>
        <v>0</v>
      </c>
      <c r="L38" s="47">
        <f t="shared" si="3"/>
        <v>0</v>
      </c>
    </row>
    <row r="39" spans="2:12" x14ac:dyDescent="0.2">
      <c r="B39" s="56"/>
      <c r="C39" s="51"/>
      <c r="D39" s="51"/>
      <c r="E39" s="51"/>
      <c r="F39" s="53"/>
      <c r="G39" s="51"/>
      <c r="H39" s="51"/>
      <c r="I39" s="51"/>
      <c r="J39" s="53"/>
      <c r="K39" s="54"/>
      <c r="L39" s="55"/>
    </row>
    <row r="40" spans="2:12" x14ac:dyDescent="0.2">
      <c r="B40" s="23" t="s">
        <v>63</v>
      </c>
      <c r="C40" s="35"/>
      <c r="D40" s="35"/>
      <c r="E40" s="39">
        <f>SUM(E31:E38)</f>
        <v>328.26168000000007</v>
      </c>
      <c r="F40" s="45"/>
      <c r="G40" s="35"/>
      <c r="H40" s="39"/>
      <c r="I40" s="39">
        <f>SUM(I31:I38)</f>
        <v>318.26588000000004</v>
      </c>
      <c r="J40" s="45"/>
      <c r="K40" s="36">
        <f t="shared" si="2"/>
        <v>-9.9958000000000311</v>
      </c>
      <c r="L40" s="47">
        <f t="shared" si="3"/>
        <v>-3.0450706277991475E-2</v>
      </c>
    </row>
    <row r="41" spans="2:12" x14ac:dyDescent="0.2">
      <c r="B41" s="44" t="str">
        <f>Rates!B277</f>
        <v>HST</v>
      </c>
      <c r="C41" s="41">
        <f>Rates!E277</f>
        <v>0.13</v>
      </c>
      <c r="D41" s="35"/>
      <c r="E41" s="42">
        <f>E40*C41</f>
        <v>42.674018400000008</v>
      </c>
      <c r="F41" s="45"/>
      <c r="G41" s="41">
        <f>Rates!I277</f>
        <v>0.13</v>
      </c>
      <c r="H41" s="35"/>
      <c r="I41" s="42">
        <f>I40*G41</f>
        <v>41.374564400000004</v>
      </c>
      <c r="J41" s="45"/>
      <c r="K41" s="36">
        <f t="shared" si="2"/>
        <v>-1.2994540000000043</v>
      </c>
      <c r="L41" s="47">
        <f t="shared" si="3"/>
        <v>-3.0450706277991482E-2</v>
      </c>
    </row>
    <row r="42" spans="2:12" x14ac:dyDescent="0.2">
      <c r="B42" s="23" t="s">
        <v>64</v>
      </c>
      <c r="C42" s="35"/>
      <c r="D42" s="35"/>
      <c r="E42" s="42">
        <f>E40+E41</f>
        <v>370.93569840000009</v>
      </c>
      <c r="F42" s="45"/>
      <c r="G42" s="35"/>
      <c r="H42" s="35"/>
      <c r="I42" s="42">
        <f>I40+I41</f>
        <v>359.64044440000004</v>
      </c>
      <c r="J42" s="45"/>
      <c r="K42" s="36">
        <f t="shared" si="2"/>
        <v>-11.295254000000057</v>
      </c>
      <c r="L42" s="47">
        <f t="shared" si="3"/>
        <v>-3.0450706277991534E-2</v>
      </c>
    </row>
    <row r="43" spans="2:12" x14ac:dyDescent="0.2">
      <c r="B43" s="44" t="str">
        <f>Rates!B279</f>
        <v>OCEB</v>
      </c>
      <c r="C43" s="41">
        <f>Rates!E279</f>
        <v>-0.1</v>
      </c>
      <c r="D43" s="35"/>
      <c r="E43" s="42">
        <f>E42*C43</f>
        <v>-37.093569840000008</v>
      </c>
      <c r="F43" s="45"/>
      <c r="G43" s="41">
        <f>Rates!I279</f>
        <v>-0.1</v>
      </c>
      <c r="H43" s="35"/>
      <c r="I43" s="42">
        <f>I42*G43</f>
        <v>-35.964044440000002</v>
      </c>
      <c r="J43" s="45"/>
      <c r="K43" s="36">
        <f t="shared" si="2"/>
        <v>1.1295254000000057</v>
      </c>
      <c r="L43" s="47">
        <f t="shared" si="3"/>
        <v>-3.0450706277991534E-2</v>
      </c>
    </row>
    <row r="44" spans="2:12" ht="13.5" thickBot="1" x14ac:dyDescent="0.25">
      <c r="B44" s="30" t="s">
        <v>65</v>
      </c>
      <c r="C44" s="57"/>
      <c r="D44" s="57"/>
      <c r="E44" s="58">
        <f>E42+E43</f>
        <v>333.84212856000011</v>
      </c>
      <c r="F44" s="59"/>
      <c r="G44" s="57"/>
      <c r="H44" s="57"/>
      <c r="I44" s="58">
        <f>I42+I43</f>
        <v>323.67639996000003</v>
      </c>
      <c r="J44" s="59"/>
      <c r="K44" s="60">
        <f t="shared" si="2"/>
        <v>-10.165728600000079</v>
      </c>
      <c r="L44" s="61">
        <f t="shared" si="3"/>
        <v>-3.0450706277991617E-2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4"/>
  <sheetViews>
    <sheetView showGridLines="0" workbookViewId="0">
      <selection activeCell="G23" sqref="G2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Rates!B182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Rates!E183</f>
        <v>29.38</v>
      </c>
      <c r="D14" s="37">
        <f>C6</f>
        <v>1</v>
      </c>
      <c r="E14" s="36">
        <f>C14*D14</f>
        <v>29.38</v>
      </c>
      <c r="F14" s="45"/>
      <c r="G14" s="36">
        <f>Rates!I183</f>
        <v>28.79</v>
      </c>
      <c r="H14" s="37">
        <f>D14</f>
        <v>1</v>
      </c>
      <c r="I14" s="36">
        <f>G14*H14</f>
        <v>28.79</v>
      </c>
      <c r="J14" s="45"/>
      <c r="K14" s="36">
        <f>I14-E14</f>
        <v>-0.58999999999999986</v>
      </c>
      <c r="L14" s="47">
        <f>IF((E14)=0," ",K14/E14)</f>
        <v>-2.008168822328114E-2</v>
      </c>
    </row>
    <row r="15" spans="2:12" x14ac:dyDescent="0.2">
      <c r="B15" s="44" t="str">
        <f>Rates!B7</f>
        <v>Distribution Volumetric Rate</v>
      </c>
      <c r="C15" s="25">
        <f>Rates!E184</f>
        <v>2.0899999999999998E-2</v>
      </c>
      <c r="D15" s="38">
        <f>C7</f>
        <v>2000</v>
      </c>
      <c r="E15" s="36">
        <f t="shared" ref="E15:E17" si="0">C15*D15</f>
        <v>41.8</v>
      </c>
      <c r="F15" s="45"/>
      <c r="G15" s="25">
        <f>Rates!I184</f>
        <v>2.1999999999999999E-2</v>
      </c>
      <c r="H15" s="38">
        <f>D15</f>
        <v>2000</v>
      </c>
      <c r="I15" s="36">
        <f t="shared" ref="I15:I17" si="1">G15*H15</f>
        <v>44</v>
      </c>
      <c r="J15" s="45"/>
      <c r="K15" s="36">
        <f t="shared" ref="K15:K44" si="2">I15-E15</f>
        <v>2.2000000000000028</v>
      </c>
      <c r="L15" s="47">
        <f t="shared" ref="L15:L44" si="3">IF((E15)=0," ",K15/E15)</f>
        <v>5.2631578947368494E-2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Rates!E185</f>
        <v>3.57</v>
      </c>
      <c r="D16" s="37">
        <f>C6</f>
        <v>1</v>
      </c>
      <c r="E16" s="36">
        <f t="shared" si="0"/>
        <v>3.57</v>
      </c>
      <c r="F16" s="45"/>
      <c r="G16" s="36">
        <f>Rates!I185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-3.57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Rates!E186</f>
        <v>3.89</v>
      </c>
      <c r="D17" s="37">
        <f>C6</f>
        <v>1</v>
      </c>
      <c r="E17" s="36">
        <f t="shared" si="0"/>
        <v>3.89</v>
      </c>
      <c r="F17" s="45"/>
      <c r="G17" s="36">
        <f>Rates!I186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-3.89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78.639999999999986</v>
      </c>
      <c r="F18" s="53"/>
      <c r="G18" s="50"/>
      <c r="H18" s="51"/>
      <c r="I18" s="52">
        <f>SUM(I14:I17)</f>
        <v>72.789999999999992</v>
      </c>
      <c r="J18" s="53"/>
      <c r="K18" s="54">
        <f t="shared" si="2"/>
        <v>-5.8499999999999943</v>
      </c>
      <c r="L18" s="55">
        <f t="shared" si="3"/>
        <v>-7.43896236012207E-2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7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7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Rates!E188</f>
        <v>1.1000000000000001E-3</v>
      </c>
      <c r="D20" s="37">
        <f>C7</f>
        <v>2000</v>
      </c>
      <c r="E20" s="36">
        <f t="shared" si="5"/>
        <v>2.2000000000000002</v>
      </c>
      <c r="F20" s="45"/>
      <c r="G20" s="25">
        <f>Rates!I188</f>
        <v>0</v>
      </c>
      <c r="H20" s="37">
        <f t="shared" ref="H20:H27" si="7">D20</f>
        <v>2000</v>
      </c>
      <c r="I20" s="36">
        <f t="shared" si="6"/>
        <v>0</v>
      </c>
      <c r="J20" s="45"/>
      <c r="K20" s="36">
        <f t="shared" si="2"/>
        <v>-2.2000000000000002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Rates!E189</f>
        <v>1.2999999999999999E-3</v>
      </c>
      <c r="D21" s="37">
        <f>C7</f>
        <v>2000</v>
      </c>
      <c r="E21" s="36">
        <f t="shared" si="5"/>
        <v>2.6</v>
      </c>
      <c r="F21" s="45"/>
      <c r="G21" s="25">
        <f>Rates!I189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-2.6</v>
      </c>
      <c r="L21" s="47">
        <f t="shared" si="3"/>
        <v>-1</v>
      </c>
    </row>
    <row r="22" spans="2:12" x14ac:dyDescent="0.2">
      <c r="B22" s="48" t="str">
        <f>Rates!B190</f>
        <v>Rate Rider for Deferral/Variance Account Disposition (2014) - effective until December 31, 2016</v>
      </c>
      <c r="C22" s="25">
        <f>Rates!E190</f>
        <v>0</v>
      </c>
      <c r="D22" s="37">
        <f>C7</f>
        <v>2000</v>
      </c>
      <c r="E22" s="36">
        <f t="shared" si="5"/>
        <v>0</v>
      </c>
      <c r="F22" s="45"/>
      <c r="G22" s="25">
        <f>Rates!I190</f>
        <v>-5.9999999999999995E-4</v>
      </c>
      <c r="H22" s="37">
        <f t="shared" si="7"/>
        <v>2000</v>
      </c>
      <c r="I22" s="36">
        <f t="shared" si="6"/>
        <v>-1.2</v>
      </c>
      <c r="J22" s="45"/>
      <c r="K22" s="36">
        <f t="shared" ref="K22:K25" si="8">I22-E22</f>
        <v>-1.2</v>
      </c>
      <c r="L22" s="47" t="str">
        <f t="shared" ref="L22:L25" si="9">IF((E22)=0," ",K22/E22)</f>
        <v xml:space="preserve"> </v>
      </c>
    </row>
    <row r="23" spans="2:12" ht="25.5" x14ac:dyDescent="0.2">
      <c r="B23" s="48" t="str">
        <f>Rates!B191</f>
        <v>Rate Rider for Global Adjustment Sub-Account Disposition (2014) - effective until December 31, 2016 Applicable only for Non-RPP Customers</v>
      </c>
      <c r="C23" s="25">
        <f>Rates!E191</f>
        <v>0</v>
      </c>
      <c r="D23" s="37">
        <f>C7</f>
        <v>2000</v>
      </c>
      <c r="E23" s="36">
        <f t="shared" si="5"/>
        <v>0</v>
      </c>
      <c r="F23" s="45"/>
      <c r="G23" s="25">
        <f>Rates!I191</f>
        <v>-2.3E-3</v>
      </c>
      <c r="H23" s="37">
        <f t="shared" si="7"/>
        <v>2000</v>
      </c>
      <c r="I23" s="36">
        <f t="shared" si="6"/>
        <v>-4.5999999999999996</v>
      </c>
      <c r="J23" s="45"/>
      <c r="K23" s="36">
        <f t="shared" si="8"/>
        <v>-4.5999999999999996</v>
      </c>
      <c r="L23" s="47" t="str">
        <f t="shared" si="9"/>
        <v xml:space="preserve"> </v>
      </c>
    </row>
    <row r="24" spans="2:12" x14ac:dyDescent="0.2">
      <c r="B24" s="44" t="str">
        <f>Rates!B177</f>
        <v>Rate Rider for the Disposition of Deferred PILs Variance Account 1562 - effective until December 31, 2016</v>
      </c>
      <c r="C24" s="25">
        <f>Rates!E192</f>
        <v>5.0000000000000001E-4</v>
      </c>
      <c r="D24" s="37">
        <f>C7</f>
        <v>2000</v>
      </c>
      <c r="E24" s="36">
        <f t="shared" si="5"/>
        <v>1</v>
      </c>
      <c r="F24" s="45"/>
      <c r="G24" s="25">
        <f>Rates!I192</f>
        <v>5.0000000000000001E-4</v>
      </c>
      <c r="H24" s="37">
        <f t="shared" si="7"/>
        <v>2000</v>
      </c>
      <c r="I24" s="36">
        <f t="shared" si="6"/>
        <v>1</v>
      </c>
      <c r="J24" s="45"/>
      <c r="K24" s="36">
        <f t="shared" si="8"/>
        <v>0</v>
      </c>
      <c r="L24" s="47">
        <f t="shared" si="9"/>
        <v>0</v>
      </c>
    </row>
    <row r="25" spans="2:12" x14ac:dyDescent="0.2">
      <c r="B25" s="48" t="str">
        <f>Rates!B193</f>
        <v>Rate Rider for Loss Revenue Adjustment Mechanism (LRAM) - effective until December 31, 2015</v>
      </c>
      <c r="C25" s="25">
        <f>Rates!E193</f>
        <v>0</v>
      </c>
      <c r="D25" s="37">
        <f>C7</f>
        <v>2000</v>
      </c>
      <c r="E25" s="36">
        <f t="shared" si="5"/>
        <v>0</v>
      </c>
      <c r="F25" s="45"/>
      <c r="G25" s="25">
        <f>Rates!I193</f>
        <v>4.0000000000000002E-4</v>
      </c>
      <c r="H25" s="37">
        <f t="shared" si="7"/>
        <v>2000</v>
      </c>
      <c r="I25" s="36">
        <f t="shared" si="6"/>
        <v>0.8</v>
      </c>
      <c r="J25" s="45"/>
      <c r="K25" s="36">
        <f t="shared" si="8"/>
        <v>0.8</v>
      </c>
      <c r="L25" s="47" t="str">
        <f t="shared" si="9"/>
        <v xml:space="preserve"> </v>
      </c>
    </row>
    <row r="26" spans="2:12" x14ac:dyDescent="0.2">
      <c r="B26" s="44" t="str">
        <f>Rates!B10</f>
        <v>Low Voltage Service Rate</v>
      </c>
      <c r="C26" s="25">
        <f>Rates!E187</f>
        <v>2.0000000000000001E-4</v>
      </c>
      <c r="D26" s="37">
        <f>C7</f>
        <v>2000</v>
      </c>
      <c r="E26" s="36">
        <f t="shared" si="5"/>
        <v>0.4</v>
      </c>
      <c r="F26" s="45"/>
      <c r="G26" s="25">
        <f>Rates!I187</f>
        <v>2.0000000000000001E-4</v>
      </c>
      <c r="H26" s="37">
        <f t="shared" si="7"/>
        <v>2000</v>
      </c>
      <c r="I26" s="36">
        <f t="shared" si="6"/>
        <v>0.4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Rates!B256</f>
        <v>Smart Meter Entity Charge</v>
      </c>
      <c r="C27" s="36">
        <f>Rates!E256</f>
        <v>0.79</v>
      </c>
      <c r="D27" s="37">
        <f>C6</f>
        <v>1</v>
      </c>
      <c r="E27" s="36">
        <f t="shared" si="5"/>
        <v>0.79</v>
      </c>
      <c r="F27" s="45"/>
      <c r="G27" s="36">
        <f>Rates!I256</f>
        <v>0.79</v>
      </c>
      <c r="H27" s="37">
        <f t="shared" si="7"/>
        <v>1</v>
      </c>
      <c r="I27" s="36">
        <f t="shared" si="6"/>
        <v>0.79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9" t="s">
        <v>61</v>
      </c>
      <c r="C28" s="50"/>
      <c r="D28" s="51"/>
      <c r="E28" s="52">
        <f>SUM(E18:E27)</f>
        <v>94.724760000000003</v>
      </c>
      <c r="F28" s="53"/>
      <c r="G28" s="50"/>
      <c r="H28" s="51"/>
      <c r="I28" s="52">
        <f>SUM(I18:I27)</f>
        <v>79.074760000000012</v>
      </c>
      <c r="J28" s="53"/>
      <c r="K28" s="54">
        <f t="shared" si="2"/>
        <v>-15.649999999999991</v>
      </c>
      <c r="L28" s="55">
        <f t="shared" si="3"/>
        <v>-0.16521551492978173</v>
      </c>
    </row>
    <row r="29" spans="2:12" x14ac:dyDescent="0.2">
      <c r="B29" s="44" t="str">
        <f>Rates!B16</f>
        <v>Retail Transmission Rate - Network Service Rate</v>
      </c>
      <c r="C29" s="25">
        <f>Rates!E194</f>
        <v>6.0000000000000001E-3</v>
      </c>
      <c r="D29" s="37">
        <f>C7*C5</f>
        <v>2108.4</v>
      </c>
      <c r="E29" s="36">
        <f>C29*D29</f>
        <v>12.650400000000001</v>
      </c>
      <c r="F29" s="45"/>
      <c r="G29" s="25">
        <f>Rates!I194</f>
        <v>6.3E-3</v>
      </c>
      <c r="H29" s="37">
        <f>D29</f>
        <v>2108.4</v>
      </c>
      <c r="I29" s="36">
        <f>G29*H29</f>
        <v>13.282920000000001</v>
      </c>
      <c r="J29" s="45"/>
      <c r="K29" s="36">
        <f t="shared" si="2"/>
        <v>0.63251999999999953</v>
      </c>
      <c r="L29" s="47">
        <f t="shared" si="3"/>
        <v>4.9999999999999961E-2</v>
      </c>
    </row>
    <row r="30" spans="2:12" x14ac:dyDescent="0.2">
      <c r="B30" s="44" t="str">
        <f>Rates!B17</f>
        <v>Retail Transmission Rate - Line and Transformation Connection Service Rate</v>
      </c>
      <c r="C30" s="25">
        <f>Rates!E195</f>
        <v>4.7000000000000002E-3</v>
      </c>
      <c r="D30" s="37">
        <f>C7*C5</f>
        <v>2108.4</v>
      </c>
      <c r="E30" s="36">
        <f>C30*D30</f>
        <v>9.9094800000000003</v>
      </c>
      <c r="F30" s="45"/>
      <c r="G30" s="25">
        <f>Rates!I195</f>
        <v>4.8999999999999998E-3</v>
      </c>
      <c r="H30" s="37">
        <f>D30</f>
        <v>2108.4</v>
      </c>
      <c r="I30" s="36">
        <f>G30*H30</f>
        <v>10.331160000000001</v>
      </c>
      <c r="J30" s="45"/>
      <c r="K30" s="36">
        <f t="shared" si="2"/>
        <v>0.42168000000000028</v>
      </c>
      <c r="L30" s="47">
        <f t="shared" si="3"/>
        <v>4.2553191489361729E-2</v>
      </c>
    </row>
    <row r="31" spans="2:12" x14ac:dyDescent="0.2">
      <c r="B31" s="49" t="s">
        <v>62</v>
      </c>
      <c r="C31" s="50"/>
      <c r="D31" s="51"/>
      <c r="E31" s="52">
        <f>SUM(E28:E30)</f>
        <v>117.28464000000001</v>
      </c>
      <c r="F31" s="53"/>
      <c r="G31" s="50"/>
      <c r="H31" s="52"/>
      <c r="I31" s="52">
        <f>SUM(I28:I30)</f>
        <v>102.68884000000001</v>
      </c>
      <c r="J31" s="53"/>
      <c r="K31" s="54">
        <f t="shared" si="2"/>
        <v>-14.595799999999997</v>
      </c>
      <c r="L31" s="55">
        <f t="shared" si="3"/>
        <v>-0.12444766850970422</v>
      </c>
    </row>
    <row r="32" spans="2:12" x14ac:dyDescent="0.2">
      <c r="B32" s="44" t="str">
        <f>Rates!B253</f>
        <v>Wholesale Market Service Rate</v>
      </c>
      <c r="C32" s="25">
        <f>Rates!E253</f>
        <v>4.4000000000000003E-3</v>
      </c>
      <c r="D32" s="37">
        <f>C5*C7</f>
        <v>2108.4</v>
      </c>
      <c r="E32" s="36">
        <f t="shared" ref="E32:E38" si="10">C32*D32</f>
        <v>9.2769600000000008</v>
      </c>
      <c r="F32" s="45"/>
      <c r="G32" s="25">
        <f>Rates!I253</f>
        <v>4.4000000000000003E-3</v>
      </c>
      <c r="H32" s="37">
        <f>D32</f>
        <v>2108.4</v>
      </c>
      <c r="I32" s="36">
        <f t="shared" ref="I32:I38" si="11">G32*H32</f>
        <v>9.2769600000000008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Rates!B254</f>
        <v>Rural Rate Protection Charge</v>
      </c>
      <c r="C33" s="25">
        <f>Rates!E254</f>
        <v>1.1999999999999999E-3</v>
      </c>
      <c r="D33" s="37">
        <f>C5*C7</f>
        <v>2108.4</v>
      </c>
      <c r="E33" s="36">
        <f t="shared" si="10"/>
        <v>2.5300799999999999</v>
      </c>
      <c r="F33" s="45"/>
      <c r="G33" s="25">
        <f>Rates!I254</f>
        <v>1.1999999999999999E-3</v>
      </c>
      <c r="H33" s="37">
        <f t="shared" ref="H33:H34" si="12">D33</f>
        <v>2108.4</v>
      </c>
      <c r="I33" s="36">
        <f t="shared" si="11"/>
        <v>2.5300799999999999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Rates!B255</f>
        <v>Standard Supply Service - Administrative Charge (if applicable)</v>
      </c>
      <c r="C34" s="36">
        <f>Rates!E255</f>
        <v>0.25</v>
      </c>
      <c r="D34" s="37">
        <v>1</v>
      </c>
      <c r="E34" s="36">
        <f t="shared" si="10"/>
        <v>0.25</v>
      </c>
      <c r="F34" s="45"/>
      <c r="G34" s="36">
        <f>Rates!I255</f>
        <v>0.25</v>
      </c>
      <c r="H34" s="37">
        <f t="shared" si="12"/>
        <v>1</v>
      </c>
      <c r="I34" s="36">
        <f t="shared" si="11"/>
        <v>0.25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Rates!B258</f>
        <v>Debt Retirement Charge</v>
      </c>
      <c r="C35" s="25">
        <f>Rates!E261</f>
        <v>7.0000000000000001E-3</v>
      </c>
      <c r="D35" s="37">
        <f>C7</f>
        <v>2000</v>
      </c>
      <c r="E35" s="36">
        <f t="shared" si="10"/>
        <v>14</v>
      </c>
      <c r="F35" s="45"/>
      <c r="G35" s="25">
        <f>Rates!I261</f>
        <v>7.0000000000000001E-3</v>
      </c>
      <c r="H35" s="37">
        <f>D35</f>
        <v>2000</v>
      </c>
      <c r="I35" s="36">
        <f t="shared" si="11"/>
        <v>14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Rates!B271</f>
        <v>TOU - Off Peak</v>
      </c>
      <c r="C36" s="25">
        <f>Rates!E271</f>
        <v>7.4999999999999997E-2</v>
      </c>
      <c r="D36" s="37">
        <f>C7*0.64</f>
        <v>1280</v>
      </c>
      <c r="E36" s="36">
        <f t="shared" si="10"/>
        <v>96</v>
      </c>
      <c r="F36" s="45"/>
      <c r="G36" s="25">
        <f>Rates!I271</f>
        <v>7.4999999999999997E-2</v>
      </c>
      <c r="H36" s="37">
        <f>D36</f>
        <v>1280</v>
      </c>
      <c r="I36" s="36">
        <f t="shared" si="11"/>
        <v>96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Rates!B272</f>
        <v>TOU - Mid Peak</v>
      </c>
      <c r="C37" s="25">
        <f>Rates!E272</f>
        <v>0.112</v>
      </c>
      <c r="D37" s="37">
        <f>C7*0.18</f>
        <v>360</v>
      </c>
      <c r="E37" s="36">
        <f t="shared" si="10"/>
        <v>40.32</v>
      </c>
      <c r="F37" s="45"/>
      <c r="G37" s="25">
        <f>Rates!I272</f>
        <v>0.112</v>
      </c>
      <c r="H37" s="37">
        <f t="shared" ref="H37:H38" si="13">D37</f>
        <v>360</v>
      </c>
      <c r="I37" s="36">
        <f t="shared" si="11"/>
        <v>40.32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44" t="str">
        <f>Rates!B273</f>
        <v>TOU - On Peak</v>
      </c>
      <c r="C38" s="25">
        <f>Rates!E273</f>
        <v>0.13500000000000001</v>
      </c>
      <c r="D38" s="37">
        <f>C7*0.18</f>
        <v>360</v>
      </c>
      <c r="E38" s="36">
        <f t="shared" si="10"/>
        <v>48.6</v>
      </c>
      <c r="F38" s="45"/>
      <c r="G38" s="25">
        <f>Rates!I273</f>
        <v>0.13500000000000001</v>
      </c>
      <c r="H38" s="37">
        <f t="shared" si="13"/>
        <v>360</v>
      </c>
      <c r="I38" s="36">
        <f t="shared" si="11"/>
        <v>48.6</v>
      </c>
      <c r="J38" s="45"/>
      <c r="K38" s="36">
        <f t="shared" si="2"/>
        <v>0</v>
      </c>
      <c r="L38" s="47">
        <f t="shared" si="3"/>
        <v>0</v>
      </c>
    </row>
    <row r="39" spans="2:12" x14ac:dyDescent="0.2">
      <c r="B39" s="56"/>
      <c r="C39" s="51"/>
      <c r="D39" s="51"/>
      <c r="E39" s="51"/>
      <c r="F39" s="53"/>
      <c r="G39" s="51"/>
      <c r="H39" s="51"/>
      <c r="I39" s="51"/>
      <c r="J39" s="53"/>
      <c r="K39" s="54"/>
      <c r="L39" s="55"/>
    </row>
    <row r="40" spans="2:12" x14ac:dyDescent="0.2">
      <c r="B40" s="23" t="s">
        <v>63</v>
      </c>
      <c r="C40" s="35"/>
      <c r="D40" s="35"/>
      <c r="E40" s="39">
        <f>SUM(E31:E38)</f>
        <v>328.26168000000007</v>
      </c>
      <c r="F40" s="45"/>
      <c r="G40" s="35"/>
      <c r="H40" s="39"/>
      <c r="I40" s="39">
        <f>SUM(I31:I38)</f>
        <v>313.66588000000002</v>
      </c>
      <c r="J40" s="45"/>
      <c r="K40" s="36">
        <f t="shared" si="2"/>
        <v>-14.595800000000054</v>
      </c>
      <c r="L40" s="47">
        <f t="shared" si="3"/>
        <v>-4.446391671425081E-2</v>
      </c>
    </row>
    <row r="41" spans="2:12" x14ac:dyDescent="0.2">
      <c r="B41" s="44" t="str">
        <f>Rates!B277</f>
        <v>HST</v>
      </c>
      <c r="C41" s="41">
        <f>Rates!E277</f>
        <v>0.13</v>
      </c>
      <c r="D41" s="35"/>
      <c r="E41" s="42">
        <f>E40*C41</f>
        <v>42.674018400000008</v>
      </c>
      <c r="F41" s="45"/>
      <c r="G41" s="41">
        <f>Rates!I277</f>
        <v>0.13</v>
      </c>
      <c r="H41" s="35"/>
      <c r="I41" s="42">
        <f>I40*G41</f>
        <v>40.776564400000005</v>
      </c>
      <c r="J41" s="45"/>
      <c r="K41" s="36">
        <f t="shared" si="2"/>
        <v>-1.8974540000000033</v>
      </c>
      <c r="L41" s="47">
        <f t="shared" si="3"/>
        <v>-4.4463916714250727E-2</v>
      </c>
    </row>
    <row r="42" spans="2:12" x14ac:dyDescent="0.2">
      <c r="B42" s="23" t="s">
        <v>64</v>
      </c>
      <c r="C42" s="35"/>
      <c r="D42" s="35"/>
      <c r="E42" s="42">
        <f>E40+E41</f>
        <v>370.93569840000009</v>
      </c>
      <c r="F42" s="45"/>
      <c r="G42" s="35"/>
      <c r="H42" s="35"/>
      <c r="I42" s="42">
        <f>I40+I41</f>
        <v>354.4424444</v>
      </c>
      <c r="J42" s="45"/>
      <c r="K42" s="36">
        <f t="shared" si="2"/>
        <v>-16.493254000000093</v>
      </c>
      <c r="L42" s="47">
        <f t="shared" si="3"/>
        <v>-4.4463916714250894E-2</v>
      </c>
    </row>
    <row r="43" spans="2:12" x14ac:dyDescent="0.2">
      <c r="B43" s="44" t="str">
        <f>Rates!B279</f>
        <v>OCEB</v>
      </c>
      <c r="C43" s="41">
        <f>Rates!E279</f>
        <v>-0.1</v>
      </c>
      <c r="D43" s="35"/>
      <c r="E43" s="42">
        <f>E42*C43</f>
        <v>-37.093569840000008</v>
      </c>
      <c r="F43" s="45"/>
      <c r="G43" s="41">
        <f>Rates!I279</f>
        <v>-0.1</v>
      </c>
      <c r="H43" s="35"/>
      <c r="I43" s="42">
        <f>I42*G43</f>
        <v>-35.444244439999999</v>
      </c>
      <c r="J43" s="45"/>
      <c r="K43" s="36">
        <f t="shared" si="2"/>
        <v>1.6493254000000093</v>
      </c>
      <c r="L43" s="47">
        <f t="shared" si="3"/>
        <v>-4.4463916714250894E-2</v>
      </c>
    </row>
    <row r="44" spans="2:12" ht="13.5" thickBot="1" x14ac:dyDescent="0.25">
      <c r="B44" s="30" t="s">
        <v>65</v>
      </c>
      <c r="C44" s="57"/>
      <c r="D44" s="57"/>
      <c r="E44" s="58">
        <f>E42+E43</f>
        <v>333.84212856000011</v>
      </c>
      <c r="F44" s="59"/>
      <c r="G44" s="57"/>
      <c r="H44" s="57"/>
      <c r="I44" s="58">
        <f>I42+I43</f>
        <v>318.99819996000002</v>
      </c>
      <c r="J44" s="59"/>
      <c r="K44" s="60">
        <f t="shared" si="2"/>
        <v>-14.843928600000083</v>
      </c>
      <c r="L44" s="61">
        <f t="shared" si="3"/>
        <v>-4.4463916714250894E-2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9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Rates!B197</f>
        <v>General Service 50kW to 4,999kW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68620</v>
      </c>
    </row>
    <row r="8" spans="2:12" x14ac:dyDescent="0.2">
      <c r="B8" s="28" t="s">
        <v>69</v>
      </c>
      <c r="C8" s="29">
        <v>200</v>
      </c>
    </row>
    <row r="9" spans="2:12" ht="13.5" thickBot="1" x14ac:dyDescent="0.25">
      <c r="B9" s="30" t="s">
        <v>70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Rates!E198</f>
        <v>286.73</v>
      </c>
      <c r="D14" s="37">
        <f>C6</f>
        <v>1</v>
      </c>
      <c r="E14" s="36">
        <f>C14*D14</f>
        <v>286.73</v>
      </c>
      <c r="F14" s="45"/>
      <c r="G14" s="36">
        <f>Rates!I198</f>
        <v>149.51</v>
      </c>
      <c r="H14" s="37">
        <f>D14</f>
        <v>1</v>
      </c>
      <c r="I14" s="36">
        <f>G14*H14</f>
        <v>149.51</v>
      </c>
      <c r="J14" s="45"/>
      <c r="K14" s="36">
        <f>I14-E14</f>
        <v>-137.22000000000003</v>
      </c>
      <c r="L14" s="47">
        <f>IF((E14)=0," ",K14/E14)</f>
        <v>-0.47856868831304716</v>
      </c>
    </row>
    <row r="15" spans="2:12" x14ac:dyDescent="0.2">
      <c r="B15" s="44" t="str">
        <f>Rates!B7</f>
        <v>Distribution Volumetric Rate</v>
      </c>
      <c r="C15" s="25">
        <f>Rates!E199</f>
        <v>5.5975999999999999</v>
      </c>
      <c r="D15" s="38">
        <f>C8</f>
        <v>200</v>
      </c>
      <c r="E15" s="36">
        <f t="shared" ref="E15" si="0">C15*D15</f>
        <v>1119.52</v>
      </c>
      <c r="F15" s="45"/>
      <c r="G15" s="25">
        <f>Rates!I199</f>
        <v>6.5865999999999998</v>
      </c>
      <c r="H15" s="38">
        <f>D15</f>
        <v>200</v>
      </c>
      <c r="I15" s="36">
        <f t="shared" ref="I15" si="1">G15*H15</f>
        <v>1317.32</v>
      </c>
      <c r="J15" s="45"/>
      <c r="K15" s="36">
        <f t="shared" ref="K15:K39" si="2">I15-E15</f>
        <v>197.79999999999995</v>
      </c>
      <c r="L15" s="47">
        <f t="shared" ref="L15:L39" si="3">IF((E15)=0," ",K15/E15)</f>
        <v>0.17668286408460765</v>
      </c>
    </row>
    <row r="16" spans="2:12" x14ac:dyDescent="0.2">
      <c r="B16" s="49" t="s">
        <v>38</v>
      </c>
      <c r="C16" s="50"/>
      <c r="D16" s="51"/>
      <c r="E16" s="52">
        <f>SUM(E14:E15)</f>
        <v>1406.25</v>
      </c>
      <c r="F16" s="53"/>
      <c r="G16" s="50"/>
      <c r="H16" s="51"/>
      <c r="I16" s="52">
        <f>SUM(I14:I15)</f>
        <v>1466.83</v>
      </c>
      <c r="J16" s="53"/>
      <c r="K16" s="54">
        <f t="shared" si="2"/>
        <v>60.579999999999927</v>
      </c>
      <c r="L16" s="55">
        <f t="shared" si="3"/>
        <v>4.3079111111111061E-2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3719.204000000002</v>
      </c>
      <c r="E17" s="36">
        <f t="shared" ref="E17:E24" si="4">C17*D17</f>
        <v>312.04121560000016</v>
      </c>
      <c r="F17" s="45"/>
      <c r="G17" s="25">
        <f>Rates!I275</f>
        <v>8.3900000000000002E-2</v>
      </c>
      <c r="H17" s="40">
        <f>(C5-1)*C7</f>
        <v>3719.204000000002</v>
      </c>
      <c r="I17" s="36">
        <f t="shared" ref="I17:I24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Rates!E201</f>
        <v>0.3241</v>
      </c>
      <c r="D18" s="37">
        <f>C8</f>
        <v>200</v>
      </c>
      <c r="E18" s="36">
        <f t="shared" si="4"/>
        <v>64.819999999999993</v>
      </c>
      <c r="F18" s="45"/>
      <c r="G18" s="25">
        <f>Rates!I201</f>
        <v>0</v>
      </c>
      <c r="H18" s="37">
        <f t="shared" ref="H18:H24" si="6">D18</f>
        <v>200</v>
      </c>
      <c r="I18" s="36">
        <f t="shared" si="5"/>
        <v>0</v>
      </c>
      <c r="J18" s="45"/>
      <c r="K18" s="36">
        <f t="shared" si="2"/>
        <v>-64.819999999999993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Rates!E202</f>
        <v>0.40620000000000001</v>
      </c>
      <c r="D19" s="37">
        <f>C8</f>
        <v>200</v>
      </c>
      <c r="E19" s="36">
        <f t="shared" si="4"/>
        <v>81.239999999999995</v>
      </c>
      <c r="F19" s="45"/>
      <c r="G19" s="25">
        <f>Rates!I202</f>
        <v>0</v>
      </c>
      <c r="H19" s="37">
        <f t="shared" si="6"/>
        <v>200</v>
      </c>
      <c r="I19" s="36">
        <f t="shared" si="5"/>
        <v>0</v>
      </c>
      <c r="J19" s="45"/>
      <c r="K19" s="36">
        <f t="shared" si="2"/>
        <v>-81.239999999999995</v>
      </c>
      <c r="L19" s="47">
        <f t="shared" si="3"/>
        <v>-1</v>
      </c>
    </row>
    <row r="20" spans="2:12" x14ac:dyDescent="0.2">
      <c r="B20" s="48" t="str">
        <f>Rates!B203</f>
        <v>Rate Rider for Deferral/Variance Account Disposition (2014) - effective until December 31, 2016</v>
      </c>
      <c r="C20" s="25">
        <f>Rates!E203</f>
        <v>0</v>
      </c>
      <c r="D20" s="37">
        <f>C8</f>
        <v>200</v>
      </c>
      <c r="E20" s="36">
        <f t="shared" si="4"/>
        <v>0</v>
      </c>
      <c r="F20" s="45"/>
      <c r="G20" s="25">
        <f>Rates!I203</f>
        <v>-3.8399999999999997E-2</v>
      </c>
      <c r="H20" s="37">
        <f t="shared" si="6"/>
        <v>200</v>
      </c>
      <c r="I20" s="36">
        <f t="shared" si="5"/>
        <v>-7.68</v>
      </c>
      <c r="J20" s="45"/>
      <c r="K20" s="36">
        <f t="shared" ref="K20:K23" si="7">I20-E20</f>
        <v>-7.68</v>
      </c>
      <c r="L20" s="47" t="str">
        <f t="shared" ref="L20:L23" si="8">IF((E20)=0," ",K20/E20)</f>
        <v xml:space="preserve"> </v>
      </c>
    </row>
    <row r="21" spans="2:12" ht="25.5" x14ac:dyDescent="0.2">
      <c r="B21" s="48" t="str">
        <f>Rates!B204</f>
        <v>Rate Rider for Global Adjustment Sub-Account Disposition (2014) - effective until December 31, 2016 Applicable only for Non-RPP Customers</v>
      </c>
      <c r="C21" s="25">
        <f>Rates!E204</f>
        <v>0</v>
      </c>
      <c r="D21" s="37">
        <f>C8</f>
        <v>200</v>
      </c>
      <c r="E21" s="36">
        <f t="shared" si="4"/>
        <v>0</v>
      </c>
      <c r="F21" s="45"/>
      <c r="G21" s="25">
        <f>Rates!I204</f>
        <v>-0.67420000000000002</v>
      </c>
      <c r="H21" s="37">
        <f t="shared" si="6"/>
        <v>200</v>
      </c>
      <c r="I21" s="36">
        <f t="shared" si="5"/>
        <v>-134.84</v>
      </c>
      <c r="J21" s="45"/>
      <c r="K21" s="36">
        <f t="shared" si="7"/>
        <v>-134.84</v>
      </c>
      <c r="L21" s="47" t="str">
        <f t="shared" si="8"/>
        <v xml:space="preserve"> </v>
      </c>
    </row>
    <row r="22" spans="2:12" x14ac:dyDescent="0.2">
      <c r="B22" s="44" t="str">
        <f>Rates!B205</f>
        <v>Rate Rider for the Disposition of Deferred PILs Variance Account 1562 - effective until December 31, 2016</v>
      </c>
      <c r="C22" s="25">
        <f>Rates!E205</f>
        <v>8.1100000000000005E-2</v>
      </c>
      <c r="D22" s="37">
        <f>C8</f>
        <v>200</v>
      </c>
      <c r="E22" s="36">
        <f t="shared" si="4"/>
        <v>16.220000000000002</v>
      </c>
      <c r="F22" s="45"/>
      <c r="G22" s="25">
        <f>Rates!I205</f>
        <v>8.1100000000000005E-2</v>
      </c>
      <c r="H22" s="37">
        <f t="shared" si="6"/>
        <v>200</v>
      </c>
      <c r="I22" s="36">
        <f t="shared" si="5"/>
        <v>16.220000000000002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Rates!B206</f>
        <v>Rate Rider for Loss Revenue Adjustment Mechanism (LRAM) - effective until December 31, 2015</v>
      </c>
      <c r="C23" s="25">
        <f>Rates!E206</f>
        <v>0</v>
      </c>
      <c r="D23" s="37">
        <f>C8</f>
        <v>200</v>
      </c>
      <c r="E23" s="36">
        <f t="shared" si="4"/>
        <v>0</v>
      </c>
      <c r="F23" s="45"/>
      <c r="G23" s="25">
        <f>Rates!I206</f>
        <v>4.41E-2</v>
      </c>
      <c r="H23" s="37">
        <f t="shared" si="6"/>
        <v>200</v>
      </c>
      <c r="I23" s="36">
        <f t="shared" si="5"/>
        <v>8.82</v>
      </c>
      <c r="J23" s="45"/>
      <c r="K23" s="36">
        <f t="shared" si="7"/>
        <v>8.82</v>
      </c>
      <c r="L23" s="47" t="str">
        <f t="shared" si="8"/>
        <v xml:space="preserve"> </v>
      </c>
    </row>
    <row r="24" spans="2:12" x14ac:dyDescent="0.2">
      <c r="B24" s="44" t="str">
        <f>Rates!B10</f>
        <v>Low Voltage Service Rate</v>
      </c>
      <c r="C24" s="25">
        <f>Rates!E200</f>
        <v>7.3499999999999996E-2</v>
      </c>
      <c r="D24" s="37">
        <f>C8</f>
        <v>200</v>
      </c>
      <c r="E24" s="36">
        <f t="shared" si="4"/>
        <v>14.7</v>
      </c>
      <c r="F24" s="45"/>
      <c r="G24" s="25">
        <f>Rates!I200</f>
        <v>7.3499999999999996E-2</v>
      </c>
      <c r="H24" s="37">
        <f t="shared" si="6"/>
        <v>200</v>
      </c>
      <c r="I24" s="36">
        <f t="shared" si="5"/>
        <v>14.7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61</v>
      </c>
      <c r="C25" s="50"/>
      <c r="D25" s="51"/>
      <c r="E25" s="52">
        <f>SUM(E16:E24)</f>
        <v>1895.2712156000002</v>
      </c>
      <c r="F25" s="53"/>
      <c r="G25" s="50"/>
      <c r="H25" s="51"/>
      <c r="I25" s="52">
        <f>SUM(I16:I24)</f>
        <v>1676.0912156000002</v>
      </c>
      <c r="J25" s="53"/>
      <c r="K25" s="54">
        <f t="shared" si="2"/>
        <v>-219.18000000000006</v>
      </c>
      <c r="L25" s="55">
        <f t="shared" si="3"/>
        <v>-0.11564571771888205</v>
      </c>
    </row>
    <row r="26" spans="2:12" x14ac:dyDescent="0.2">
      <c r="B26" s="44" t="str">
        <f>Rates!B16</f>
        <v>Retail Transmission Rate - Network Service Rate</v>
      </c>
      <c r="C26" s="25">
        <f>Rates!E207</f>
        <v>2.5400999999999998</v>
      </c>
      <c r="D26" s="37">
        <f>C8</f>
        <v>200</v>
      </c>
      <c r="E26" s="36">
        <f>C26*D26</f>
        <v>508.02</v>
      </c>
      <c r="F26" s="45"/>
      <c r="G26" s="25">
        <f>Rates!I207</f>
        <v>2.6558999999999999</v>
      </c>
      <c r="H26" s="37">
        <f>D26</f>
        <v>200</v>
      </c>
      <c r="I26" s="36">
        <f>G26*H26</f>
        <v>531.17999999999995</v>
      </c>
      <c r="J26" s="45"/>
      <c r="K26" s="36">
        <f t="shared" si="2"/>
        <v>23.159999999999968</v>
      </c>
      <c r="L26" s="47">
        <f t="shared" si="3"/>
        <v>4.5588756348175205E-2</v>
      </c>
    </row>
    <row r="27" spans="2:12" x14ac:dyDescent="0.2">
      <c r="B27" s="44" t="str">
        <f>Rates!B17</f>
        <v>Retail Transmission Rate - Line and Transformation Connection Service Rate</v>
      </c>
      <c r="C27" s="25">
        <f>Rates!E208</f>
        <v>1.9351</v>
      </c>
      <c r="D27" s="37">
        <f>C8</f>
        <v>200</v>
      </c>
      <c r="E27" s="36">
        <f>C27*D27</f>
        <v>387.02</v>
      </c>
      <c r="F27" s="45"/>
      <c r="G27" s="25">
        <f>Rates!I208</f>
        <v>2.0373000000000001</v>
      </c>
      <c r="H27" s="37">
        <f>D27</f>
        <v>200</v>
      </c>
      <c r="I27" s="36">
        <f>G27*H27</f>
        <v>407.46000000000004</v>
      </c>
      <c r="J27" s="45"/>
      <c r="K27" s="36">
        <f t="shared" si="2"/>
        <v>20.440000000000055</v>
      </c>
      <c r="L27" s="47">
        <f t="shared" si="3"/>
        <v>5.2813808071934414E-2</v>
      </c>
    </row>
    <row r="28" spans="2:12" x14ac:dyDescent="0.2">
      <c r="B28" s="49" t="s">
        <v>62</v>
      </c>
      <c r="C28" s="50"/>
      <c r="D28" s="51"/>
      <c r="E28" s="52">
        <f>SUM(E25:E27)</f>
        <v>2790.3112156000002</v>
      </c>
      <c r="F28" s="53"/>
      <c r="G28" s="50"/>
      <c r="H28" s="52"/>
      <c r="I28" s="52">
        <f>SUM(I25:I27)</f>
        <v>2614.7312156000003</v>
      </c>
      <c r="J28" s="53"/>
      <c r="K28" s="54">
        <f t="shared" si="2"/>
        <v>-175.57999999999993</v>
      </c>
      <c r="L28" s="55">
        <f t="shared" si="3"/>
        <v>-6.2924880571877354E-2</v>
      </c>
    </row>
    <row r="29" spans="2:12" x14ac:dyDescent="0.2">
      <c r="B29" s="44" t="str">
        <f>Rates!B253</f>
        <v>Wholesale Market Service Rate</v>
      </c>
      <c r="C29" s="25">
        <f>Rates!E253</f>
        <v>4.4000000000000003E-3</v>
      </c>
      <c r="D29" s="37">
        <f>C5*C7</f>
        <v>72339.203999999998</v>
      </c>
      <c r="E29" s="36">
        <f t="shared" ref="E29:E33" si="9">C29*D29</f>
        <v>318.29249759999999</v>
      </c>
      <c r="F29" s="45"/>
      <c r="G29" s="25">
        <f>Rates!I253</f>
        <v>4.4000000000000003E-3</v>
      </c>
      <c r="H29" s="37">
        <f>D29</f>
        <v>72339.203999999998</v>
      </c>
      <c r="I29" s="36">
        <f t="shared" ref="I29:I33" si="10">G29*H29</f>
        <v>318.29249759999999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Rates!B254</f>
        <v>Rural Rate Protection Charge</v>
      </c>
      <c r="C30" s="25">
        <f>Rates!E254</f>
        <v>1.1999999999999999E-3</v>
      </c>
      <c r="D30" s="37">
        <f>C5*C7</f>
        <v>72339.203999999998</v>
      </c>
      <c r="E30" s="36">
        <f t="shared" si="9"/>
        <v>86.807044799999986</v>
      </c>
      <c r="F30" s="45"/>
      <c r="G30" s="25">
        <f>Rates!I254</f>
        <v>1.1999999999999999E-3</v>
      </c>
      <c r="H30" s="37">
        <f t="shared" ref="H30:H31" si="11">D30</f>
        <v>72339.203999999998</v>
      </c>
      <c r="I30" s="36">
        <f t="shared" si="10"/>
        <v>86.807044799999986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Rates!B255</f>
        <v>Standard Supply Service - Administrative Charge (if applicable)</v>
      </c>
      <c r="C31" s="36">
        <f>Rates!E255</f>
        <v>0.25</v>
      </c>
      <c r="D31" s="37">
        <v>1</v>
      </c>
      <c r="E31" s="36">
        <f t="shared" si="9"/>
        <v>0.25</v>
      </c>
      <c r="F31" s="45"/>
      <c r="G31" s="36">
        <f>Rates!I255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Rates!B258</f>
        <v>Debt Retirement Charge</v>
      </c>
      <c r="C32" s="25">
        <f>Rates!E261</f>
        <v>7.0000000000000001E-3</v>
      </c>
      <c r="D32" s="37">
        <f>C7</f>
        <v>68620</v>
      </c>
      <c r="E32" s="36">
        <f t="shared" si="9"/>
        <v>480.34000000000003</v>
      </c>
      <c r="F32" s="45"/>
      <c r="G32" s="25">
        <f>Rates!I261</f>
        <v>7.0000000000000001E-3</v>
      </c>
      <c r="H32" s="37">
        <f>D32</f>
        <v>68620</v>
      </c>
      <c r="I32" s="36">
        <f t="shared" si="10"/>
        <v>480.34000000000003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Rates!B275</f>
        <v>Energy Price</v>
      </c>
      <c r="C33" s="25">
        <f>Rates!E275</f>
        <v>8.3900000000000002E-2</v>
      </c>
      <c r="D33" s="37">
        <f>C7</f>
        <v>68620</v>
      </c>
      <c r="E33" s="36">
        <f t="shared" si="9"/>
        <v>5757.2179999999998</v>
      </c>
      <c r="F33" s="45"/>
      <c r="G33" s="25">
        <f>Rates!I275</f>
        <v>8.3900000000000002E-2</v>
      </c>
      <c r="H33" s="37">
        <f>D33</f>
        <v>68620</v>
      </c>
      <c r="I33" s="36">
        <f t="shared" si="10"/>
        <v>5757.2179999999998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63</v>
      </c>
      <c r="C35" s="35"/>
      <c r="D35" s="35"/>
      <c r="E35" s="39">
        <f>SUM(E28:E33)</f>
        <v>9433.2187579999991</v>
      </c>
      <c r="F35" s="45"/>
      <c r="G35" s="35"/>
      <c r="H35" s="39"/>
      <c r="I35" s="39">
        <f>SUM(I28:I33)</f>
        <v>9257.638758000001</v>
      </c>
      <c r="J35" s="45"/>
      <c r="K35" s="36">
        <f t="shared" si="2"/>
        <v>-175.57999999999811</v>
      </c>
      <c r="L35" s="47">
        <f t="shared" si="3"/>
        <v>-1.8612946917094926E-2</v>
      </c>
    </row>
    <row r="36" spans="2:12" x14ac:dyDescent="0.2">
      <c r="B36" s="44" t="str">
        <f>Rates!B277</f>
        <v>HST</v>
      </c>
      <c r="C36" s="41">
        <f>Rates!E277</f>
        <v>0.13</v>
      </c>
      <c r="D36" s="35"/>
      <c r="E36" s="42">
        <f>E35*C36</f>
        <v>1226.31843854</v>
      </c>
      <c r="F36" s="45"/>
      <c r="G36" s="41">
        <f>Rates!I277</f>
        <v>0.13</v>
      </c>
      <c r="H36" s="35"/>
      <c r="I36" s="42">
        <f>I35*G36</f>
        <v>1203.4930385400003</v>
      </c>
      <c r="J36" s="45"/>
      <c r="K36" s="36">
        <f t="shared" si="2"/>
        <v>-22.825399999999718</v>
      </c>
      <c r="L36" s="47">
        <f t="shared" si="3"/>
        <v>-1.8612946917094895E-2</v>
      </c>
    </row>
    <row r="37" spans="2:12" x14ac:dyDescent="0.2">
      <c r="B37" s="23" t="s">
        <v>64</v>
      </c>
      <c r="C37" s="35"/>
      <c r="D37" s="35"/>
      <c r="E37" s="42">
        <f>E35+E36</f>
        <v>10659.537196539999</v>
      </c>
      <c r="F37" s="45"/>
      <c r="G37" s="35"/>
      <c r="H37" s="35"/>
      <c r="I37" s="42">
        <f>I35+I36</f>
        <v>10461.131796540001</v>
      </c>
      <c r="J37" s="45"/>
      <c r="K37" s="36">
        <f t="shared" si="2"/>
        <v>-198.40539999999783</v>
      </c>
      <c r="L37" s="47">
        <f t="shared" si="3"/>
        <v>-1.8612946917094923E-2</v>
      </c>
    </row>
    <row r="38" spans="2:12" x14ac:dyDescent="0.2">
      <c r="B38" s="44" t="str">
        <f>Rates!B279</f>
        <v>OCEB</v>
      </c>
      <c r="C38" s="41">
        <f>Rates!E279</f>
        <v>-0.1</v>
      </c>
      <c r="D38" s="35"/>
      <c r="E38" s="42">
        <f>E37*C38</f>
        <v>-1065.953719654</v>
      </c>
      <c r="F38" s="45"/>
      <c r="G38" s="41">
        <f>Rates!I279</f>
        <v>-0.1</v>
      </c>
      <c r="H38" s="35"/>
      <c r="I38" s="42">
        <f>I37*G38</f>
        <v>-1046.1131796540001</v>
      </c>
      <c r="J38" s="45"/>
      <c r="K38" s="36">
        <f t="shared" si="2"/>
        <v>19.840539999999919</v>
      </c>
      <c r="L38" s="47">
        <f t="shared" si="3"/>
        <v>-1.8612946917095047E-2</v>
      </c>
    </row>
    <row r="39" spans="2:12" ht="13.5" thickBot="1" x14ac:dyDescent="0.25">
      <c r="B39" s="30" t="s">
        <v>65</v>
      </c>
      <c r="C39" s="57"/>
      <c r="D39" s="57"/>
      <c r="E39" s="58">
        <f>E37+E38</f>
        <v>9593.5834768859986</v>
      </c>
      <c r="F39" s="59"/>
      <c r="G39" s="57"/>
      <c r="H39" s="57"/>
      <c r="I39" s="58">
        <f>I37+I38</f>
        <v>9415.0186168860018</v>
      </c>
      <c r="J39" s="59"/>
      <c r="K39" s="60">
        <f t="shared" si="2"/>
        <v>-178.56485999999677</v>
      </c>
      <c r="L39" s="61">
        <f t="shared" si="3"/>
        <v>-1.8612946917094791E-2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.57031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Rates!B210</f>
        <v xml:space="preserve">Unmetered Scattered Load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64" t="s">
        <v>32</v>
      </c>
      <c r="L12" s="65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Rates!E211</f>
        <v>42.16</v>
      </c>
      <c r="D14" s="37">
        <f>C6</f>
        <v>1</v>
      </c>
      <c r="E14" s="36">
        <f>C14*D14</f>
        <v>42.16</v>
      </c>
      <c r="F14" s="45"/>
      <c r="G14" s="36">
        <f>Rates!I211</f>
        <v>37.47</v>
      </c>
      <c r="H14" s="37">
        <f>D14</f>
        <v>1</v>
      </c>
      <c r="I14" s="36">
        <f>G14*H14</f>
        <v>37.47</v>
      </c>
      <c r="J14" s="45"/>
      <c r="K14" s="36">
        <f>I14-E14</f>
        <v>-4.6899999999999977</v>
      </c>
      <c r="L14" s="47">
        <f>IF((E14)=0," ",K14/E14)</f>
        <v>-0.11124288425047434</v>
      </c>
    </row>
    <row r="15" spans="2:12" x14ac:dyDescent="0.2">
      <c r="B15" s="44" t="str">
        <f>Rates!B7</f>
        <v>Distribution Volumetric Rate</v>
      </c>
      <c r="C15" s="25">
        <f>Rates!E212</f>
        <v>2.53E-2</v>
      </c>
      <c r="D15" s="38">
        <f>C7</f>
        <v>800</v>
      </c>
      <c r="E15" s="36">
        <f t="shared" ref="E15" si="0">C15*D15</f>
        <v>20.239999999999998</v>
      </c>
      <c r="F15" s="45"/>
      <c r="G15" s="25">
        <f>Rates!I212</f>
        <v>2.1999999999999999E-2</v>
      </c>
      <c r="H15" s="38">
        <f>D15</f>
        <v>800</v>
      </c>
      <c r="I15" s="36">
        <f t="shared" ref="I15" si="1">G15*H15</f>
        <v>17.599999999999998</v>
      </c>
      <c r="J15" s="45"/>
      <c r="K15" s="36">
        <f t="shared" ref="K15:K41" si="2">I15-E15</f>
        <v>-2.6400000000000006</v>
      </c>
      <c r="L15" s="47">
        <f t="shared" ref="L15:L41" si="3">IF((E15)=0," ",K15/E15)</f>
        <v>-0.1304347826086957</v>
      </c>
    </row>
    <row r="16" spans="2:12" x14ac:dyDescent="0.2">
      <c r="B16" s="49" t="s">
        <v>38</v>
      </c>
      <c r="C16" s="50"/>
      <c r="D16" s="51"/>
      <c r="E16" s="52">
        <f>SUM(E14:E15)</f>
        <v>62.399999999999991</v>
      </c>
      <c r="F16" s="53"/>
      <c r="G16" s="50"/>
      <c r="H16" s="51"/>
      <c r="I16" s="52">
        <f>SUM(I14:I15)</f>
        <v>55.069999999999993</v>
      </c>
      <c r="J16" s="53"/>
      <c r="K16" s="54">
        <f t="shared" si="2"/>
        <v>-7.3299999999999983</v>
      </c>
      <c r="L16" s="55">
        <f t="shared" si="3"/>
        <v>-0.1174679487179487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43.360000000000021</v>
      </c>
      <c r="E17" s="36">
        <f t="shared" ref="E17:E24" si="4">C17*D17</f>
        <v>3.637904000000002</v>
      </c>
      <c r="F17" s="45"/>
      <c r="G17" s="25">
        <f>Rates!I275</f>
        <v>8.3900000000000002E-2</v>
      </c>
      <c r="H17" s="40">
        <f>(C5-1)*C7</f>
        <v>43.360000000000021</v>
      </c>
      <c r="I17" s="36">
        <f t="shared" ref="I17:I24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Rates!E214</f>
        <v>1.1000000000000001E-3</v>
      </c>
      <c r="D18" s="37">
        <f>C7</f>
        <v>800</v>
      </c>
      <c r="E18" s="36">
        <f t="shared" si="4"/>
        <v>0.88</v>
      </c>
      <c r="F18" s="45"/>
      <c r="G18" s="25">
        <f>Rates!I214</f>
        <v>0</v>
      </c>
      <c r="H18" s="37">
        <f t="shared" ref="H18:H24" si="6">D18</f>
        <v>800</v>
      </c>
      <c r="I18" s="36">
        <f t="shared" si="5"/>
        <v>0</v>
      </c>
      <c r="J18" s="45"/>
      <c r="K18" s="36">
        <f t="shared" si="2"/>
        <v>-0.88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Rates!E215</f>
        <v>1.2999999999999999E-3</v>
      </c>
      <c r="D19" s="37">
        <f>C7</f>
        <v>800</v>
      </c>
      <c r="E19" s="36">
        <f t="shared" si="4"/>
        <v>1.04</v>
      </c>
      <c r="F19" s="45"/>
      <c r="G19" s="25">
        <f>Rates!I215</f>
        <v>0</v>
      </c>
      <c r="H19" s="37">
        <f t="shared" si="6"/>
        <v>800</v>
      </c>
      <c r="I19" s="36">
        <f t="shared" si="5"/>
        <v>0</v>
      </c>
      <c r="J19" s="45"/>
      <c r="K19" s="36">
        <f t="shared" si="2"/>
        <v>-1.04</v>
      </c>
      <c r="L19" s="47">
        <f t="shared" si="3"/>
        <v>-1</v>
      </c>
    </row>
    <row r="20" spans="2:12" x14ac:dyDescent="0.2">
      <c r="B20" s="48" t="str">
        <f>Rates!B216</f>
        <v>Rate Rider for Deferral/Variance Account Disposition (2014) - effective until December 31, 2016</v>
      </c>
      <c r="C20" s="25">
        <f>Rates!E216</f>
        <v>0</v>
      </c>
      <c r="D20" s="37">
        <f>C7</f>
        <v>800</v>
      </c>
      <c r="E20" s="36">
        <f t="shared" si="4"/>
        <v>0</v>
      </c>
      <c r="F20" s="45"/>
      <c r="G20" s="25">
        <f>Rates!I216</f>
        <v>-8.0000000000000004E-4</v>
      </c>
      <c r="H20" s="37">
        <f t="shared" si="6"/>
        <v>800</v>
      </c>
      <c r="I20" s="36">
        <f t="shared" si="5"/>
        <v>-0.64</v>
      </c>
      <c r="J20" s="45"/>
      <c r="K20" s="36">
        <f t="shared" ref="K20:K23" si="7">I20-E20</f>
        <v>-0.64</v>
      </c>
      <c r="L20" s="47" t="str">
        <f t="shared" ref="L20:L23" si="8">IF((E20)=0," ",K20/E20)</f>
        <v xml:space="preserve"> </v>
      </c>
    </row>
    <row r="21" spans="2:12" ht="25.5" x14ac:dyDescent="0.2">
      <c r="B21" s="48" t="str">
        <f>Rates!B217</f>
        <v>Rate Rider for Global Adjustment Sub-Account Disposition (2014) - effective until December 31, 2016 Applicable only for Non-RPP Customers</v>
      </c>
      <c r="C21" s="25">
        <f>Rates!E217</f>
        <v>0</v>
      </c>
      <c r="D21" s="37">
        <f>C7</f>
        <v>800</v>
      </c>
      <c r="E21" s="36">
        <f t="shared" si="4"/>
        <v>0</v>
      </c>
      <c r="F21" s="45"/>
      <c r="G21" s="25">
        <f>Rates!I217</f>
        <v>-2.3E-3</v>
      </c>
      <c r="H21" s="37">
        <f t="shared" si="6"/>
        <v>800</v>
      </c>
      <c r="I21" s="36">
        <f t="shared" si="5"/>
        <v>-1.8399999999999999</v>
      </c>
      <c r="J21" s="45"/>
      <c r="K21" s="36">
        <f t="shared" si="7"/>
        <v>-1.8399999999999999</v>
      </c>
      <c r="L21" s="47" t="str">
        <f t="shared" si="8"/>
        <v xml:space="preserve"> </v>
      </c>
    </row>
    <row r="22" spans="2:12" x14ac:dyDescent="0.2">
      <c r="B22" s="44" t="str">
        <f>Rates!B177</f>
        <v>Rate Rider for the Disposition of Deferred PILs Variance Account 1562 - effective until December 31, 2016</v>
      </c>
      <c r="C22" s="25">
        <f>Rates!E218</f>
        <v>5.9999999999999995E-4</v>
      </c>
      <c r="D22" s="37">
        <f>C7</f>
        <v>800</v>
      </c>
      <c r="E22" s="36">
        <f t="shared" si="4"/>
        <v>0.48</v>
      </c>
      <c r="F22" s="45"/>
      <c r="G22" s="25">
        <f>Rates!I218</f>
        <v>5.9999999999999995E-4</v>
      </c>
      <c r="H22" s="37">
        <f t="shared" si="6"/>
        <v>800</v>
      </c>
      <c r="I22" s="36">
        <f t="shared" si="5"/>
        <v>0.48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Rates!B219</f>
        <v>Rate Rider for Loss Revenue Adjustment Mechanism (LRAM) - effective until December 31, 2015</v>
      </c>
      <c r="C23" s="25">
        <f>Rates!E219</f>
        <v>0</v>
      </c>
      <c r="D23" s="37">
        <f>C7</f>
        <v>800</v>
      </c>
      <c r="E23" s="36">
        <f t="shared" si="4"/>
        <v>0</v>
      </c>
      <c r="F23" s="45"/>
      <c r="G23" s="25">
        <f>Rates!I219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Rates!B10</f>
        <v>Low Voltage Service Rate</v>
      </c>
      <c r="C24" s="25">
        <f>Rates!E213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Rates!I213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61</v>
      </c>
      <c r="C25" s="50"/>
      <c r="D25" s="51"/>
      <c r="E25" s="52">
        <f>SUM(E16:E24)</f>
        <v>68.597904</v>
      </c>
      <c r="F25" s="53"/>
      <c r="G25" s="50"/>
      <c r="H25" s="51"/>
      <c r="I25" s="52">
        <f>SUM(I16:I24)</f>
        <v>56.867903999999989</v>
      </c>
      <c r="J25" s="53"/>
      <c r="K25" s="54">
        <f t="shared" si="2"/>
        <v>-11.730000000000011</v>
      </c>
      <c r="L25" s="55">
        <f t="shared" si="3"/>
        <v>-0.17099647825974407</v>
      </c>
    </row>
    <row r="26" spans="2:12" x14ac:dyDescent="0.2">
      <c r="B26" s="44" t="str">
        <f>Rates!B16</f>
        <v>Retail Transmission Rate - Network Service Rate</v>
      </c>
      <c r="C26" s="25">
        <f>Rates!E220</f>
        <v>6.1999999999999998E-3</v>
      </c>
      <c r="D26" s="37">
        <f>C7*C5</f>
        <v>843.36</v>
      </c>
      <c r="E26" s="36">
        <f>C26*D26</f>
        <v>5.2288319999999997</v>
      </c>
      <c r="F26" s="45"/>
      <c r="G26" s="25">
        <f>Rates!I220</f>
        <v>6.4999999999999997E-3</v>
      </c>
      <c r="H26" s="37">
        <f>D26</f>
        <v>843.36</v>
      </c>
      <c r="I26" s="36">
        <f>G26*H26</f>
        <v>5.48184</v>
      </c>
      <c r="J26" s="45"/>
      <c r="K26" s="36">
        <f t="shared" si="2"/>
        <v>0.25300800000000034</v>
      </c>
      <c r="L26" s="47">
        <f t="shared" si="3"/>
        <v>4.8387096774193616E-2</v>
      </c>
    </row>
    <row r="27" spans="2:12" x14ac:dyDescent="0.2">
      <c r="B27" s="44" t="str">
        <f>Rates!B17</f>
        <v>Retail Transmission Rate - Line and Transformation Connection Service Rate</v>
      </c>
      <c r="C27" s="25">
        <f>Rates!E221</f>
        <v>4.7999999999999996E-3</v>
      </c>
      <c r="D27" s="37">
        <f>C7*C5</f>
        <v>843.36</v>
      </c>
      <c r="E27" s="36">
        <f>C27*D27</f>
        <v>4.0481279999999993</v>
      </c>
      <c r="F27" s="45"/>
      <c r="G27" s="25">
        <f>Rates!I221</f>
        <v>5.1000000000000004E-3</v>
      </c>
      <c r="H27" s="37">
        <f>D27</f>
        <v>843.36</v>
      </c>
      <c r="I27" s="36">
        <f>G27*H27</f>
        <v>4.3011360000000005</v>
      </c>
      <c r="J27" s="45"/>
      <c r="K27" s="36">
        <f t="shared" si="2"/>
        <v>0.25300800000000123</v>
      </c>
      <c r="L27" s="47">
        <f t="shared" si="3"/>
        <v>6.2500000000000319E-2</v>
      </c>
    </row>
    <row r="28" spans="2:12" x14ac:dyDescent="0.2">
      <c r="B28" s="49" t="s">
        <v>62</v>
      </c>
      <c r="C28" s="50"/>
      <c r="D28" s="51"/>
      <c r="E28" s="52">
        <f>SUM(E25:E27)</f>
        <v>77.874864000000002</v>
      </c>
      <c r="F28" s="53"/>
      <c r="G28" s="50"/>
      <c r="H28" s="52"/>
      <c r="I28" s="52">
        <f>SUM(I25:I27)</f>
        <v>66.650879999999987</v>
      </c>
      <c r="J28" s="53"/>
      <c r="K28" s="54">
        <f t="shared" si="2"/>
        <v>-11.223984000000016</v>
      </c>
      <c r="L28" s="55">
        <f t="shared" si="3"/>
        <v>-0.14412845716173597</v>
      </c>
    </row>
    <row r="29" spans="2:12" x14ac:dyDescent="0.2">
      <c r="B29" s="44" t="str">
        <f>Rates!B253</f>
        <v>Wholesale Market Service Rate</v>
      </c>
      <c r="C29" s="25">
        <f>Rates!E253</f>
        <v>4.4000000000000003E-3</v>
      </c>
      <c r="D29" s="37">
        <f>C5*C7</f>
        <v>843.36</v>
      </c>
      <c r="E29" s="36">
        <f t="shared" ref="E29:E35" si="9">C29*D29</f>
        <v>3.7107840000000003</v>
      </c>
      <c r="F29" s="45"/>
      <c r="G29" s="25">
        <f>Rates!I253</f>
        <v>4.4000000000000003E-3</v>
      </c>
      <c r="H29" s="37">
        <f>D29</f>
        <v>843.36</v>
      </c>
      <c r="I29" s="36">
        <f t="shared" ref="I29:I35" si="10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Rates!B254</f>
        <v>Rural Rate Protection Charge</v>
      </c>
      <c r="C30" s="25">
        <f>Rates!E254</f>
        <v>1.1999999999999999E-3</v>
      </c>
      <c r="D30" s="37">
        <f>C5*C7</f>
        <v>843.36</v>
      </c>
      <c r="E30" s="36">
        <f t="shared" si="9"/>
        <v>1.0120319999999998</v>
      </c>
      <c r="F30" s="45"/>
      <c r="G30" s="25">
        <f>Rates!I254</f>
        <v>1.1999999999999999E-3</v>
      </c>
      <c r="H30" s="37">
        <f t="shared" ref="H30:H31" si="11">D30</f>
        <v>843.36</v>
      </c>
      <c r="I30" s="36">
        <f t="shared" si="10"/>
        <v>1.0120319999999998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Rates!B255</f>
        <v>Standard Supply Service - Administrative Charge (if applicable)</v>
      </c>
      <c r="C31" s="36">
        <f>Rates!E255</f>
        <v>0.25</v>
      </c>
      <c r="D31" s="37">
        <v>1</v>
      </c>
      <c r="E31" s="36">
        <f t="shared" si="9"/>
        <v>0.25</v>
      </c>
      <c r="F31" s="45"/>
      <c r="G31" s="36">
        <f>Rates!I255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Rates!B258</f>
        <v>Debt Retirement Charge</v>
      </c>
      <c r="C32" s="25">
        <f>Rates!E261</f>
        <v>7.0000000000000001E-3</v>
      </c>
      <c r="D32" s="37">
        <f>C7</f>
        <v>800</v>
      </c>
      <c r="E32" s="36">
        <f t="shared" si="9"/>
        <v>5.6000000000000005</v>
      </c>
      <c r="F32" s="45"/>
      <c r="G32" s="25">
        <f>Rates!I261</f>
        <v>7.0000000000000001E-3</v>
      </c>
      <c r="H32" s="37">
        <f>D32</f>
        <v>800</v>
      </c>
      <c r="I32" s="36">
        <f t="shared" si="10"/>
        <v>5.6000000000000005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Rates!B271</f>
        <v>TOU - Off Peak</v>
      </c>
      <c r="C33" s="25">
        <f>Rates!E271</f>
        <v>7.4999999999999997E-2</v>
      </c>
      <c r="D33" s="37">
        <f>C7*0.64</f>
        <v>512</v>
      </c>
      <c r="E33" s="36">
        <f t="shared" si="9"/>
        <v>38.4</v>
      </c>
      <c r="F33" s="45"/>
      <c r="G33" s="25">
        <f>Rates!I271</f>
        <v>7.4999999999999997E-2</v>
      </c>
      <c r="H33" s="37">
        <f>D33</f>
        <v>512</v>
      </c>
      <c r="I33" s="36">
        <f t="shared" si="10"/>
        <v>38.4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Rates!B272</f>
        <v>TOU - Mid Peak</v>
      </c>
      <c r="C34" s="25">
        <f>Rates!E272</f>
        <v>0.112</v>
      </c>
      <c r="D34" s="37">
        <f>C7*0.18</f>
        <v>144</v>
      </c>
      <c r="E34" s="36">
        <f t="shared" si="9"/>
        <v>16.128</v>
      </c>
      <c r="F34" s="45"/>
      <c r="G34" s="25">
        <f>Rates!I272</f>
        <v>0.112</v>
      </c>
      <c r="H34" s="37">
        <f t="shared" ref="H34:H35" si="12">D34</f>
        <v>144</v>
      </c>
      <c r="I34" s="36">
        <f t="shared" si="10"/>
        <v>16.128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Rates!B273</f>
        <v>TOU - On Peak</v>
      </c>
      <c r="C35" s="25">
        <f>Rates!E273</f>
        <v>0.13500000000000001</v>
      </c>
      <c r="D35" s="37">
        <f>C7*0.18</f>
        <v>144</v>
      </c>
      <c r="E35" s="36">
        <f t="shared" si="9"/>
        <v>19.440000000000001</v>
      </c>
      <c r="F35" s="45"/>
      <c r="G35" s="25">
        <f>Rates!I273</f>
        <v>0.13500000000000001</v>
      </c>
      <c r="H35" s="37">
        <f t="shared" si="12"/>
        <v>144</v>
      </c>
      <c r="I35" s="36">
        <f t="shared" si="10"/>
        <v>19.440000000000001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63</v>
      </c>
      <c r="C37" s="35"/>
      <c r="D37" s="35"/>
      <c r="E37" s="39">
        <f>SUM(E28:E35)</f>
        <v>162.41568000000001</v>
      </c>
      <c r="F37" s="45"/>
      <c r="G37" s="35"/>
      <c r="H37" s="39"/>
      <c r="I37" s="39">
        <f>SUM(I28:I35)</f>
        <v>151.19169599999998</v>
      </c>
      <c r="J37" s="45"/>
      <c r="K37" s="36">
        <f t="shared" si="2"/>
        <v>-11.22398400000003</v>
      </c>
      <c r="L37" s="47">
        <f t="shared" si="3"/>
        <v>-6.9106529615859932E-2</v>
      </c>
    </row>
    <row r="38" spans="2:12" x14ac:dyDescent="0.2">
      <c r="B38" s="44" t="str">
        <f>Rates!B277</f>
        <v>HST</v>
      </c>
      <c r="C38" s="41">
        <f>Rates!E277</f>
        <v>0.13</v>
      </c>
      <c r="D38" s="35"/>
      <c r="E38" s="42">
        <f>E37*C38</f>
        <v>21.114038400000002</v>
      </c>
      <c r="F38" s="45"/>
      <c r="G38" s="41">
        <f>Rates!I277</f>
        <v>0.13</v>
      </c>
      <c r="H38" s="35"/>
      <c r="I38" s="42">
        <f>I37*G38</f>
        <v>19.654920479999998</v>
      </c>
      <c r="J38" s="45"/>
      <c r="K38" s="36">
        <f t="shared" si="2"/>
        <v>-1.4591179200000042</v>
      </c>
      <c r="L38" s="47">
        <f t="shared" si="3"/>
        <v>-6.9106529615859946E-2</v>
      </c>
    </row>
    <row r="39" spans="2:12" x14ac:dyDescent="0.2">
      <c r="B39" s="23" t="s">
        <v>64</v>
      </c>
      <c r="C39" s="35"/>
      <c r="D39" s="35"/>
      <c r="E39" s="42">
        <f>E37+E38</f>
        <v>183.52971840000001</v>
      </c>
      <c r="F39" s="45"/>
      <c r="G39" s="35"/>
      <c r="H39" s="35"/>
      <c r="I39" s="42">
        <f>I37+I38</f>
        <v>170.84661647999997</v>
      </c>
      <c r="J39" s="45"/>
      <c r="K39" s="36">
        <f t="shared" si="2"/>
        <v>-12.683101920000041</v>
      </c>
      <c r="L39" s="47">
        <f t="shared" si="3"/>
        <v>-6.9106529615859974E-2</v>
      </c>
    </row>
    <row r="40" spans="2:12" x14ac:dyDescent="0.2">
      <c r="B40" s="44" t="str">
        <f>Rates!B279</f>
        <v>OCEB</v>
      </c>
      <c r="C40" s="41">
        <f>Rates!E279</f>
        <v>-0.1</v>
      </c>
      <c r="D40" s="35"/>
      <c r="E40" s="42">
        <f>E39*C40</f>
        <v>-18.352971840000002</v>
      </c>
      <c r="F40" s="45"/>
      <c r="G40" s="41">
        <f>Rates!I279</f>
        <v>-0.1</v>
      </c>
      <c r="H40" s="35"/>
      <c r="I40" s="42">
        <f>I39*G40</f>
        <v>-17.084661647999997</v>
      </c>
      <c r="J40" s="45"/>
      <c r="K40" s="36">
        <f t="shared" si="2"/>
        <v>1.2683101920000048</v>
      </c>
      <c r="L40" s="47">
        <f t="shared" si="3"/>
        <v>-6.9106529615860002E-2</v>
      </c>
    </row>
    <row r="41" spans="2:12" ht="13.5" thickBot="1" x14ac:dyDescent="0.25">
      <c r="B41" s="30" t="s">
        <v>65</v>
      </c>
      <c r="C41" s="57"/>
      <c r="D41" s="57"/>
      <c r="E41" s="58">
        <f>E39+E40</f>
        <v>165.17674656</v>
      </c>
      <c r="F41" s="59"/>
      <c r="G41" s="57"/>
      <c r="H41" s="57"/>
      <c r="I41" s="58">
        <f>I39+I40</f>
        <v>153.76195483199996</v>
      </c>
      <c r="J41" s="59"/>
      <c r="K41" s="60">
        <f t="shared" si="2"/>
        <v>-11.41479172800004</v>
      </c>
      <c r="L41" s="61">
        <f t="shared" si="3"/>
        <v>-6.9106529615859988E-2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8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Rates!B223</f>
        <v xml:space="preserve">Sentinel Lighting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60</v>
      </c>
    </row>
    <row r="8" spans="2:12" x14ac:dyDescent="0.2">
      <c r="B8" s="28" t="s">
        <v>69</v>
      </c>
      <c r="C8" s="62">
        <v>0.2</v>
      </c>
    </row>
    <row r="9" spans="2:12" ht="13.5" thickBot="1" x14ac:dyDescent="0.25">
      <c r="B9" s="30" t="s">
        <v>70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Rates!E224</f>
        <v>5.08</v>
      </c>
      <c r="D14" s="37">
        <f>C6</f>
        <v>1</v>
      </c>
      <c r="E14" s="36">
        <f>C14*D14</f>
        <v>5.08</v>
      </c>
      <c r="F14" s="45"/>
      <c r="G14" s="36">
        <f>Rates!I224</f>
        <v>5.18</v>
      </c>
      <c r="H14" s="37">
        <f>D14</f>
        <v>1</v>
      </c>
      <c r="I14" s="36">
        <f>G14*H14</f>
        <v>5.18</v>
      </c>
      <c r="J14" s="45"/>
      <c r="K14" s="36">
        <f>I14-E14</f>
        <v>9.9999999999999645E-2</v>
      </c>
      <c r="L14" s="47">
        <f>IF((E14)=0," ",K14/E14)</f>
        <v>1.968503937007867E-2</v>
      </c>
    </row>
    <row r="15" spans="2:12" x14ac:dyDescent="0.2">
      <c r="B15" s="44" t="str">
        <f>Rates!B7</f>
        <v>Distribution Volumetric Rate</v>
      </c>
      <c r="C15" s="25">
        <f>Rates!E225</f>
        <v>5.0109000000000004</v>
      </c>
      <c r="D15" s="93">
        <f>C8</f>
        <v>0.2</v>
      </c>
      <c r="E15" s="36">
        <f t="shared" ref="E15" si="0">C15*D15</f>
        <v>1.0021800000000001</v>
      </c>
      <c r="F15" s="45"/>
      <c r="G15" s="25">
        <f>Rates!I225</f>
        <v>4.9612999999999996</v>
      </c>
      <c r="H15" s="93">
        <f>D15</f>
        <v>0.2</v>
      </c>
      <c r="I15" s="36">
        <f t="shared" ref="I15" si="1">G15*H15</f>
        <v>0.99225999999999992</v>
      </c>
      <c r="J15" s="45"/>
      <c r="K15" s="36">
        <f t="shared" ref="K15:K38" si="2">I15-E15</f>
        <v>-9.9200000000001509E-3</v>
      </c>
      <c r="L15" s="47">
        <f t="shared" ref="L15:L38" si="3">IF((E15)=0," ",K15/E15)</f>
        <v>-9.8984214412582081E-3</v>
      </c>
    </row>
    <row r="16" spans="2:12" x14ac:dyDescent="0.2">
      <c r="B16" s="49" t="s">
        <v>38</v>
      </c>
      <c r="C16" s="50"/>
      <c r="D16" s="51"/>
      <c r="E16" s="52">
        <f>SUM(E14:E15)</f>
        <v>6.0821800000000001</v>
      </c>
      <c r="F16" s="53"/>
      <c r="G16" s="50"/>
      <c r="H16" s="51"/>
      <c r="I16" s="52">
        <f>SUM(I14:I15)</f>
        <v>6.1722599999999996</v>
      </c>
      <c r="J16" s="53"/>
      <c r="K16" s="54">
        <f t="shared" si="2"/>
        <v>9.0079999999999494E-2</v>
      </c>
      <c r="L16" s="55">
        <f t="shared" si="3"/>
        <v>1.4810479137414461E-2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3.2520000000000016</v>
      </c>
      <c r="E17" s="36">
        <f t="shared" ref="E17:E23" si="4">C17*D17</f>
        <v>0.27284280000000016</v>
      </c>
      <c r="F17" s="45"/>
      <c r="G17" s="25">
        <f>Rates!I275</f>
        <v>8.3900000000000002E-2</v>
      </c>
      <c r="H17" s="40">
        <f>(C5-1)*C7</f>
        <v>3.2520000000000016</v>
      </c>
      <c r="I17" s="36">
        <f t="shared" ref="I17:I23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Rates!E227</f>
        <v>0.36849999999999999</v>
      </c>
      <c r="D18" s="91">
        <f>C8</f>
        <v>0.2</v>
      </c>
      <c r="E18" s="36">
        <f t="shared" si="4"/>
        <v>7.3700000000000002E-2</v>
      </c>
      <c r="F18" s="45"/>
      <c r="G18" s="25">
        <f>Rates!I227</f>
        <v>0</v>
      </c>
      <c r="H18" s="91">
        <f t="shared" ref="H18:H23" si="6">D18</f>
        <v>0.2</v>
      </c>
      <c r="I18" s="36">
        <f t="shared" si="5"/>
        <v>0</v>
      </c>
      <c r="J18" s="45"/>
      <c r="K18" s="36">
        <f t="shared" si="2"/>
        <v>-7.3700000000000002E-2</v>
      </c>
      <c r="L18" s="47">
        <f t="shared" si="3"/>
        <v>-1</v>
      </c>
    </row>
    <row r="19" spans="2:12" x14ac:dyDescent="0.2">
      <c r="B19" s="48" t="str">
        <f>Rates!B228</f>
        <v>Rate Rider for Deferral/Variance Account Disposition (2014) - effective until December 31, 2016</v>
      </c>
      <c r="C19" s="25">
        <f>Rates!E228</f>
        <v>0</v>
      </c>
      <c r="D19" s="91">
        <f>C8</f>
        <v>0.2</v>
      </c>
      <c r="E19" s="36">
        <f t="shared" si="4"/>
        <v>0</v>
      </c>
      <c r="F19" s="45"/>
      <c r="G19" s="25">
        <f>Rates!I228</f>
        <v>-0.25600000000000001</v>
      </c>
      <c r="H19" s="91">
        <f t="shared" si="6"/>
        <v>0.2</v>
      </c>
      <c r="I19" s="36">
        <f t="shared" si="5"/>
        <v>-5.1200000000000002E-2</v>
      </c>
      <c r="J19" s="45"/>
      <c r="K19" s="36">
        <f t="shared" ref="K19:K22" si="7">I19-E19</f>
        <v>-5.1200000000000002E-2</v>
      </c>
      <c r="L19" s="47" t="str">
        <f t="shared" ref="L19:L22" si="8">IF((E19)=0," ",K19/E19)</f>
        <v xml:space="preserve"> </v>
      </c>
    </row>
    <row r="20" spans="2:12" ht="25.5" x14ac:dyDescent="0.2">
      <c r="B20" s="48" t="str">
        <f>Rates!B229</f>
        <v>Rate Rider for Global Adjustment Sub-Account Disposition (2014) - effective until December 31, 2016 Applicable only for Non-RPP Customers</v>
      </c>
      <c r="C20" s="25">
        <f>Rates!E229</f>
        <v>0</v>
      </c>
      <c r="D20" s="91">
        <f>C8</f>
        <v>0.2</v>
      </c>
      <c r="E20" s="36">
        <f t="shared" si="4"/>
        <v>0</v>
      </c>
      <c r="F20" s="45"/>
      <c r="G20" s="25">
        <f>Rates!I229</f>
        <v>0</v>
      </c>
      <c r="H20" s="91">
        <f t="shared" si="6"/>
        <v>0.2</v>
      </c>
      <c r="I20" s="36">
        <f t="shared" si="5"/>
        <v>0</v>
      </c>
      <c r="J20" s="45"/>
      <c r="K20" s="36">
        <f t="shared" si="7"/>
        <v>0</v>
      </c>
      <c r="L20" s="47" t="str">
        <f t="shared" si="8"/>
        <v xml:space="preserve"> </v>
      </c>
    </row>
    <row r="21" spans="2:12" x14ac:dyDescent="0.2">
      <c r="B21" s="44" t="str">
        <f>Rates!B230</f>
        <v>Rate Rider for the Disposition of Deferred PILs Variance Account 1562 - effective until December 31, 2016</v>
      </c>
      <c r="C21" s="25">
        <f>Rates!E230</f>
        <v>0.94199999999999995</v>
      </c>
      <c r="D21" s="91">
        <f>C8</f>
        <v>0.2</v>
      </c>
      <c r="E21" s="36">
        <f t="shared" si="4"/>
        <v>0.18840000000000001</v>
      </c>
      <c r="F21" s="45"/>
      <c r="G21" s="25">
        <f>Rates!I230</f>
        <v>0.94199999999999995</v>
      </c>
      <c r="H21" s="91">
        <f t="shared" si="6"/>
        <v>0.2</v>
      </c>
      <c r="I21" s="36">
        <f t="shared" si="5"/>
        <v>0.18840000000000001</v>
      </c>
      <c r="J21" s="45"/>
      <c r="K21" s="36">
        <f t="shared" si="7"/>
        <v>0</v>
      </c>
      <c r="L21" s="47">
        <f t="shared" si="8"/>
        <v>0</v>
      </c>
    </row>
    <row r="22" spans="2:12" x14ac:dyDescent="0.2">
      <c r="B22" s="48" t="str">
        <f>Rates!B231</f>
        <v>Rate Rider for Loss Revenue Adjustment Mechanism (LRAM) - effective until December 31, 2015</v>
      </c>
      <c r="C22" s="25">
        <f>Rates!E231</f>
        <v>0</v>
      </c>
      <c r="D22" s="91">
        <f>C8</f>
        <v>0.2</v>
      </c>
      <c r="E22" s="36">
        <f t="shared" si="4"/>
        <v>0</v>
      </c>
      <c r="F22" s="45"/>
      <c r="G22" s="25">
        <f>Rates!I231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Rates!E226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Rates!I226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6.6279627999999997</v>
      </c>
      <c r="F24" s="53"/>
      <c r="G24" s="50"/>
      <c r="H24" s="51"/>
      <c r="I24" s="52">
        <f>SUM(I16:I23)</f>
        <v>6.5931427999999999</v>
      </c>
      <c r="J24" s="53"/>
      <c r="K24" s="54">
        <f t="shared" si="2"/>
        <v>-3.4819999999999851E-2</v>
      </c>
      <c r="L24" s="55">
        <f t="shared" si="3"/>
        <v>-5.253499612279033E-3</v>
      </c>
    </row>
    <row r="25" spans="2:12" x14ac:dyDescent="0.2">
      <c r="B25" s="44" t="str">
        <f>Rates!B16</f>
        <v>Retail Transmission Rate - Network Service Rate</v>
      </c>
      <c r="C25" s="25">
        <f>Rates!E148</f>
        <v>2.1646999999999998</v>
      </c>
      <c r="D25" s="91">
        <f>C8</f>
        <v>0.2</v>
      </c>
      <c r="E25" s="36">
        <f>C25*D25</f>
        <v>0.43293999999999999</v>
      </c>
      <c r="F25" s="45"/>
      <c r="G25" s="25">
        <f>Rates!I148</f>
        <v>2.2633999999999999</v>
      </c>
      <c r="H25" s="91">
        <f>D25</f>
        <v>0.2</v>
      </c>
      <c r="I25" s="36">
        <f>G25*H25</f>
        <v>0.45267999999999997</v>
      </c>
      <c r="J25" s="45"/>
      <c r="K25" s="36">
        <f t="shared" si="2"/>
        <v>1.973999999999998E-2</v>
      </c>
      <c r="L25" s="47">
        <f t="shared" si="3"/>
        <v>4.5595232595740706E-2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Rates!E149</f>
        <v>1.5792999999999999</v>
      </c>
      <c r="D26" s="91">
        <f>C8</f>
        <v>0.2</v>
      </c>
      <c r="E26" s="36">
        <f>C26*D26</f>
        <v>0.31586000000000003</v>
      </c>
      <c r="F26" s="45"/>
      <c r="G26" s="25">
        <f>Rates!I149</f>
        <v>1.6627000000000001</v>
      </c>
      <c r="H26" s="91">
        <f>D26</f>
        <v>0.2</v>
      </c>
      <c r="I26" s="36">
        <f>G26*H26</f>
        <v>0.33254000000000006</v>
      </c>
      <c r="J26" s="45"/>
      <c r="K26" s="36">
        <f t="shared" si="2"/>
        <v>1.6680000000000028E-2</v>
      </c>
      <c r="L26" s="47">
        <f t="shared" si="3"/>
        <v>5.2808206167289387E-2</v>
      </c>
    </row>
    <row r="27" spans="2:12" x14ac:dyDescent="0.2">
      <c r="B27" s="49" t="s">
        <v>62</v>
      </c>
      <c r="C27" s="50"/>
      <c r="D27" s="51"/>
      <c r="E27" s="52">
        <f>SUM(E24:E26)</f>
        <v>7.3767627999999998</v>
      </c>
      <c r="F27" s="53"/>
      <c r="G27" s="50"/>
      <c r="H27" s="52"/>
      <c r="I27" s="52">
        <f>SUM(I24:I26)</f>
        <v>7.3783627999999997</v>
      </c>
      <c r="J27" s="53"/>
      <c r="K27" s="54">
        <f t="shared" si="2"/>
        <v>1.5999999999998238E-3</v>
      </c>
      <c r="L27" s="55">
        <f t="shared" si="3"/>
        <v>2.1689730893879682E-4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63.252000000000002</v>
      </c>
      <c r="E28" s="36">
        <f t="shared" ref="E28:E32" si="9">C28*D28</f>
        <v>0.27830880000000002</v>
      </c>
      <c r="F28" s="45"/>
      <c r="G28" s="25">
        <f>Rates!I253</f>
        <v>4.4000000000000003E-3</v>
      </c>
      <c r="H28" s="37">
        <f>D28</f>
        <v>63.252000000000002</v>
      </c>
      <c r="I28" s="36">
        <f t="shared" ref="I28:I32" si="10">G28*H28</f>
        <v>0.27830880000000002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63.252000000000002</v>
      </c>
      <c r="E29" s="36">
        <f t="shared" si="9"/>
        <v>7.5902399999999995E-2</v>
      </c>
      <c r="F29" s="45"/>
      <c r="G29" s="25">
        <f>Rates!I254</f>
        <v>1.1999999999999999E-3</v>
      </c>
      <c r="H29" s="37">
        <f t="shared" ref="H29:H30" si="11">D29</f>
        <v>63.252000000000002</v>
      </c>
      <c r="I29" s="36">
        <f t="shared" si="10"/>
        <v>7.5902399999999995E-2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Rates!E260</f>
        <v>5.1000000000000004E-3</v>
      </c>
      <c r="D31" s="37">
        <f>C7</f>
        <v>60</v>
      </c>
      <c r="E31" s="36">
        <f t="shared" si="9"/>
        <v>0.30600000000000005</v>
      </c>
      <c r="F31" s="45"/>
      <c r="G31" s="25">
        <f>Rates!I260</f>
        <v>5.1000000000000004E-3</v>
      </c>
      <c r="H31" s="37">
        <f>D31</f>
        <v>60</v>
      </c>
      <c r="I31" s="36">
        <f t="shared" si="10"/>
        <v>0.30600000000000005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C7*0.64</f>
        <v>38.4</v>
      </c>
      <c r="E32" s="36">
        <f t="shared" si="9"/>
        <v>3.2217600000000002</v>
      </c>
      <c r="F32" s="45"/>
      <c r="G32" s="25">
        <f>Rates!I275</f>
        <v>8.3900000000000002E-2</v>
      </c>
      <c r="H32" s="37">
        <f>D32</f>
        <v>38.4</v>
      </c>
      <c r="I32" s="36">
        <f t="shared" si="10"/>
        <v>3.2217600000000002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11.508734</v>
      </c>
      <c r="F34" s="45"/>
      <c r="G34" s="35"/>
      <c r="H34" s="39"/>
      <c r="I34" s="39">
        <f>SUM(I27:I32)</f>
        <v>11.510334</v>
      </c>
      <c r="J34" s="45"/>
      <c r="K34" s="36">
        <f t="shared" si="2"/>
        <v>1.5999999999998238E-3</v>
      </c>
      <c r="L34" s="47">
        <f t="shared" si="3"/>
        <v>1.3902484843248821E-4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1.4961354200000001</v>
      </c>
      <c r="F35" s="45"/>
      <c r="G35" s="41">
        <f>Rates!I277</f>
        <v>0.13</v>
      </c>
      <c r="H35" s="35"/>
      <c r="I35" s="42">
        <f>I34*G35</f>
        <v>1.4963434200000001</v>
      </c>
      <c r="J35" s="45"/>
      <c r="K35" s="36">
        <f t="shared" si="2"/>
        <v>2.0799999999998597E-4</v>
      </c>
      <c r="L35" s="47">
        <f t="shared" si="3"/>
        <v>1.3902484843249414E-4</v>
      </c>
    </row>
    <row r="36" spans="2:12" x14ac:dyDescent="0.2">
      <c r="B36" s="23" t="s">
        <v>64</v>
      </c>
      <c r="C36" s="35"/>
      <c r="D36" s="35"/>
      <c r="E36" s="42">
        <f>E34+E35</f>
        <v>13.00486942</v>
      </c>
      <c r="F36" s="45"/>
      <c r="G36" s="35"/>
      <c r="H36" s="35"/>
      <c r="I36" s="42">
        <f>I34+I35</f>
        <v>13.006677420000001</v>
      </c>
      <c r="J36" s="45"/>
      <c r="K36" s="36">
        <f t="shared" si="2"/>
        <v>1.8080000000004759E-3</v>
      </c>
      <c r="L36" s="47">
        <f t="shared" si="3"/>
        <v>1.3902484843254011E-4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-1.300486942</v>
      </c>
      <c r="F37" s="45"/>
      <c r="G37" s="41">
        <f>Rates!I279</f>
        <v>-0.1</v>
      </c>
      <c r="H37" s="35"/>
      <c r="I37" s="42">
        <f>I36*G37</f>
        <v>-1.3006677420000001</v>
      </c>
      <c r="J37" s="45"/>
      <c r="K37" s="36">
        <f t="shared" si="2"/>
        <v>-1.80800000000092E-4</v>
      </c>
      <c r="L37" s="47">
        <f t="shared" si="3"/>
        <v>1.3902484843257427E-4</v>
      </c>
    </row>
    <row r="38" spans="2:12" ht="13.5" thickBot="1" x14ac:dyDescent="0.25">
      <c r="B38" s="30" t="s">
        <v>65</v>
      </c>
      <c r="C38" s="57"/>
      <c r="D38" s="57"/>
      <c r="E38" s="58">
        <f>E36+E37</f>
        <v>11.704382477999999</v>
      </c>
      <c r="F38" s="59"/>
      <c r="G38" s="57"/>
      <c r="H38" s="57"/>
      <c r="I38" s="58">
        <f>I36+I37</f>
        <v>11.706009678000001</v>
      </c>
      <c r="J38" s="59"/>
      <c r="K38" s="60">
        <f t="shared" si="2"/>
        <v>1.6272000000014941E-3</v>
      </c>
      <c r="L38" s="61">
        <f t="shared" si="3"/>
        <v>1.3902484843263119E-4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9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Rates!B166</f>
        <v>CNPI - Port Colborne</v>
      </c>
    </row>
    <row r="3" spans="2:12" ht="15.75" x14ac:dyDescent="0.25">
      <c r="B3" s="24" t="str">
        <f>Rates!B235</f>
        <v>Street Lighting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2000</v>
      </c>
    </row>
    <row r="7" spans="2:12" x14ac:dyDescent="0.2">
      <c r="B7" s="28" t="s">
        <v>68</v>
      </c>
      <c r="C7" s="29">
        <v>155000</v>
      </c>
    </row>
    <row r="8" spans="2:12" x14ac:dyDescent="0.2">
      <c r="B8" s="28" t="s">
        <v>69</v>
      </c>
      <c r="C8" s="62">
        <v>445</v>
      </c>
    </row>
    <row r="9" spans="2:12" ht="13.5" thickBot="1" x14ac:dyDescent="0.25">
      <c r="B9" s="30" t="s">
        <v>70</v>
      </c>
      <c r="C9" s="31">
        <f>IF(C8=0,"n/a",C7/(C8*24*365/12))</f>
        <v>0.47714329690626445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Rates!E236</f>
        <v>4.04</v>
      </c>
      <c r="D14" s="37">
        <f>C6</f>
        <v>2000</v>
      </c>
      <c r="E14" s="36">
        <f>C14*D14</f>
        <v>8080</v>
      </c>
      <c r="F14" s="45"/>
      <c r="G14" s="36">
        <f>Rates!I236</f>
        <v>4.6100000000000003</v>
      </c>
      <c r="H14" s="37">
        <f>D14</f>
        <v>2000</v>
      </c>
      <c r="I14" s="36">
        <f>G14*H14</f>
        <v>9220</v>
      </c>
      <c r="J14" s="45"/>
      <c r="K14" s="36">
        <f>I14-E14</f>
        <v>1140</v>
      </c>
      <c r="L14" s="47">
        <f>IF((E14)=0," ",K14/E14)</f>
        <v>0.14108910891089108</v>
      </c>
    </row>
    <row r="15" spans="2:12" x14ac:dyDescent="0.2">
      <c r="B15" s="44" t="str">
        <f>Rates!B7</f>
        <v>Distribution Volumetric Rate</v>
      </c>
      <c r="C15" s="25">
        <f>Rates!E237</f>
        <v>10.1196</v>
      </c>
      <c r="D15" s="38">
        <f>C8</f>
        <v>445</v>
      </c>
      <c r="E15" s="36">
        <f t="shared" ref="E15" si="0">C15*D15</f>
        <v>4503.2219999999998</v>
      </c>
      <c r="F15" s="45"/>
      <c r="G15" s="25">
        <f>Rates!I237</f>
        <v>10.5045</v>
      </c>
      <c r="H15" s="38">
        <f>D15</f>
        <v>445</v>
      </c>
      <c r="I15" s="36">
        <f t="shared" ref="I15" si="1">G15*H15</f>
        <v>4674.5025000000005</v>
      </c>
      <c r="J15" s="45"/>
      <c r="K15" s="36">
        <f t="shared" ref="K15:K39" si="2">I15-E15</f>
        <v>171.28050000000076</v>
      </c>
      <c r="L15" s="47">
        <f t="shared" ref="L15:L39" si="3">IF((E15)=0," ",K15/E15)</f>
        <v>3.8035100201589164E-2</v>
      </c>
    </row>
    <row r="16" spans="2:12" x14ac:dyDescent="0.2">
      <c r="B16" s="49" t="s">
        <v>38</v>
      </c>
      <c r="C16" s="50"/>
      <c r="D16" s="51"/>
      <c r="E16" s="52">
        <f>SUM(E14:E15)</f>
        <v>12583.222</v>
      </c>
      <c r="F16" s="53"/>
      <c r="G16" s="50"/>
      <c r="H16" s="51"/>
      <c r="I16" s="52">
        <f>SUM(I14:I15)</f>
        <v>13894.502500000001</v>
      </c>
      <c r="J16" s="53"/>
      <c r="K16" s="54">
        <f t="shared" si="2"/>
        <v>1311.2805000000008</v>
      </c>
      <c r="L16" s="55">
        <f t="shared" si="3"/>
        <v>0.10420864385925964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8401.0000000000036</v>
      </c>
      <c r="E17" s="36">
        <f t="shared" ref="E17:E24" si="4">C17*D17</f>
        <v>704.8439000000003</v>
      </c>
      <c r="F17" s="45"/>
      <c r="G17" s="25">
        <f>Rates!I275</f>
        <v>8.3900000000000002E-2</v>
      </c>
      <c r="H17" s="40">
        <f>(C5-1)*C7</f>
        <v>8401.0000000000036</v>
      </c>
      <c r="I17" s="36">
        <f t="shared" ref="I17:I24" si="5">G17*H17</f>
        <v>704.8439000000003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Rates!E239</f>
        <v>0.46639999999999998</v>
      </c>
      <c r="D18" s="37">
        <f>C8</f>
        <v>445</v>
      </c>
      <c r="E18" s="36">
        <f t="shared" si="4"/>
        <v>207.548</v>
      </c>
      <c r="F18" s="45"/>
      <c r="G18" s="25">
        <f>Rates!I239</f>
        <v>0</v>
      </c>
      <c r="H18" s="37">
        <f t="shared" ref="H18:H24" si="6">D18</f>
        <v>445</v>
      </c>
      <c r="I18" s="36">
        <f t="shared" si="5"/>
        <v>0</v>
      </c>
      <c r="J18" s="45"/>
      <c r="K18" s="36">
        <f t="shared" si="2"/>
        <v>-207.548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Rates!E240</f>
        <v>0.58409999999999995</v>
      </c>
      <c r="D19" s="37">
        <f>C8</f>
        <v>445</v>
      </c>
      <c r="E19" s="36">
        <f t="shared" si="4"/>
        <v>259.92449999999997</v>
      </c>
      <c r="F19" s="45"/>
      <c r="G19" s="25">
        <f>Rates!I240</f>
        <v>0</v>
      </c>
      <c r="H19" s="37">
        <f t="shared" si="6"/>
        <v>445</v>
      </c>
      <c r="I19" s="36">
        <f t="shared" si="5"/>
        <v>0</v>
      </c>
      <c r="J19" s="45"/>
      <c r="K19" s="36">
        <f t="shared" si="2"/>
        <v>-259.92449999999997</v>
      </c>
      <c r="L19" s="47">
        <f t="shared" si="3"/>
        <v>-1</v>
      </c>
    </row>
    <row r="20" spans="2:12" x14ac:dyDescent="0.2">
      <c r="B20" s="48" t="str">
        <f>Rates!B241</f>
        <v>Rate Rider for Deferral/Variance Account Disposition (2014) - effective until December 31, 2016</v>
      </c>
      <c r="C20" s="25">
        <f>Rates!E241</f>
        <v>0</v>
      </c>
      <c r="D20" s="37">
        <f>C8</f>
        <v>445</v>
      </c>
      <c r="E20" s="36">
        <f t="shared" si="4"/>
        <v>0</v>
      </c>
      <c r="F20" s="45"/>
      <c r="G20" s="25">
        <f>Rates!I241</f>
        <v>-4.9000000000000002E-2</v>
      </c>
      <c r="H20" s="37">
        <f t="shared" si="6"/>
        <v>445</v>
      </c>
      <c r="I20" s="36">
        <f t="shared" si="5"/>
        <v>-21.805</v>
      </c>
      <c r="J20" s="45"/>
      <c r="K20" s="36">
        <f t="shared" ref="K20:K23" si="7">I20-E20</f>
        <v>-21.805</v>
      </c>
      <c r="L20" s="47" t="str">
        <f t="shared" ref="L20:L23" si="8">IF((E20)=0," ",K20/E20)</f>
        <v xml:space="preserve"> </v>
      </c>
    </row>
    <row r="21" spans="2:12" ht="25.5" x14ac:dyDescent="0.2">
      <c r="B21" s="48" t="str">
        <f>Rates!B242</f>
        <v>Rate Rider for Global Adjustment Sub-Account Disposition (2014) - effective until December 31, 2016 Applicable only for Non-RPP Customers</v>
      </c>
      <c r="C21" s="25">
        <f>Rates!E242</f>
        <v>0</v>
      </c>
      <c r="D21" s="37">
        <f>C8</f>
        <v>445</v>
      </c>
      <c r="E21" s="36">
        <f t="shared" si="4"/>
        <v>0</v>
      </c>
      <c r="F21" s="45"/>
      <c r="G21" s="25">
        <f>Rates!I242</f>
        <v>-0.77990000000000004</v>
      </c>
      <c r="H21" s="37">
        <f t="shared" si="6"/>
        <v>445</v>
      </c>
      <c r="I21" s="36">
        <f t="shared" si="5"/>
        <v>-347.05549999999999</v>
      </c>
      <c r="J21" s="45"/>
      <c r="K21" s="36">
        <f t="shared" si="7"/>
        <v>-347.05549999999999</v>
      </c>
      <c r="L21" s="47" t="str">
        <f t="shared" si="8"/>
        <v xml:space="preserve"> </v>
      </c>
    </row>
    <row r="22" spans="2:12" x14ac:dyDescent="0.2">
      <c r="B22" s="44" t="str">
        <f>Rates!B230</f>
        <v>Rate Rider for the Disposition of Deferred PILs Variance Account 1562 - effective until December 31, 2016</v>
      </c>
      <c r="C22" s="25">
        <f>Rates!E243</f>
        <v>0.43690000000000001</v>
      </c>
      <c r="D22" s="37">
        <f>C8</f>
        <v>445</v>
      </c>
      <c r="E22" s="36">
        <f t="shared" si="4"/>
        <v>194.4205</v>
      </c>
      <c r="F22" s="45"/>
      <c r="G22" s="25">
        <f>Rates!I243</f>
        <v>0.43690000000000001</v>
      </c>
      <c r="H22" s="37">
        <f t="shared" si="6"/>
        <v>445</v>
      </c>
      <c r="I22" s="36">
        <f t="shared" si="5"/>
        <v>194.4205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Rates!B244</f>
        <v>Rate Rider for Loss Revenue Adjustment Mechanism (LRAM) - effective until December 31, 2015</v>
      </c>
      <c r="C23" s="25">
        <f>Rates!E244</f>
        <v>0</v>
      </c>
      <c r="D23" s="37">
        <f>C8</f>
        <v>445</v>
      </c>
      <c r="E23" s="36">
        <f t="shared" si="4"/>
        <v>0</v>
      </c>
      <c r="F23" s="45"/>
      <c r="G23" s="25">
        <f>Rates!I244</f>
        <v>0</v>
      </c>
      <c r="H23" s="37">
        <f t="shared" si="6"/>
        <v>445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Rates!B10</f>
        <v>Low Voltage Service Rate</v>
      </c>
      <c r="C24" s="25">
        <f>Rates!E238</f>
        <v>5.0700000000000002E-2</v>
      </c>
      <c r="D24" s="37">
        <f>C8</f>
        <v>445</v>
      </c>
      <c r="E24" s="36">
        <f t="shared" si="4"/>
        <v>22.561500000000002</v>
      </c>
      <c r="F24" s="45"/>
      <c r="G24" s="25">
        <f>Rates!I238</f>
        <v>5.0700000000000002E-2</v>
      </c>
      <c r="H24" s="37">
        <f t="shared" si="6"/>
        <v>445</v>
      </c>
      <c r="I24" s="36">
        <f t="shared" si="5"/>
        <v>22.561500000000002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61</v>
      </c>
      <c r="C25" s="50"/>
      <c r="D25" s="51"/>
      <c r="E25" s="52">
        <f>SUM(E16:E24)</f>
        <v>13972.520399999999</v>
      </c>
      <c r="F25" s="53"/>
      <c r="G25" s="50"/>
      <c r="H25" s="51"/>
      <c r="I25" s="52">
        <f>SUM(I16:I24)</f>
        <v>14447.4679</v>
      </c>
      <c r="J25" s="53"/>
      <c r="K25" s="54">
        <f t="shared" si="2"/>
        <v>474.94750000000022</v>
      </c>
      <c r="L25" s="55">
        <f t="shared" si="3"/>
        <v>3.3991540996426116E-2</v>
      </c>
    </row>
    <row r="26" spans="2:12" x14ac:dyDescent="0.2">
      <c r="B26" s="44" t="str">
        <f>Rates!B16</f>
        <v>Retail Transmission Rate - Network Service Rate</v>
      </c>
      <c r="C26" s="25">
        <f>Rates!E245</f>
        <v>1.8801000000000001</v>
      </c>
      <c r="D26" s="37">
        <f>C8</f>
        <v>445</v>
      </c>
      <c r="E26" s="36">
        <f>C26*D26</f>
        <v>836.64449999999999</v>
      </c>
      <c r="F26" s="45"/>
      <c r="G26" s="25">
        <f>Rates!I245</f>
        <v>1.9658</v>
      </c>
      <c r="H26" s="37">
        <f>D26</f>
        <v>445</v>
      </c>
      <c r="I26" s="36">
        <f>G26*H26</f>
        <v>874.78099999999995</v>
      </c>
      <c r="J26" s="45"/>
      <c r="K26" s="36">
        <f t="shared" si="2"/>
        <v>38.136499999999955</v>
      </c>
      <c r="L26" s="47">
        <f t="shared" si="3"/>
        <v>4.5582681772246107E-2</v>
      </c>
    </row>
    <row r="27" spans="2:12" x14ac:dyDescent="0.2">
      <c r="B27" s="44" t="str">
        <f>Rates!B17</f>
        <v>Retail Transmission Rate - Line and Transformation Connection Service Rate</v>
      </c>
      <c r="C27" s="25">
        <f>Rates!E246</f>
        <v>1.4765999999999999</v>
      </c>
      <c r="D27" s="37">
        <f>C8</f>
        <v>445</v>
      </c>
      <c r="E27" s="36">
        <f>C27*D27</f>
        <v>657.08699999999999</v>
      </c>
      <c r="F27" s="45"/>
      <c r="G27" s="25">
        <f>Rates!I246</f>
        <v>1.5546</v>
      </c>
      <c r="H27" s="37">
        <f>D27</f>
        <v>445</v>
      </c>
      <c r="I27" s="36">
        <f>G27*H27</f>
        <v>691.79700000000003</v>
      </c>
      <c r="J27" s="45"/>
      <c r="K27" s="36">
        <f t="shared" si="2"/>
        <v>34.710000000000036</v>
      </c>
      <c r="L27" s="47">
        <f t="shared" si="3"/>
        <v>5.2824055262088637E-2</v>
      </c>
    </row>
    <row r="28" spans="2:12" x14ac:dyDescent="0.2">
      <c r="B28" s="49" t="s">
        <v>62</v>
      </c>
      <c r="C28" s="50"/>
      <c r="D28" s="51"/>
      <c r="E28" s="52">
        <f>SUM(E25:E27)</f>
        <v>15466.251899999999</v>
      </c>
      <c r="F28" s="53"/>
      <c r="G28" s="50"/>
      <c r="H28" s="52"/>
      <c r="I28" s="52">
        <f>SUM(I25:I27)</f>
        <v>16014.045899999999</v>
      </c>
      <c r="J28" s="53"/>
      <c r="K28" s="54">
        <f t="shared" si="2"/>
        <v>547.79399999999987</v>
      </c>
      <c r="L28" s="55">
        <f t="shared" si="3"/>
        <v>3.5418665332872273E-2</v>
      </c>
    </row>
    <row r="29" spans="2:12" x14ac:dyDescent="0.2">
      <c r="B29" s="44" t="str">
        <f>Rates!B253</f>
        <v>Wholesale Market Service Rate</v>
      </c>
      <c r="C29" s="25">
        <f>Rates!E253</f>
        <v>4.4000000000000003E-3</v>
      </c>
      <c r="D29" s="37">
        <f>C5*C7</f>
        <v>163401</v>
      </c>
      <c r="E29" s="36">
        <f t="shared" ref="E29:E33" si="9">C29*D29</f>
        <v>718.96440000000007</v>
      </c>
      <c r="F29" s="45"/>
      <c r="G29" s="25">
        <f>Rates!I253</f>
        <v>4.4000000000000003E-3</v>
      </c>
      <c r="H29" s="37">
        <f>D29</f>
        <v>163401</v>
      </c>
      <c r="I29" s="36">
        <f t="shared" ref="I29:I33" si="10">G29*H29</f>
        <v>718.96440000000007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Rates!B254</f>
        <v>Rural Rate Protection Charge</v>
      </c>
      <c r="C30" s="25">
        <f>Rates!E254</f>
        <v>1.1999999999999999E-3</v>
      </c>
      <c r="D30" s="37">
        <f>C5*C7</f>
        <v>163401</v>
      </c>
      <c r="E30" s="36">
        <f t="shared" si="9"/>
        <v>196.0812</v>
      </c>
      <c r="F30" s="45"/>
      <c r="G30" s="25">
        <f>Rates!I254</f>
        <v>1.1999999999999999E-3</v>
      </c>
      <c r="H30" s="37">
        <f t="shared" ref="H30:H31" si="11">D30</f>
        <v>163401</v>
      </c>
      <c r="I30" s="36">
        <f t="shared" si="10"/>
        <v>196.0812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Rates!B255</f>
        <v>Standard Supply Service - Administrative Charge (if applicable)</v>
      </c>
      <c r="C31" s="36">
        <f>Rates!E255</f>
        <v>0.25</v>
      </c>
      <c r="D31" s="37">
        <v>1</v>
      </c>
      <c r="E31" s="36">
        <f t="shared" si="9"/>
        <v>0.25</v>
      </c>
      <c r="F31" s="45"/>
      <c r="G31" s="36">
        <f>Rates!I255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Rates!B258</f>
        <v>Debt Retirement Charge</v>
      </c>
      <c r="C32" s="25">
        <f>Rates!E260</f>
        <v>5.1000000000000004E-3</v>
      </c>
      <c r="D32" s="37">
        <f>C7</f>
        <v>155000</v>
      </c>
      <c r="E32" s="36">
        <f t="shared" si="9"/>
        <v>790.5</v>
      </c>
      <c r="F32" s="45"/>
      <c r="G32" s="25">
        <f>Rates!I260</f>
        <v>5.1000000000000004E-3</v>
      </c>
      <c r="H32" s="37">
        <f>D32</f>
        <v>155000</v>
      </c>
      <c r="I32" s="36">
        <f t="shared" si="10"/>
        <v>790.5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Rates!B275</f>
        <v>Energy Price</v>
      </c>
      <c r="C33" s="25">
        <f>Rates!E275</f>
        <v>8.3900000000000002E-2</v>
      </c>
      <c r="D33" s="37">
        <f>C7*0.64</f>
        <v>99200</v>
      </c>
      <c r="E33" s="36">
        <f t="shared" si="9"/>
        <v>8322.880000000001</v>
      </c>
      <c r="F33" s="45"/>
      <c r="G33" s="25">
        <f>Rates!I275</f>
        <v>8.3900000000000002E-2</v>
      </c>
      <c r="H33" s="37">
        <f>D33</f>
        <v>99200</v>
      </c>
      <c r="I33" s="36">
        <f t="shared" si="10"/>
        <v>8322.880000000001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63</v>
      </c>
      <c r="C35" s="35"/>
      <c r="D35" s="35"/>
      <c r="E35" s="39">
        <f>SUM(E28:E33)</f>
        <v>25494.927500000002</v>
      </c>
      <c r="F35" s="45"/>
      <c r="G35" s="35"/>
      <c r="H35" s="39"/>
      <c r="I35" s="39">
        <f>SUM(I28:I33)</f>
        <v>26042.7215</v>
      </c>
      <c r="J35" s="45"/>
      <c r="K35" s="36">
        <f t="shared" si="2"/>
        <v>547.79399999999805</v>
      </c>
      <c r="L35" s="47">
        <f t="shared" si="3"/>
        <v>2.1486391753810556E-2</v>
      </c>
    </row>
    <row r="36" spans="2:12" x14ac:dyDescent="0.2">
      <c r="B36" s="44" t="str">
        <f>Rates!B277</f>
        <v>HST</v>
      </c>
      <c r="C36" s="41">
        <f>Rates!E277</f>
        <v>0.13</v>
      </c>
      <c r="D36" s="35"/>
      <c r="E36" s="42">
        <f>E35*C36</f>
        <v>3314.3405750000002</v>
      </c>
      <c r="F36" s="45"/>
      <c r="G36" s="41">
        <f>Rates!I277</f>
        <v>0.13</v>
      </c>
      <c r="H36" s="35"/>
      <c r="I36" s="42">
        <f>I35*G36</f>
        <v>3385.5537950000003</v>
      </c>
      <c r="J36" s="45"/>
      <c r="K36" s="36">
        <f t="shared" si="2"/>
        <v>71.213220000000092</v>
      </c>
      <c r="L36" s="47">
        <f t="shared" si="3"/>
        <v>2.1486391753810664E-2</v>
      </c>
    </row>
    <row r="37" spans="2:12" x14ac:dyDescent="0.2">
      <c r="B37" s="23" t="s">
        <v>64</v>
      </c>
      <c r="C37" s="35"/>
      <c r="D37" s="35"/>
      <c r="E37" s="42">
        <f>E35+E36</f>
        <v>28809.268075</v>
      </c>
      <c r="F37" s="45"/>
      <c r="G37" s="35"/>
      <c r="H37" s="35"/>
      <c r="I37" s="42">
        <f>I35+I36</f>
        <v>29428.275294999999</v>
      </c>
      <c r="J37" s="45"/>
      <c r="K37" s="36">
        <f t="shared" si="2"/>
        <v>619.00721999999951</v>
      </c>
      <c r="L37" s="47">
        <f t="shared" si="3"/>
        <v>2.1486391753810619E-2</v>
      </c>
    </row>
    <row r="38" spans="2:12" x14ac:dyDescent="0.2">
      <c r="B38" s="44" t="str">
        <f>Rates!B279</f>
        <v>OCEB</v>
      </c>
      <c r="C38" s="41">
        <f>Rates!E279</f>
        <v>-0.1</v>
      </c>
      <c r="D38" s="35"/>
      <c r="E38" s="42">
        <f>E37*C38</f>
        <v>-2880.9268075</v>
      </c>
      <c r="F38" s="45"/>
      <c r="G38" s="41">
        <f>Rates!I279</f>
        <v>-0.1</v>
      </c>
      <c r="H38" s="35"/>
      <c r="I38" s="42">
        <f>I37*G38</f>
        <v>-2942.8275295000003</v>
      </c>
      <c r="J38" s="45"/>
      <c r="K38" s="36">
        <f t="shared" si="2"/>
        <v>-61.900722000000314</v>
      </c>
      <c r="L38" s="47">
        <f t="shared" si="3"/>
        <v>2.1486391753810744E-2</v>
      </c>
    </row>
    <row r="39" spans="2:12" ht="13.5" thickBot="1" x14ac:dyDescent="0.25">
      <c r="B39" s="30" t="s">
        <v>65</v>
      </c>
      <c r="C39" s="57"/>
      <c r="D39" s="57"/>
      <c r="E39" s="58">
        <f>E37+E38</f>
        <v>25928.3412675</v>
      </c>
      <c r="F39" s="59"/>
      <c r="G39" s="57"/>
      <c r="H39" s="57"/>
      <c r="I39" s="58">
        <f>I37+I38</f>
        <v>26485.447765500001</v>
      </c>
      <c r="J39" s="59"/>
      <c r="K39" s="60">
        <f t="shared" si="2"/>
        <v>557.10649800000101</v>
      </c>
      <c r="L39" s="61">
        <f t="shared" si="3"/>
        <v>2.1486391753810674E-2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zoomScaleNormal="100" workbookViewId="0">
      <selection activeCell="B12" sqref="B12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1" t="s">
        <v>95</v>
      </c>
      <c r="C3" s="111"/>
      <c r="D3" s="111"/>
      <c r="E3" s="111"/>
      <c r="F3" s="111"/>
      <c r="G3" s="111"/>
      <c r="H3" s="111"/>
      <c r="I3" s="111"/>
    </row>
    <row r="4" spans="2:9" ht="14.25" customHeight="1" x14ac:dyDescent="0.2">
      <c r="B4" s="111"/>
      <c r="C4" s="111"/>
      <c r="D4" s="111"/>
      <c r="E4" s="111"/>
      <c r="F4" s="111"/>
      <c r="G4" s="111"/>
      <c r="H4" s="111"/>
      <c r="I4" s="111"/>
    </row>
    <row r="5" spans="2:9" ht="15" customHeight="1" thickBot="1" x14ac:dyDescent="0.25">
      <c r="B5" s="112"/>
      <c r="C5" s="112"/>
      <c r="D5" s="112"/>
      <c r="E5" s="112"/>
      <c r="F5" s="112"/>
      <c r="G5" s="112"/>
      <c r="H5" s="112"/>
      <c r="I5" s="112"/>
    </row>
    <row r="6" spans="2:9" ht="15" x14ac:dyDescent="0.2">
      <c r="B6" s="113" t="s">
        <v>75</v>
      </c>
      <c r="C6" s="67" t="s">
        <v>76</v>
      </c>
      <c r="D6" s="67" t="s">
        <v>77</v>
      </c>
      <c r="E6" s="68"/>
      <c r="F6" s="115" t="s">
        <v>78</v>
      </c>
      <c r="G6" s="115"/>
      <c r="H6" s="115"/>
      <c r="I6" s="116"/>
    </row>
    <row r="7" spans="2:9" ht="14.25" customHeight="1" x14ac:dyDescent="0.2">
      <c r="B7" s="114"/>
      <c r="C7" s="69" t="s">
        <v>79</v>
      </c>
      <c r="D7" s="69" t="s">
        <v>80</v>
      </c>
      <c r="E7" s="70"/>
      <c r="F7" s="117" t="s">
        <v>81</v>
      </c>
      <c r="G7" s="119" t="s">
        <v>82</v>
      </c>
      <c r="H7" s="120" t="s">
        <v>32</v>
      </c>
      <c r="I7" s="121"/>
    </row>
    <row r="8" spans="2:9" x14ac:dyDescent="0.2">
      <c r="B8" s="71"/>
      <c r="C8" s="72"/>
      <c r="D8" s="72"/>
      <c r="E8" s="73"/>
      <c r="F8" s="118"/>
      <c r="G8" s="119"/>
      <c r="H8" s="74" t="s">
        <v>8</v>
      </c>
      <c r="I8" s="75" t="s">
        <v>12</v>
      </c>
    </row>
    <row r="9" spans="2:9" x14ac:dyDescent="0.2">
      <c r="B9" s="76" t="s">
        <v>99</v>
      </c>
      <c r="C9" s="77">
        <f>'FE - Residential RPP'!C7</f>
        <v>800</v>
      </c>
      <c r="D9" s="72"/>
      <c r="E9" s="70"/>
      <c r="F9" s="79">
        <f>'FE - Residential RPP'!E30</f>
        <v>53.775567999999993</v>
      </c>
      <c r="G9" s="79">
        <f>'FE - Residential RPP'!I30</f>
        <v>51.881583999999997</v>
      </c>
      <c r="H9" s="79">
        <f>G9-F9</f>
        <v>-1.8939839999999961</v>
      </c>
      <c r="I9" s="80">
        <f>IF(ISBLANK(F9),"",H9/F9)</f>
        <v>-3.5220157972110984E-2</v>
      </c>
    </row>
    <row r="10" spans="2:9" x14ac:dyDescent="0.2">
      <c r="B10" s="76" t="s">
        <v>101</v>
      </c>
      <c r="C10" s="77">
        <f>'FE - Residential'!C7</f>
        <v>800</v>
      </c>
      <c r="D10" s="78"/>
      <c r="E10" s="70"/>
      <c r="F10" s="79">
        <f>'FE - Residential'!E30</f>
        <v>53.775567999999993</v>
      </c>
      <c r="G10" s="79">
        <f>'FE - Residential'!I30</f>
        <v>49.881583999999997</v>
      </c>
      <c r="H10" s="79">
        <f>G10-F10</f>
        <v>-3.8939839999999961</v>
      </c>
      <c r="I10" s="80">
        <f>IF(ISBLANK(F10),"",H10/F10)</f>
        <v>-7.2411768853840777E-2</v>
      </c>
    </row>
    <row r="11" spans="2:9" x14ac:dyDescent="0.2">
      <c r="B11" s="76" t="s">
        <v>100</v>
      </c>
      <c r="C11" s="77">
        <f>'FE - GS &lt; 50 kW RPP'!C7</f>
        <v>2000</v>
      </c>
      <c r="D11" s="78"/>
      <c r="E11" s="70"/>
      <c r="F11" s="79">
        <f>'FE - GS &lt; 50 kW RPP'!E30</f>
        <v>114.00464000000004</v>
      </c>
      <c r="G11" s="79">
        <f>'FE - GS &lt; 50 kW RPP'!I30</f>
        <v>109.53884000000001</v>
      </c>
      <c r="H11" s="79">
        <f>G11-F11</f>
        <v>-4.46580000000003</v>
      </c>
      <c r="I11" s="80">
        <f>IF(ISBLANK(F11),"",H11/F11)</f>
        <v>-3.9172089837747205E-2</v>
      </c>
    </row>
    <row r="12" spans="2:9" x14ac:dyDescent="0.2">
      <c r="B12" s="76" t="s">
        <v>102</v>
      </c>
      <c r="C12" s="77">
        <f>'FE - GS &lt; 50 kW'!C7</f>
        <v>2000</v>
      </c>
      <c r="D12" s="78"/>
      <c r="E12" s="70"/>
      <c r="F12" s="79">
        <f>'FE - GS &lt; 50 kW'!E30</f>
        <v>114.00464000000004</v>
      </c>
      <c r="G12" s="79">
        <f>'FE - GS &lt; 50 kW'!I30</f>
        <v>104.53884000000001</v>
      </c>
      <c r="H12" s="79">
        <f t="shared" ref="H12:H16" si="0">G12-F12</f>
        <v>-9.46580000000003</v>
      </c>
      <c r="I12" s="80">
        <f t="shared" ref="I12:I16" si="1">IF(ISBLANK(F12),"",H12/F12)</f>
        <v>-8.3029953868544532E-2</v>
      </c>
    </row>
    <row r="13" spans="2:9" x14ac:dyDescent="0.2">
      <c r="B13" s="76" t="s">
        <v>83</v>
      </c>
      <c r="C13" s="77">
        <f>'FE - GS &gt; 50 kW'!C7</f>
        <v>68620</v>
      </c>
      <c r="D13" s="77">
        <f>'FE - GS &gt; 50 kW'!C8</f>
        <v>200</v>
      </c>
      <c r="E13" s="70"/>
      <c r="F13" s="79">
        <f>'FE - GS &gt; 50 kW'!E27</f>
        <v>2899.0812156000006</v>
      </c>
      <c r="G13" s="79">
        <f>'FE - GS &gt; 50 kW'!I27</f>
        <v>2620.6912155999999</v>
      </c>
      <c r="H13" s="79">
        <f t="shared" si="0"/>
        <v>-278.39000000000078</v>
      </c>
      <c r="I13" s="80">
        <f t="shared" si="1"/>
        <v>-9.6026975202343393E-2</v>
      </c>
    </row>
    <row r="14" spans="2:9" x14ac:dyDescent="0.2">
      <c r="B14" s="76" t="s">
        <v>84</v>
      </c>
      <c r="C14" s="77">
        <f>'FE - USL'!C7</f>
        <v>800</v>
      </c>
      <c r="D14" s="81"/>
      <c r="E14" s="70"/>
      <c r="F14" s="79">
        <f>'FE - USL'!E27</f>
        <v>92.094864000000001</v>
      </c>
      <c r="G14" s="79">
        <f>'FE - USL'!I27</f>
        <v>74.520880000000005</v>
      </c>
      <c r="H14" s="79">
        <f t="shared" si="0"/>
        <v>-17.573983999999996</v>
      </c>
      <c r="I14" s="80">
        <f t="shared" si="1"/>
        <v>-0.19082479995844281</v>
      </c>
    </row>
    <row r="15" spans="2:9" x14ac:dyDescent="0.2">
      <c r="B15" s="76" t="s">
        <v>21</v>
      </c>
      <c r="C15" s="77">
        <f>'FE - Sentinel Lgt'!C7</f>
        <v>60</v>
      </c>
      <c r="D15" s="99">
        <f>'FE - Sentinel Lgt'!C8</f>
        <v>0.2</v>
      </c>
      <c r="E15" s="70"/>
      <c r="F15" s="79">
        <f>'FE - Sentinel Lgt'!E27</f>
        <v>7.2566428000000007</v>
      </c>
      <c r="G15" s="79">
        <f>'FE - Sentinel Lgt'!I27</f>
        <v>7.1751828</v>
      </c>
      <c r="H15" s="79">
        <f t="shared" si="0"/>
        <v>-8.1460000000000754E-2</v>
      </c>
      <c r="I15" s="80">
        <f t="shared" si="1"/>
        <v>-1.12255766537111E-2</v>
      </c>
    </row>
    <row r="16" spans="2:9" x14ac:dyDescent="0.2">
      <c r="B16" s="76" t="s">
        <v>7</v>
      </c>
      <c r="C16" s="77">
        <f>'FE - Street Lgt'!C7</f>
        <v>172000</v>
      </c>
      <c r="D16" s="77">
        <f>'FE - Street Lgt'!C8</f>
        <v>490</v>
      </c>
      <c r="E16" s="70"/>
      <c r="F16" s="79">
        <f>'FE - Street Lgt'!E27</f>
        <v>27037.732359999998</v>
      </c>
      <c r="G16" s="79">
        <f>'FE - Street Lgt'!I27</f>
        <v>25603.70736</v>
      </c>
      <c r="H16" s="79">
        <f t="shared" si="0"/>
        <v>-1434.0249999999978</v>
      </c>
      <c r="I16" s="80">
        <f t="shared" si="1"/>
        <v>-5.3037916823287838E-2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3" t="s">
        <v>75</v>
      </c>
      <c r="C18" s="67" t="s">
        <v>76</v>
      </c>
      <c r="D18" s="67" t="s">
        <v>77</v>
      </c>
      <c r="E18" s="68"/>
      <c r="F18" s="115" t="s">
        <v>85</v>
      </c>
      <c r="G18" s="115"/>
      <c r="H18" s="115"/>
      <c r="I18" s="116"/>
    </row>
    <row r="19" spans="2:9" ht="14.25" customHeight="1" x14ac:dyDescent="0.2">
      <c r="B19" s="114"/>
      <c r="C19" s="69" t="s">
        <v>79</v>
      </c>
      <c r="D19" s="69" t="s">
        <v>80</v>
      </c>
      <c r="E19" s="70"/>
      <c r="F19" s="117" t="s">
        <v>81</v>
      </c>
      <c r="G19" s="119" t="s">
        <v>82</v>
      </c>
      <c r="H19" s="120" t="s">
        <v>32</v>
      </c>
      <c r="I19" s="121"/>
    </row>
    <row r="20" spans="2:9" x14ac:dyDescent="0.2">
      <c r="B20" s="71"/>
      <c r="C20" s="72"/>
      <c r="D20" s="72"/>
      <c r="E20" s="73"/>
      <c r="F20" s="118"/>
      <c r="G20" s="119"/>
      <c r="H20" s="74" t="s">
        <v>8</v>
      </c>
      <c r="I20" s="75" t="s">
        <v>12</v>
      </c>
    </row>
    <row r="21" spans="2:9" x14ac:dyDescent="0.2">
      <c r="B21" s="76" t="s">
        <v>99</v>
      </c>
      <c r="C21" s="95">
        <f>C9</f>
        <v>800</v>
      </c>
      <c r="D21" s="72"/>
      <c r="E21" s="70"/>
      <c r="F21" s="79">
        <f>'FE - Residential RPP'!E43</f>
        <v>134.972562528</v>
      </c>
      <c r="G21" s="79">
        <f>'FE - Residential RPP'!I43</f>
        <v>133.04638079999998</v>
      </c>
      <c r="H21" s="79">
        <f t="shared" ref="H21" si="2">G21-F21</f>
        <v>-1.9261817280000173</v>
      </c>
      <c r="I21" s="80">
        <f t="shared" ref="I21" si="3">IF(ISBLANK(F21),"",H21/F21)</f>
        <v>-1.4270913228015745E-2</v>
      </c>
    </row>
    <row r="22" spans="2:9" x14ac:dyDescent="0.2">
      <c r="B22" s="76" t="s">
        <v>101</v>
      </c>
      <c r="C22" s="77">
        <f>C10</f>
        <v>800</v>
      </c>
      <c r="D22" s="78"/>
      <c r="E22" s="70"/>
      <c r="F22" s="79">
        <f>'FE - Residential'!E43</f>
        <v>134.972562528</v>
      </c>
      <c r="G22" s="79">
        <f>'FE - Residential'!I43</f>
        <v>131.01238079999999</v>
      </c>
      <c r="H22" s="79">
        <f t="shared" ref="H22:H28" si="4">G22-F22</f>
        <v>-3.9601817280000091</v>
      </c>
      <c r="I22" s="80">
        <f t="shared" ref="I22:I28" si="5">IF(ISBLANK(F22),"",H22/F22)</f>
        <v>-2.934064267453225E-2</v>
      </c>
    </row>
    <row r="23" spans="2:9" x14ac:dyDescent="0.2">
      <c r="B23" s="76" t="s">
        <v>100</v>
      </c>
      <c r="C23" s="77">
        <f>C11</f>
        <v>2000</v>
      </c>
      <c r="D23" s="78"/>
      <c r="E23" s="70"/>
      <c r="F23" s="79">
        <f>'FE - GS &lt; 50 kW RPP'!E43</f>
        <v>316.26836856000006</v>
      </c>
      <c r="G23" s="79">
        <f>'FE - GS &lt; 50 kW RPP'!I43</f>
        <v>311.72664996000003</v>
      </c>
      <c r="H23" s="79">
        <f t="shared" ref="H23" si="6">G23-F23</f>
        <v>-4.5417186000000243</v>
      </c>
      <c r="I23" s="80">
        <f t="shared" ref="I23" si="7">IF(ISBLANK(F23),"",H23/F23)</f>
        <v>-1.4360331451036032E-2</v>
      </c>
    </row>
    <row r="24" spans="2:9" x14ac:dyDescent="0.2">
      <c r="B24" s="76" t="s">
        <v>102</v>
      </c>
      <c r="C24" s="77">
        <f t="shared" ref="C24:C28" si="8">C12</f>
        <v>2000</v>
      </c>
      <c r="D24" s="78"/>
      <c r="E24" s="70"/>
      <c r="F24" s="79">
        <f>'FE - GS &lt; 50 kW'!E43</f>
        <v>316.26836856000006</v>
      </c>
      <c r="G24" s="79">
        <f>'FE - GS &lt; 50 kW'!I43</f>
        <v>306.64164996</v>
      </c>
      <c r="H24" s="79">
        <f t="shared" si="4"/>
        <v>-9.6267186000000606</v>
      </c>
      <c r="I24" s="80">
        <f t="shared" si="5"/>
        <v>-3.0438448978731023E-2</v>
      </c>
    </row>
    <row r="25" spans="2:9" x14ac:dyDescent="0.2">
      <c r="B25" s="76" t="s">
        <v>83</v>
      </c>
      <c r="C25" s="77">
        <f t="shared" si="8"/>
        <v>68620</v>
      </c>
      <c r="D25" s="77">
        <f>D13</f>
        <v>200</v>
      </c>
      <c r="E25" s="70"/>
      <c r="F25" s="79">
        <f>'FE - GS &gt; 50 kW'!E38</f>
        <v>9215.6967868859992</v>
      </c>
      <c r="G25" s="79">
        <f>'FE - GS &gt; 50 kW'!I38</f>
        <v>8932.5741568859994</v>
      </c>
      <c r="H25" s="79">
        <f t="shared" si="4"/>
        <v>-283.12262999999984</v>
      </c>
      <c r="I25" s="80">
        <f t="shared" si="5"/>
        <v>-3.0721782253392421E-2</v>
      </c>
    </row>
    <row r="26" spans="2:9" x14ac:dyDescent="0.2">
      <c r="B26" s="76" t="s">
        <v>84</v>
      </c>
      <c r="C26" s="77">
        <f t="shared" si="8"/>
        <v>800</v>
      </c>
      <c r="D26" s="81"/>
      <c r="E26" s="70"/>
      <c r="F26" s="79">
        <f>'FE - USL'!E38</f>
        <v>166.97887055999999</v>
      </c>
      <c r="G26" s="79">
        <f>'FE - USL'!I38</f>
        <v>149.106128832</v>
      </c>
      <c r="H26" s="79">
        <f t="shared" si="4"/>
        <v>-17.872741727999994</v>
      </c>
      <c r="I26" s="80">
        <f t="shared" si="5"/>
        <v>-0.10703594812960385</v>
      </c>
    </row>
    <row r="27" spans="2:9" x14ac:dyDescent="0.2">
      <c r="B27" s="76" t="s">
        <v>21</v>
      </c>
      <c r="C27" s="77">
        <f t="shared" si="8"/>
        <v>60</v>
      </c>
      <c r="D27" s="99">
        <f>D15</f>
        <v>0.2</v>
      </c>
      <c r="E27" s="70"/>
      <c r="F27" s="79">
        <f>'FE - Sentinel Lgt'!E38</f>
        <v>11.271018438</v>
      </c>
      <c r="G27" s="79">
        <f>'FE - Sentinel Lgt'!I38</f>
        <v>11.188173617999999</v>
      </c>
      <c r="H27" s="79">
        <f t="shared" si="4"/>
        <v>-8.2844820000001818E-2</v>
      </c>
      <c r="I27" s="80">
        <f t="shared" si="5"/>
        <v>-7.350251483991212E-3</v>
      </c>
    </row>
    <row r="28" spans="2:9" ht="15" thickBot="1" x14ac:dyDescent="0.25">
      <c r="B28" s="86" t="s">
        <v>7</v>
      </c>
      <c r="C28" s="87">
        <f t="shared" si="8"/>
        <v>172000</v>
      </c>
      <c r="D28" s="87">
        <f>D16</f>
        <v>490</v>
      </c>
      <c r="E28" s="88"/>
      <c r="F28" s="89">
        <f>'FE - Street Lgt'!E38</f>
        <v>43206.418992599996</v>
      </c>
      <c r="G28" s="89">
        <f>'FE - Street Lgt'!I38</f>
        <v>41748.015567599999</v>
      </c>
      <c r="H28" s="89">
        <f t="shared" si="4"/>
        <v>-1458.4034249999968</v>
      </c>
      <c r="I28" s="90">
        <f t="shared" si="5"/>
        <v>-3.3754323061343704E-2</v>
      </c>
    </row>
  </sheetData>
  <mergeCells count="11">
    <mergeCell ref="B18:B19"/>
    <mergeCell ref="F18:I18"/>
    <mergeCell ref="F19:F20"/>
    <mergeCell ref="G19:G20"/>
    <mergeCell ref="H19:I19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zoomScaleNormal="100" workbookViewId="0">
      <selection activeCell="B10" sqref="B10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1" t="s">
        <v>96</v>
      </c>
      <c r="C3" s="111"/>
      <c r="D3" s="111"/>
      <c r="E3" s="111"/>
      <c r="F3" s="111"/>
      <c r="G3" s="111"/>
      <c r="H3" s="111"/>
      <c r="I3" s="111"/>
    </row>
    <row r="4" spans="2:9" ht="14.25" customHeight="1" x14ac:dyDescent="0.2">
      <c r="B4" s="111"/>
      <c r="C4" s="111"/>
      <c r="D4" s="111"/>
      <c r="E4" s="111"/>
      <c r="F4" s="111"/>
      <c r="G4" s="111"/>
      <c r="H4" s="111"/>
      <c r="I4" s="111"/>
    </row>
    <row r="5" spans="2:9" ht="15" customHeight="1" thickBot="1" x14ac:dyDescent="0.25">
      <c r="B5" s="112"/>
      <c r="C5" s="112"/>
      <c r="D5" s="112"/>
      <c r="E5" s="112"/>
      <c r="F5" s="112"/>
      <c r="G5" s="112"/>
      <c r="H5" s="112"/>
      <c r="I5" s="112"/>
    </row>
    <row r="6" spans="2:9" ht="15" x14ac:dyDescent="0.2">
      <c r="B6" s="122" t="s">
        <v>75</v>
      </c>
      <c r="C6" s="97" t="s">
        <v>76</v>
      </c>
      <c r="D6" s="97" t="s">
        <v>77</v>
      </c>
      <c r="E6" s="68"/>
      <c r="F6" s="115" t="s">
        <v>78</v>
      </c>
      <c r="G6" s="115"/>
      <c r="H6" s="115"/>
      <c r="I6" s="116"/>
    </row>
    <row r="7" spans="2:9" ht="14.25" customHeight="1" x14ac:dyDescent="0.2">
      <c r="B7" s="123"/>
      <c r="C7" s="98" t="s">
        <v>79</v>
      </c>
      <c r="D7" s="98" t="s">
        <v>80</v>
      </c>
      <c r="E7" s="70"/>
      <c r="F7" s="117" t="s">
        <v>81</v>
      </c>
      <c r="G7" s="119" t="s">
        <v>82</v>
      </c>
      <c r="H7" s="120" t="s">
        <v>32</v>
      </c>
      <c r="I7" s="121"/>
    </row>
    <row r="8" spans="2:9" x14ac:dyDescent="0.2">
      <c r="B8" s="71"/>
      <c r="C8" s="72"/>
      <c r="D8" s="72"/>
      <c r="E8" s="73"/>
      <c r="F8" s="118"/>
      <c r="G8" s="119"/>
      <c r="H8" s="74" t="s">
        <v>8</v>
      </c>
      <c r="I8" s="75" t="s">
        <v>12</v>
      </c>
    </row>
    <row r="9" spans="2:9" x14ac:dyDescent="0.2">
      <c r="B9" s="76" t="s">
        <v>99</v>
      </c>
      <c r="C9" s="77">
        <f>'EOP - Residential RPP'!C7</f>
        <v>800</v>
      </c>
      <c r="D9" s="72"/>
      <c r="E9" s="70"/>
      <c r="F9" s="79">
        <f>'EOP - Residential RPP'!E30</f>
        <v>53.565567999999992</v>
      </c>
      <c r="G9" s="79">
        <f>'EOP - Residential RPP'!I30</f>
        <v>51.481583999999998</v>
      </c>
      <c r="H9" s="79">
        <f>G9-F9</f>
        <v>-2.0839839999999938</v>
      </c>
      <c r="I9" s="80">
        <f>IF(ISBLANK(F9),"",H9/F9)</f>
        <v>-3.8905290801732828E-2</v>
      </c>
    </row>
    <row r="10" spans="2:9" x14ac:dyDescent="0.2">
      <c r="B10" s="76" t="s">
        <v>101</v>
      </c>
      <c r="C10" s="77">
        <f>'EOP - Residential'!C7</f>
        <v>800</v>
      </c>
      <c r="D10" s="78"/>
      <c r="E10" s="70"/>
      <c r="F10" s="79">
        <f>'EOP - Residential'!E30</f>
        <v>53.565567999999992</v>
      </c>
      <c r="G10" s="79">
        <f>'EOP - Residential'!I30</f>
        <v>57.481583999999998</v>
      </c>
      <c r="H10" s="79">
        <f>G10-F10</f>
        <v>3.9160160000000062</v>
      </c>
      <c r="I10" s="80">
        <f>IF(ISBLANK(F10),"",H10/F10)</f>
        <v>7.3106963040138154E-2</v>
      </c>
    </row>
    <row r="11" spans="2:9" x14ac:dyDescent="0.2">
      <c r="B11" s="76" t="s">
        <v>100</v>
      </c>
      <c r="C11" s="77">
        <f>'EOP - GS &lt; 50 kW RPP'!C7</f>
        <v>2000</v>
      </c>
      <c r="D11" s="78"/>
      <c r="E11" s="70"/>
      <c r="F11" s="79">
        <f>'EOP - GS &lt; 50 kW RPP'!E30</f>
        <v>114.02464000000003</v>
      </c>
      <c r="G11" s="79">
        <f>'EOP - GS &lt; 50 kW RPP'!I30</f>
        <v>108.53884000000001</v>
      </c>
      <c r="H11" s="79">
        <f t="shared" ref="H11" si="0">G11-F11</f>
        <v>-5.485800000000026</v>
      </c>
      <c r="I11" s="80">
        <f t="shared" ref="I11" si="1">IF(ISBLANK(F11),"",H11/F11)</f>
        <v>-4.8110653977947435E-2</v>
      </c>
    </row>
    <row r="12" spans="2:9" x14ac:dyDescent="0.2">
      <c r="B12" s="76" t="s">
        <v>102</v>
      </c>
      <c r="C12" s="77">
        <f>'EOP - GS &lt; 50 kW'!C7</f>
        <v>2000</v>
      </c>
      <c r="D12" s="78"/>
      <c r="E12" s="70"/>
      <c r="F12" s="79">
        <f>'EOP - GS &lt; 50 kW'!E30</f>
        <v>114.02464000000003</v>
      </c>
      <c r="G12" s="79">
        <f>'EOP - GS &lt; 50 kW'!I30</f>
        <v>123.53884000000001</v>
      </c>
      <c r="H12" s="79">
        <f t="shared" ref="H12:H16" si="2">G12-F12</f>
        <v>9.514199999999974</v>
      </c>
      <c r="I12" s="80">
        <f t="shared" ref="I12:I16" si="3">IF(ISBLANK(F12),"",H12/F12)</f>
        <v>8.3439860016220807E-2</v>
      </c>
    </row>
    <row r="13" spans="2:9" x14ac:dyDescent="0.2">
      <c r="B13" s="76" t="s">
        <v>83</v>
      </c>
      <c r="C13" s="77">
        <f>'EOP - GS &gt; 50 kW'!C7</f>
        <v>68620</v>
      </c>
      <c r="D13" s="77">
        <f>'EOP - GS &gt; 50 kW'!C8</f>
        <v>200</v>
      </c>
      <c r="E13" s="70"/>
      <c r="F13" s="79">
        <f>'EOP - GS &gt; 50 kW'!E27</f>
        <v>2841.6212156000001</v>
      </c>
      <c r="G13" s="79">
        <f>'EOP - GS &gt; 50 kW'!I27</f>
        <v>3293.7312155999998</v>
      </c>
      <c r="H13" s="79">
        <f t="shared" si="2"/>
        <v>452.10999999999967</v>
      </c>
      <c r="I13" s="80">
        <f t="shared" si="3"/>
        <v>0.15910283802710767</v>
      </c>
    </row>
    <row r="14" spans="2:9" x14ac:dyDescent="0.2">
      <c r="B14" s="76" t="s">
        <v>84</v>
      </c>
      <c r="C14" s="77">
        <f>'EOP - USL'!C7</f>
        <v>800</v>
      </c>
      <c r="D14" s="81"/>
      <c r="E14" s="70"/>
      <c r="F14" s="79">
        <f>'EOP - USL'!E26</f>
        <v>89.774864000000008</v>
      </c>
      <c r="G14" s="79">
        <f>'EOP - USL'!I26</f>
        <v>76.12088</v>
      </c>
      <c r="H14" s="79">
        <f t="shared" si="2"/>
        <v>-13.653984000000008</v>
      </c>
      <c r="I14" s="80">
        <f t="shared" si="3"/>
        <v>-0.15209139163942378</v>
      </c>
    </row>
    <row r="15" spans="2:9" x14ac:dyDescent="0.2">
      <c r="B15" s="76" t="s">
        <v>21</v>
      </c>
      <c r="C15" s="77">
        <f>'EOP - Sentinel Lgt'!C7</f>
        <v>60</v>
      </c>
      <c r="D15" s="99">
        <f>'EOP - Sentinel Lgt'!C8</f>
        <v>0.2</v>
      </c>
      <c r="E15" s="70"/>
      <c r="F15" s="79">
        <f>'EOP - Sentinel Lgt'!E26</f>
        <v>7.0343828000000004</v>
      </c>
      <c r="G15" s="79">
        <f>'EOP - Sentinel Lgt'!I26</f>
        <v>7.2853427999999996</v>
      </c>
      <c r="H15" s="79">
        <f t="shared" si="2"/>
        <v>0.25095999999999918</v>
      </c>
      <c r="I15" s="80">
        <f t="shared" si="3"/>
        <v>3.56761932262201E-2</v>
      </c>
    </row>
    <row r="16" spans="2:9" x14ac:dyDescent="0.2">
      <c r="B16" s="76" t="s">
        <v>7</v>
      </c>
      <c r="C16" s="77">
        <f>'EOP - Street Lgt'!C7</f>
        <v>46000</v>
      </c>
      <c r="D16" s="77">
        <f>'EOP - Street Lgt'!C8</f>
        <v>129</v>
      </c>
      <c r="E16" s="70"/>
      <c r="F16" s="79">
        <f>'EOP - Street Lgt'!E27</f>
        <v>6822.8135799999991</v>
      </c>
      <c r="G16" s="79">
        <f>'EOP - Street Lgt'!I27</f>
        <v>6899.7332799999995</v>
      </c>
      <c r="H16" s="79">
        <f t="shared" si="2"/>
        <v>76.919700000000375</v>
      </c>
      <c r="I16" s="80">
        <f t="shared" si="3"/>
        <v>1.1273897358925112E-2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3" t="s">
        <v>75</v>
      </c>
      <c r="C18" s="67" t="s">
        <v>76</v>
      </c>
      <c r="D18" s="67" t="s">
        <v>77</v>
      </c>
      <c r="E18" s="68"/>
      <c r="F18" s="115" t="s">
        <v>85</v>
      </c>
      <c r="G18" s="115"/>
      <c r="H18" s="115"/>
      <c r="I18" s="116"/>
    </row>
    <row r="19" spans="2:9" ht="14.25" customHeight="1" x14ac:dyDescent="0.2">
      <c r="B19" s="114"/>
      <c r="C19" s="69" t="s">
        <v>79</v>
      </c>
      <c r="D19" s="69" t="s">
        <v>80</v>
      </c>
      <c r="E19" s="70"/>
      <c r="F19" s="117" t="s">
        <v>81</v>
      </c>
      <c r="G19" s="119" t="s">
        <v>82</v>
      </c>
      <c r="H19" s="120" t="s">
        <v>32</v>
      </c>
      <c r="I19" s="121"/>
    </row>
    <row r="20" spans="2:9" x14ac:dyDescent="0.2">
      <c r="B20" s="71"/>
      <c r="C20" s="72"/>
      <c r="D20" s="72"/>
      <c r="E20" s="73"/>
      <c r="F20" s="118"/>
      <c r="G20" s="119"/>
      <c r="H20" s="74" t="s">
        <v>8</v>
      </c>
      <c r="I20" s="75" t="s">
        <v>12</v>
      </c>
    </row>
    <row r="21" spans="2:9" x14ac:dyDescent="0.2">
      <c r="B21" s="76" t="s">
        <v>99</v>
      </c>
      <c r="C21" s="95">
        <f>C9</f>
        <v>800</v>
      </c>
      <c r="D21" s="72"/>
      <c r="E21" s="70"/>
      <c r="F21" s="79">
        <f>'EOP - Residential RPP'!E43</f>
        <v>138.90835252799999</v>
      </c>
      <c r="G21" s="96">
        <f>'EOP - Residential RPP'!I43</f>
        <v>136.78894079999998</v>
      </c>
      <c r="H21" s="79">
        <f t="shared" ref="H21" si="4">G21-F21</f>
        <v>-2.1194117280000171</v>
      </c>
      <c r="I21" s="80">
        <f t="shared" ref="I21" si="5">IF(ISBLANK(F21),"",H21/F21)</f>
        <v>-1.5257626265294621E-2</v>
      </c>
    </row>
    <row r="22" spans="2:9" x14ac:dyDescent="0.2">
      <c r="B22" s="76" t="s">
        <v>101</v>
      </c>
      <c r="C22" s="77">
        <f>C10</f>
        <v>800</v>
      </c>
      <c r="D22" s="78"/>
      <c r="E22" s="70"/>
      <c r="F22" s="79">
        <f>'EOP - Residential'!E43</f>
        <v>138.90835252799999</v>
      </c>
      <c r="G22" s="79">
        <f>'EOP - Residential'!I43</f>
        <v>142.89094080000001</v>
      </c>
      <c r="H22" s="79">
        <f t="shared" ref="H22:H28" si="6">G22-F22</f>
        <v>3.9825882720000152</v>
      </c>
      <c r="I22" s="80">
        <f t="shared" ref="I22:I28" si="7">IF(ISBLANK(F22),"",H22/F22)</f>
        <v>2.8670617709595527E-2</v>
      </c>
    </row>
    <row r="23" spans="2:9" x14ac:dyDescent="0.2">
      <c r="B23" s="76" t="s">
        <v>100</v>
      </c>
      <c r="C23" s="77">
        <f>C11</f>
        <v>2000</v>
      </c>
      <c r="D23" s="78"/>
      <c r="E23" s="70"/>
      <c r="F23" s="79">
        <f>'EOP - GS &lt; 50 kW RPP'!E43</f>
        <v>326.66210856000009</v>
      </c>
      <c r="G23" s="79">
        <f>'EOP - GS &lt; 50 kW RPP'!I43</f>
        <v>321.08304996000004</v>
      </c>
      <c r="H23" s="79">
        <f t="shared" ref="H23" si="8">G23-F23</f>
        <v>-5.579058600000053</v>
      </c>
      <c r="I23" s="80">
        <f t="shared" ref="I23" si="9">IF(ISBLANK(F23),"",H23/F23)</f>
        <v>-1.707898912608443E-2</v>
      </c>
    </row>
    <row r="24" spans="2:9" x14ac:dyDescent="0.2">
      <c r="B24" s="76" t="s">
        <v>102</v>
      </c>
      <c r="C24" s="77">
        <f t="shared" ref="C24:C28" si="10">C12</f>
        <v>2000</v>
      </c>
      <c r="D24" s="78"/>
      <c r="E24" s="70"/>
      <c r="F24" s="79">
        <f>'EOP - GS &lt; 50 kW'!E43</f>
        <v>326.66210856000009</v>
      </c>
      <c r="G24" s="79">
        <f>'EOP - GS &lt; 50 kW'!I43</f>
        <v>336.33804996000003</v>
      </c>
      <c r="H24" s="79">
        <f t="shared" si="6"/>
        <v>9.6759413999999424</v>
      </c>
      <c r="I24" s="80">
        <f t="shared" si="7"/>
        <v>2.9620642083814569E-2</v>
      </c>
    </row>
    <row r="25" spans="2:9" x14ac:dyDescent="0.2">
      <c r="B25" s="76" t="s">
        <v>83</v>
      </c>
      <c r="C25" s="77">
        <f t="shared" si="10"/>
        <v>68620</v>
      </c>
      <c r="D25" s="77">
        <f>D13</f>
        <v>200</v>
      </c>
      <c r="E25" s="70"/>
      <c r="F25" s="79">
        <f>'EOP - GS &gt; 50 kW'!E38</f>
        <v>9513.1713208859983</v>
      </c>
      <c r="G25" s="79">
        <f>'EOP - GS &gt; 50 kW'!I38</f>
        <v>9972.967190886</v>
      </c>
      <c r="H25" s="79">
        <f t="shared" si="6"/>
        <v>459.79587000000174</v>
      </c>
      <c r="I25" s="80">
        <f t="shared" si="7"/>
        <v>4.8332554359714737E-2</v>
      </c>
    </row>
    <row r="26" spans="2:9" x14ac:dyDescent="0.2">
      <c r="B26" s="76" t="s">
        <v>84</v>
      </c>
      <c r="C26" s="77">
        <f t="shared" si="10"/>
        <v>800</v>
      </c>
      <c r="D26" s="81"/>
      <c r="E26" s="70"/>
      <c r="F26" s="79">
        <f>'EOP - USL'!E37</f>
        <v>168.76879056000001</v>
      </c>
      <c r="G26" s="79">
        <f>'EOP - USL'!I37</f>
        <v>154.88268883200001</v>
      </c>
      <c r="H26" s="79">
        <f t="shared" si="6"/>
        <v>-13.886101728</v>
      </c>
      <c r="I26" s="80">
        <f t="shared" si="7"/>
        <v>-8.2278848369558399E-2</v>
      </c>
    </row>
    <row r="27" spans="2:9" x14ac:dyDescent="0.2">
      <c r="B27" s="76" t="s">
        <v>21</v>
      </c>
      <c r="C27" s="77">
        <f t="shared" si="10"/>
        <v>60</v>
      </c>
      <c r="D27" s="99">
        <f>D15</f>
        <v>0.2</v>
      </c>
      <c r="E27" s="70"/>
      <c r="F27" s="79">
        <f>'EOP - Sentinel Lgt'!E37</f>
        <v>11.356182018000002</v>
      </c>
      <c r="G27" s="79">
        <f>'EOP - Sentinel Lgt'!I37</f>
        <v>11.611408338</v>
      </c>
      <c r="H27" s="79">
        <f t="shared" si="6"/>
        <v>0.25522631999999845</v>
      </c>
      <c r="I27" s="80">
        <f t="shared" si="7"/>
        <v>2.2474659141202082E-2</v>
      </c>
    </row>
    <row r="28" spans="2:9" ht="15" thickBot="1" x14ac:dyDescent="0.25">
      <c r="B28" s="86" t="s">
        <v>7</v>
      </c>
      <c r="C28" s="87">
        <f t="shared" si="10"/>
        <v>46000</v>
      </c>
      <c r="D28" s="87">
        <f>D16</f>
        <v>129</v>
      </c>
      <c r="E28" s="88"/>
      <c r="F28" s="89">
        <f>'EOP - Street Lgt'!E38</f>
        <v>11378.8321335</v>
      </c>
      <c r="G28" s="89">
        <f>'EOP - Street Lgt'!I38</f>
        <v>11457.059468400001</v>
      </c>
      <c r="H28" s="89">
        <f t="shared" si="6"/>
        <v>78.227334900000642</v>
      </c>
      <c r="I28" s="90">
        <f t="shared" si="7"/>
        <v>6.8748122814550035E-3</v>
      </c>
    </row>
  </sheetData>
  <mergeCells count="11">
    <mergeCell ref="B18:B19"/>
    <mergeCell ref="F18:I18"/>
    <mergeCell ref="F19:F20"/>
    <mergeCell ref="G19:G20"/>
    <mergeCell ref="H19:I19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zoomScaleNormal="100" workbookViewId="0">
      <selection activeCell="B33" sqref="B33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1" t="s">
        <v>97</v>
      </c>
      <c r="C3" s="111"/>
      <c r="D3" s="111"/>
      <c r="E3" s="111"/>
      <c r="F3" s="111"/>
      <c r="G3" s="111"/>
      <c r="H3" s="111"/>
      <c r="I3" s="111"/>
    </row>
    <row r="4" spans="2:9" ht="14.25" customHeight="1" x14ac:dyDescent="0.2">
      <c r="B4" s="111"/>
      <c r="C4" s="111"/>
      <c r="D4" s="111"/>
      <c r="E4" s="111"/>
      <c r="F4" s="111"/>
      <c r="G4" s="111"/>
      <c r="H4" s="111"/>
      <c r="I4" s="111"/>
    </row>
    <row r="5" spans="2:9" ht="15" customHeight="1" thickBot="1" x14ac:dyDescent="0.25">
      <c r="B5" s="112"/>
      <c r="C5" s="112"/>
      <c r="D5" s="112"/>
      <c r="E5" s="112"/>
      <c r="F5" s="112"/>
      <c r="G5" s="112"/>
      <c r="H5" s="112"/>
      <c r="I5" s="112"/>
    </row>
    <row r="6" spans="2:9" ht="15" x14ac:dyDescent="0.2">
      <c r="B6" s="113" t="s">
        <v>75</v>
      </c>
      <c r="C6" s="67" t="s">
        <v>76</v>
      </c>
      <c r="D6" s="67" t="s">
        <v>77</v>
      </c>
      <c r="E6" s="68"/>
      <c r="F6" s="115" t="s">
        <v>78</v>
      </c>
      <c r="G6" s="115"/>
      <c r="H6" s="115"/>
      <c r="I6" s="116"/>
    </row>
    <row r="7" spans="2:9" ht="14.25" customHeight="1" x14ac:dyDescent="0.2">
      <c r="B7" s="114"/>
      <c r="C7" s="69" t="s">
        <v>79</v>
      </c>
      <c r="D7" s="69" t="s">
        <v>80</v>
      </c>
      <c r="E7" s="70"/>
      <c r="F7" s="117" t="s">
        <v>81</v>
      </c>
      <c r="G7" s="119" t="s">
        <v>82</v>
      </c>
      <c r="H7" s="120" t="s">
        <v>32</v>
      </c>
      <c r="I7" s="121"/>
    </row>
    <row r="8" spans="2:9" x14ac:dyDescent="0.2">
      <c r="B8" s="71"/>
      <c r="C8" s="72"/>
      <c r="D8" s="72"/>
      <c r="E8" s="73"/>
      <c r="F8" s="118"/>
      <c r="G8" s="119"/>
      <c r="H8" s="74" t="s">
        <v>8</v>
      </c>
      <c r="I8" s="75" t="s">
        <v>12</v>
      </c>
    </row>
    <row r="9" spans="2:9" x14ac:dyDescent="0.2">
      <c r="B9" s="76" t="s">
        <v>99</v>
      </c>
      <c r="C9" s="77">
        <f>'PC - Residential RPP'!C7</f>
        <v>800</v>
      </c>
      <c r="D9" s="72"/>
      <c r="E9" s="70"/>
      <c r="F9" s="79">
        <f>'PC - Residential RPP'!E31</f>
        <v>55.875568000000001</v>
      </c>
      <c r="G9" s="79">
        <f>'PC - Residential RPP'!I31</f>
        <v>51.451583999999997</v>
      </c>
      <c r="H9" s="79">
        <f>G9-F9</f>
        <v>-4.4239840000000044</v>
      </c>
      <c r="I9" s="80">
        <f>IF(ISBLANK(F9),"",H9/F9)</f>
        <v>-7.9175642563490439E-2</v>
      </c>
    </row>
    <row r="10" spans="2:9" x14ac:dyDescent="0.2">
      <c r="B10" s="76" t="s">
        <v>101</v>
      </c>
      <c r="C10" s="77">
        <f>'PC - Residential'!C7</f>
        <v>800</v>
      </c>
      <c r="D10" s="78"/>
      <c r="E10" s="70"/>
      <c r="F10" s="79">
        <f>'PC - Residential'!E31</f>
        <v>55.875568000000001</v>
      </c>
      <c r="G10" s="79">
        <f>'PC - Residential'!I31</f>
        <v>49.611583999999993</v>
      </c>
      <c r="H10" s="79">
        <f>G10-F10</f>
        <v>-6.2639840000000078</v>
      </c>
      <c r="I10" s="80">
        <f>IF(ISBLANK(F10),"",H10/F10)</f>
        <v>-0.11210595657837442</v>
      </c>
    </row>
    <row r="11" spans="2:9" x14ac:dyDescent="0.2">
      <c r="B11" s="76" t="s">
        <v>100</v>
      </c>
      <c r="C11" s="77">
        <f>'PC - GS &lt; 50 KW RPP'!C7</f>
        <v>2000</v>
      </c>
      <c r="D11" s="78"/>
      <c r="E11" s="70"/>
      <c r="F11" s="79">
        <f>'PC - GS &lt; 50 KW RPP'!E31</f>
        <v>117.28464000000001</v>
      </c>
      <c r="G11" s="79">
        <f>'PC - GS &lt; 50 KW RPP'!I31</f>
        <v>107.28884000000001</v>
      </c>
      <c r="H11" s="79">
        <f>G11-F11</f>
        <v>-9.9958000000000027</v>
      </c>
      <c r="I11" s="80">
        <f>IF(ISBLANK(F11),"",H11/F11)</f>
        <v>-8.5226846413989088E-2</v>
      </c>
    </row>
    <row r="12" spans="2:9" x14ac:dyDescent="0.2">
      <c r="B12" s="76" t="s">
        <v>102</v>
      </c>
      <c r="C12" s="77">
        <f>'PC - GS &lt; 50 KW'!C7</f>
        <v>2000</v>
      </c>
      <c r="D12" s="78"/>
      <c r="E12" s="70"/>
      <c r="F12" s="79">
        <f>'PC - GS &lt; 50 KW'!E31</f>
        <v>117.28464000000001</v>
      </c>
      <c r="G12" s="79">
        <f>'PC - GS &lt; 50 KW'!I31</f>
        <v>102.68884000000001</v>
      </c>
      <c r="H12" s="79">
        <f t="shared" ref="H12:H16" si="0">G12-F12</f>
        <v>-14.595799999999997</v>
      </c>
      <c r="I12" s="80">
        <f t="shared" ref="I12:I16" si="1">IF(ISBLANK(F12),"",H12/F12)</f>
        <v>-0.12444766850970422</v>
      </c>
    </row>
    <row r="13" spans="2:9" x14ac:dyDescent="0.2">
      <c r="B13" s="76" t="s">
        <v>83</v>
      </c>
      <c r="C13" s="77">
        <f>'PC - GS &gt; 50 kW'!C7</f>
        <v>68620</v>
      </c>
      <c r="D13" s="77">
        <f>'PC - GS &gt; 50 kW'!C8</f>
        <v>200</v>
      </c>
      <c r="E13" s="70"/>
      <c r="F13" s="79">
        <f>'PC - GS &gt; 50 kW'!E28</f>
        <v>2790.3112156000002</v>
      </c>
      <c r="G13" s="79">
        <f>'PC - GS &gt; 50 kW'!I28</f>
        <v>2614.7312156000003</v>
      </c>
      <c r="H13" s="79">
        <f t="shared" si="0"/>
        <v>-175.57999999999993</v>
      </c>
      <c r="I13" s="80">
        <f t="shared" si="1"/>
        <v>-6.2924880571877354E-2</v>
      </c>
    </row>
    <row r="14" spans="2:9" x14ac:dyDescent="0.2">
      <c r="B14" s="76" t="s">
        <v>84</v>
      </c>
      <c r="C14" s="77">
        <f>'PC - USL'!C7</f>
        <v>800</v>
      </c>
      <c r="D14" s="81"/>
      <c r="E14" s="70"/>
      <c r="F14" s="79">
        <f>'PC - USL'!E28</f>
        <v>77.874864000000002</v>
      </c>
      <c r="G14" s="79">
        <f>'PC - USL'!I28</f>
        <v>66.650879999999987</v>
      </c>
      <c r="H14" s="79">
        <f t="shared" si="0"/>
        <v>-11.223984000000016</v>
      </c>
      <c r="I14" s="80">
        <f t="shared" si="1"/>
        <v>-0.14412845716173597</v>
      </c>
    </row>
    <row r="15" spans="2:9" x14ac:dyDescent="0.2">
      <c r="B15" s="76" t="s">
        <v>21</v>
      </c>
      <c r="C15" s="77">
        <f>'PC - Sentinel Lgt'!C7</f>
        <v>60</v>
      </c>
      <c r="D15" s="99">
        <f>'PC - Sentinel Lgt'!C8</f>
        <v>0.2</v>
      </c>
      <c r="E15" s="70"/>
      <c r="F15" s="79">
        <f>'PC - Sentinel Lgt'!E27</f>
        <v>7.3767627999999998</v>
      </c>
      <c r="G15" s="79">
        <f>'PC - Sentinel Lgt'!I27</f>
        <v>7.3783627999999997</v>
      </c>
      <c r="H15" s="79">
        <f t="shared" si="0"/>
        <v>1.5999999999998238E-3</v>
      </c>
      <c r="I15" s="80">
        <f t="shared" si="1"/>
        <v>2.1689730893879682E-4</v>
      </c>
    </row>
    <row r="16" spans="2:9" x14ac:dyDescent="0.2">
      <c r="B16" s="76" t="s">
        <v>7</v>
      </c>
      <c r="C16" s="77">
        <f>'PC - Street Lgt'!C7</f>
        <v>155000</v>
      </c>
      <c r="D16" s="77">
        <f>'PC - Street Lgt'!C8</f>
        <v>445</v>
      </c>
      <c r="E16" s="70"/>
      <c r="F16" s="79">
        <f>'PC - Street Lgt'!E28</f>
        <v>15466.251899999999</v>
      </c>
      <c r="G16" s="79">
        <f>'PC - Street Lgt'!I28</f>
        <v>16014.045899999999</v>
      </c>
      <c r="H16" s="79">
        <f t="shared" si="0"/>
        <v>547.79399999999987</v>
      </c>
      <c r="I16" s="80">
        <f t="shared" si="1"/>
        <v>3.5418665332872273E-2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3" t="s">
        <v>75</v>
      </c>
      <c r="C18" s="67" t="s">
        <v>76</v>
      </c>
      <c r="D18" s="67" t="s">
        <v>77</v>
      </c>
      <c r="E18" s="68"/>
      <c r="F18" s="115" t="s">
        <v>85</v>
      </c>
      <c r="G18" s="115"/>
      <c r="H18" s="115"/>
      <c r="I18" s="116"/>
    </row>
    <row r="19" spans="2:9" ht="14.25" customHeight="1" x14ac:dyDescent="0.2">
      <c r="B19" s="114"/>
      <c r="C19" s="69" t="s">
        <v>79</v>
      </c>
      <c r="D19" s="69" t="s">
        <v>80</v>
      </c>
      <c r="E19" s="70"/>
      <c r="F19" s="117" t="s">
        <v>81</v>
      </c>
      <c r="G19" s="119" t="s">
        <v>82</v>
      </c>
      <c r="H19" s="120" t="s">
        <v>32</v>
      </c>
      <c r="I19" s="121"/>
    </row>
    <row r="20" spans="2:9" x14ac:dyDescent="0.2">
      <c r="B20" s="71"/>
      <c r="C20" s="72"/>
      <c r="D20" s="72"/>
      <c r="E20" s="73"/>
      <c r="F20" s="118"/>
      <c r="G20" s="119"/>
      <c r="H20" s="74" t="s">
        <v>8</v>
      </c>
      <c r="I20" s="75" t="s">
        <v>12</v>
      </c>
    </row>
    <row r="21" spans="2:9" x14ac:dyDescent="0.2">
      <c r="B21" s="76" t="s">
        <v>99</v>
      </c>
      <c r="C21" s="77">
        <f>C9</f>
        <v>800</v>
      </c>
      <c r="D21" s="72"/>
      <c r="E21" s="70"/>
      <c r="F21" s="79">
        <f>'PC - Residential RPP'!E44</f>
        <v>142.80346252800001</v>
      </c>
      <c r="G21" s="79">
        <f>'PC - Residential RPP'!I44</f>
        <v>138.30427080000001</v>
      </c>
      <c r="H21" s="79">
        <f t="shared" ref="H21" si="2">G21-F21</f>
        <v>-4.4991917279999996</v>
      </c>
      <c r="I21" s="80">
        <f t="shared" ref="I21" si="3">IF(ISBLANK(F21),"",H21/F21)</f>
        <v>-3.1506180931136919E-2</v>
      </c>
    </row>
    <row r="22" spans="2:9" x14ac:dyDescent="0.2">
      <c r="B22" s="76" t="s">
        <v>101</v>
      </c>
      <c r="C22" s="77">
        <f>C10</f>
        <v>800</v>
      </c>
      <c r="D22" s="78"/>
      <c r="E22" s="70"/>
      <c r="F22" s="79">
        <f>'PC - Residential'!E44</f>
        <v>142.80346252800001</v>
      </c>
      <c r="G22" s="79">
        <f>'PC - Residential'!I44</f>
        <v>136.4329908</v>
      </c>
      <c r="H22" s="79">
        <f t="shared" ref="H22:H28" si="4">G22-F22</f>
        <v>-6.3704717280000125</v>
      </c>
      <c r="I22" s="80">
        <f t="shared" ref="I22:I28" si="5">IF(ISBLANK(F22),"",H22/F22)</f>
        <v>-4.4610064876759767E-2</v>
      </c>
    </row>
    <row r="23" spans="2:9" x14ac:dyDescent="0.2">
      <c r="B23" s="76" t="s">
        <v>100</v>
      </c>
      <c r="C23" s="77">
        <f>C11</f>
        <v>2000</v>
      </c>
      <c r="D23" s="78"/>
      <c r="E23" s="70"/>
      <c r="F23" s="79">
        <f>'PC - GS &lt; 50 KW RPP'!E44</f>
        <v>333.84212856000011</v>
      </c>
      <c r="G23" s="79">
        <f>'PC - GS &lt; 50 KW RPP'!I44</f>
        <v>323.67639996000003</v>
      </c>
      <c r="H23" s="79">
        <f t="shared" ref="H23" si="6">G23-F23</f>
        <v>-10.165728600000079</v>
      </c>
      <c r="I23" s="80">
        <f t="shared" ref="I23" si="7">IF(ISBLANK(F23),"",H23/F23)</f>
        <v>-3.0450706277991617E-2</v>
      </c>
    </row>
    <row r="24" spans="2:9" x14ac:dyDescent="0.2">
      <c r="B24" s="76" t="s">
        <v>102</v>
      </c>
      <c r="C24" s="77">
        <f t="shared" ref="C24:C28" si="8">C12</f>
        <v>2000</v>
      </c>
      <c r="D24" s="78"/>
      <c r="E24" s="70"/>
      <c r="F24" s="79">
        <f>'PC - GS &lt; 50 KW'!E44</f>
        <v>333.84212856000011</v>
      </c>
      <c r="G24" s="79">
        <f>'PC - GS &lt; 50 KW'!I44</f>
        <v>318.99819996000002</v>
      </c>
      <c r="H24" s="79">
        <f t="shared" si="4"/>
        <v>-14.843928600000083</v>
      </c>
      <c r="I24" s="80">
        <f t="shared" si="5"/>
        <v>-4.4463916714250894E-2</v>
      </c>
    </row>
    <row r="25" spans="2:9" x14ac:dyDescent="0.2">
      <c r="B25" s="76" t="s">
        <v>83</v>
      </c>
      <c r="C25" s="77">
        <f t="shared" si="8"/>
        <v>68620</v>
      </c>
      <c r="D25" s="77">
        <f>D13</f>
        <v>200</v>
      </c>
      <c r="E25" s="70"/>
      <c r="F25" s="79">
        <f>'PC - GS &gt; 50 kW'!E39</f>
        <v>9593.5834768859986</v>
      </c>
      <c r="G25" s="79">
        <f>'PC - GS &gt; 50 kW'!I39</f>
        <v>9415.0186168860018</v>
      </c>
      <c r="H25" s="79">
        <f t="shared" si="4"/>
        <v>-178.56485999999677</v>
      </c>
      <c r="I25" s="80">
        <f t="shared" si="5"/>
        <v>-1.8612946917094791E-2</v>
      </c>
    </row>
    <row r="26" spans="2:9" x14ac:dyDescent="0.2">
      <c r="B26" s="76" t="s">
        <v>84</v>
      </c>
      <c r="C26" s="77">
        <f t="shared" si="8"/>
        <v>800</v>
      </c>
      <c r="D26" s="81"/>
      <c r="E26" s="70"/>
      <c r="F26" s="79">
        <f>'PC - USL'!E41</f>
        <v>165.17674656</v>
      </c>
      <c r="G26" s="79">
        <f>'PC - USL'!I41</f>
        <v>153.76195483199996</v>
      </c>
      <c r="H26" s="79">
        <f t="shared" si="4"/>
        <v>-11.41479172800004</v>
      </c>
      <c r="I26" s="80">
        <f t="shared" si="5"/>
        <v>-6.9106529615859988E-2</v>
      </c>
    </row>
    <row r="27" spans="2:9" x14ac:dyDescent="0.2">
      <c r="B27" s="76" t="s">
        <v>21</v>
      </c>
      <c r="C27" s="77">
        <f t="shared" si="8"/>
        <v>60</v>
      </c>
      <c r="D27" s="99">
        <f>D15</f>
        <v>0.2</v>
      </c>
      <c r="E27" s="70"/>
      <c r="F27" s="79">
        <f>'PC - Sentinel Lgt'!E38</f>
        <v>11.704382477999999</v>
      </c>
      <c r="G27" s="79">
        <f>'PC - Sentinel Lgt'!I38</f>
        <v>11.706009678000001</v>
      </c>
      <c r="H27" s="79">
        <f t="shared" si="4"/>
        <v>1.6272000000014941E-3</v>
      </c>
      <c r="I27" s="80">
        <f t="shared" si="5"/>
        <v>1.3902484843263119E-4</v>
      </c>
    </row>
    <row r="28" spans="2:9" ht="15" thickBot="1" x14ac:dyDescent="0.25">
      <c r="B28" s="86" t="s">
        <v>7</v>
      </c>
      <c r="C28" s="87">
        <f t="shared" si="8"/>
        <v>155000</v>
      </c>
      <c r="D28" s="87">
        <f>D16</f>
        <v>445</v>
      </c>
      <c r="E28" s="88"/>
      <c r="F28" s="89">
        <f>'PC - Street Lgt'!E39</f>
        <v>25928.3412675</v>
      </c>
      <c r="G28" s="89">
        <f>'PC - Street Lgt'!I39</f>
        <v>26485.447765500001</v>
      </c>
      <c r="H28" s="89">
        <f t="shared" si="4"/>
        <v>557.10649800000101</v>
      </c>
      <c r="I28" s="90">
        <f t="shared" si="5"/>
        <v>2.1486391753810674E-2</v>
      </c>
    </row>
  </sheetData>
  <mergeCells count="11">
    <mergeCell ref="B18:B19"/>
    <mergeCell ref="F18:I18"/>
    <mergeCell ref="F19:F20"/>
    <mergeCell ref="G19:G20"/>
    <mergeCell ref="H19:I19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workbookViewId="0">
      <selection activeCell="G24" sqref="G2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18.940000000000001</v>
      </c>
      <c r="D14" s="37">
        <f>C6</f>
        <v>1</v>
      </c>
      <c r="E14" s="36">
        <f>C14*D14</f>
        <v>18.940000000000001</v>
      </c>
      <c r="F14" s="45"/>
      <c r="G14" s="36">
        <f>Rates!I6</f>
        <v>19.45</v>
      </c>
      <c r="H14" s="37">
        <f>D14</f>
        <v>1</v>
      </c>
      <c r="I14" s="36">
        <f>G14*H14</f>
        <v>19.45</v>
      </c>
      <c r="J14" s="45"/>
      <c r="K14" s="36">
        <f>I14-E14</f>
        <v>0.50999999999999801</v>
      </c>
      <c r="L14" s="47">
        <f>IF((E14)=0," ",K14/E14)</f>
        <v>2.6927138331573282E-2</v>
      </c>
    </row>
    <row r="15" spans="2:12" x14ac:dyDescent="0.2">
      <c r="B15" s="44" t="str">
        <f>Rates!B7</f>
        <v>Distribution Volumetric Rate</v>
      </c>
      <c r="C15" s="25">
        <f>Rates!E7</f>
        <v>2.01E-2</v>
      </c>
      <c r="D15" s="38">
        <f>C7</f>
        <v>800</v>
      </c>
      <c r="E15" s="36">
        <f t="shared" ref="E15:E17" si="0">C15*D15</f>
        <v>16.079999999999998</v>
      </c>
      <c r="F15" s="45"/>
      <c r="G15" s="25">
        <f>Rates!I7</f>
        <v>2.0199999999999999E-2</v>
      </c>
      <c r="H15" s="38">
        <f>D15</f>
        <v>800</v>
      </c>
      <c r="I15" s="36">
        <f t="shared" ref="I15:I17" si="1">G15*H15</f>
        <v>16.16</v>
      </c>
      <c r="J15" s="45"/>
      <c r="K15" s="36">
        <f t="shared" ref="K15:K43" si="2">I15-E15</f>
        <v>8.0000000000001847E-2</v>
      </c>
      <c r="L15" s="47">
        <f t="shared" ref="L15:L43" si="3">IF((E15)=0," ",K15/E15)</f>
        <v>4.975124378109568E-3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</f>
        <v>0.45</v>
      </c>
      <c r="D16" s="37">
        <f>C6</f>
        <v>1</v>
      </c>
      <c r="E16" s="36">
        <f t="shared" si="0"/>
        <v>0.45</v>
      </c>
      <c r="F16" s="45"/>
      <c r="G16" s="36">
        <f>Rates!I8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-0.45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</f>
        <v>1.5</v>
      </c>
      <c r="D17" s="37">
        <f>C6</f>
        <v>1</v>
      </c>
      <c r="E17" s="36">
        <f t="shared" si="0"/>
        <v>1.5</v>
      </c>
      <c r="F17" s="45"/>
      <c r="G17" s="36">
        <f>Rates!I9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-1.5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36.97</v>
      </c>
      <c r="F18" s="53"/>
      <c r="G18" s="50"/>
      <c r="H18" s="51"/>
      <c r="I18" s="52">
        <f>SUM(I14:I17)</f>
        <v>35.61</v>
      </c>
      <c r="J18" s="53"/>
      <c r="K18" s="54">
        <f t="shared" si="2"/>
        <v>-1.3599999999999994</v>
      </c>
      <c r="L18" s="55">
        <f t="shared" si="3"/>
        <v>-3.6786583716526898E-2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6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6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Rates!E11</f>
        <v>5.0000000000000001E-4</v>
      </c>
      <c r="D20" s="37">
        <f>C7</f>
        <v>800</v>
      </c>
      <c r="E20" s="36">
        <f t="shared" si="5"/>
        <v>0.4</v>
      </c>
      <c r="F20" s="45"/>
      <c r="G20" s="25">
        <f>Rates!I11</f>
        <v>0</v>
      </c>
      <c r="H20" s="37">
        <f t="shared" ref="H20:H26" si="7">D20</f>
        <v>800</v>
      </c>
      <c r="I20" s="36">
        <f t="shared" si="6"/>
        <v>0</v>
      </c>
      <c r="J20" s="45"/>
      <c r="K20" s="36">
        <f t="shared" si="2"/>
        <v>-0.4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Rates!E12</f>
        <v>1.6999999999999999E-3</v>
      </c>
      <c r="D21" s="37">
        <f>C7</f>
        <v>800</v>
      </c>
      <c r="E21" s="36">
        <f t="shared" si="5"/>
        <v>1.3599999999999999</v>
      </c>
      <c r="F21" s="45"/>
      <c r="G21" s="25">
        <f>Rates!I12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-1.3599999999999999</v>
      </c>
      <c r="L21" s="47">
        <f t="shared" si="3"/>
        <v>-1</v>
      </c>
    </row>
    <row r="22" spans="2:12" x14ac:dyDescent="0.2">
      <c r="B22" s="48" t="str">
        <f>Rates!B13</f>
        <v>Rate Rider for Deferral/Variance Account Disposition (2014) - effective until December 31, 2016</v>
      </c>
      <c r="C22" s="25">
        <f>Rates!E13</f>
        <v>0</v>
      </c>
      <c r="D22" s="37">
        <f>C7</f>
        <v>800</v>
      </c>
      <c r="E22" s="36">
        <f t="shared" si="5"/>
        <v>0</v>
      </c>
      <c r="F22" s="45"/>
      <c r="G22" s="25">
        <f>Rates!I13</f>
        <v>8.0000000000000004E-4</v>
      </c>
      <c r="H22" s="37">
        <f t="shared" si="7"/>
        <v>800</v>
      </c>
      <c r="I22" s="36">
        <f t="shared" si="6"/>
        <v>0.64</v>
      </c>
      <c r="J22" s="45"/>
      <c r="K22" s="36">
        <f t="shared" si="2"/>
        <v>0.64</v>
      </c>
      <c r="L22" s="47" t="str">
        <f t="shared" si="3"/>
        <v xml:space="preserve"> </v>
      </c>
    </row>
    <row r="23" spans="2:12" ht="25.5" x14ac:dyDescent="0.2">
      <c r="B23" s="48" t="str">
        <f>Rates!B14</f>
        <v>Rate Rider for Global Adjustment Sub-Account Disposition (2014) - effective until December 31, 2016 Applicable only for Non-RPP Customers</v>
      </c>
      <c r="C23" s="25">
        <f>Rates!E14</f>
        <v>0</v>
      </c>
      <c r="D23" s="37">
        <f>C7</f>
        <v>800</v>
      </c>
      <c r="E23" s="36">
        <f t="shared" si="5"/>
        <v>0</v>
      </c>
      <c r="F23" s="45"/>
      <c r="G23" s="25"/>
      <c r="H23" s="37">
        <f t="shared" si="7"/>
        <v>800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8" t="str">
        <f>Rates!B15</f>
        <v>Rate Rider for Loss Revenue Adjustment Mechanism (LRAM) - effective until December 31, 2015</v>
      </c>
      <c r="C24" s="25">
        <f>Rates!E15</f>
        <v>0</v>
      </c>
      <c r="D24" s="37">
        <f>C7</f>
        <v>800</v>
      </c>
      <c r="E24" s="36">
        <f t="shared" si="5"/>
        <v>0</v>
      </c>
      <c r="F24" s="45"/>
      <c r="G24" s="25">
        <f>Rates!I15</f>
        <v>1E-4</v>
      </c>
      <c r="H24" s="37">
        <f t="shared" si="7"/>
        <v>800</v>
      </c>
      <c r="I24" s="36">
        <f t="shared" si="6"/>
        <v>0.08</v>
      </c>
      <c r="J24" s="45"/>
      <c r="K24" s="36">
        <f t="shared" si="2"/>
        <v>0.08</v>
      </c>
      <c r="L24" s="47" t="str">
        <f t="shared" si="3"/>
        <v xml:space="preserve"> </v>
      </c>
    </row>
    <row r="25" spans="2:12" x14ac:dyDescent="0.2">
      <c r="B25" s="44" t="str">
        <f>Rates!B10</f>
        <v>Low Voltage Service Rate</v>
      </c>
      <c r="C25" s="25">
        <f>Rates!E10</f>
        <v>2.0000000000000001E-4</v>
      </c>
      <c r="D25" s="37">
        <f>C7</f>
        <v>800</v>
      </c>
      <c r="E25" s="36">
        <f t="shared" si="5"/>
        <v>0.16</v>
      </c>
      <c r="F25" s="45"/>
      <c r="G25" s="25">
        <f>Rates!I10</f>
        <v>2.0000000000000001E-4</v>
      </c>
      <c r="H25" s="37">
        <f t="shared" si="7"/>
        <v>800</v>
      </c>
      <c r="I25" s="36">
        <f t="shared" si="6"/>
        <v>0.16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43.317903999999992</v>
      </c>
      <c r="F27" s="53"/>
      <c r="G27" s="50"/>
      <c r="H27" s="51"/>
      <c r="I27" s="52">
        <f>SUM(I18:I26)</f>
        <v>40.917903999999993</v>
      </c>
      <c r="J27" s="53"/>
      <c r="K27" s="54">
        <f t="shared" si="2"/>
        <v>-2.3999999999999986</v>
      </c>
      <c r="L27" s="55">
        <f t="shared" si="3"/>
        <v>-5.5404342740128863E-2</v>
      </c>
    </row>
    <row r="28" spans="2:12" x14ac:dyDescent="0.2">
      <c r="B28" s="44" t="str">
        <f>Rates!B16</f>
        <v>Retail Transmission Rate - Network Service Rate</v>
      </c>
      <c r="C28" s="25">
        <f>Rates!E16</f>
        <v>7.0000000000000001E-3</v>
      </c>
      <c r="D28" s="37">
        <f>C7*C5</f>
        <v>843.36</v>
      </c>
      <c r="E28" s="36">
        <f>C28*D28</f>
        <v>5.9035200000000003</v>
      </c>
      <c r="F28" s="45"/>
      <c r="G28" s="25">
        <f>Rates!I16</f>
        <v>7.3000000000000001E-3</v>
      </c>
      <c r="H28" s="37">
        <f>D28</f>
        <v>843.36</v>
      </c>
      <c r="I28" s="36">
        <f>G28*H28</f>
        <v>6.1565279999999998</v>
      </c>
      <c r="J28" s="45"/>
      <c r="K28" s="36">
        <f t="shared" si="2"/>
        <v>0.25300799999999946</v>
      </c>
      <c r="L28" s="47">
        <f t="shared" si="3"/>
        <v>4.285714285714276E-2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Rates!E17</f>
        <v>5.4000000000000003E-3</v>
      </c>
      <c r="D29" s="37">
        <f>C7*C5</f>
        <v>843.36</v>
      </c>
      <c r="E29" s="36">
        <f>C29*D29</f>
        <v>4.554144</v>
      </c>
      <c r="F29" s="45"/>
      <c r="G29" s="25">
        <f>Rates!I17</f>
        <v>5.7000000000000002E-3</v>
      </c>
      <c r="H29" s="37">
        <f>D29</f>
        <v>843.36</v>
      </c>
      <c r="I29" s="36">
        <f>G29*H29</f>
        <v>4.8071520000000003</v>
      </c>
      <c r="J29" s="45"/>
      <c r="K29" s="36">
        <f t="shared" si="2"/>
        <v>0.25300800000000034</v>
      </c>
      <c r="L29" s="47">
        <f t="shared" si="3"/>
        <v>5.5555555555555629E-2</v>
      </c>
    </row>
    <row r="30" spans="2:12" x14ac:dyDescent="0.2">
      <c r="B30" s="49" t="s">
        <v>62</v>
      </c>
      <c r="C30" s="50"/>
      <c r="D30" s="51"/>
      <c r="E30" s="52">
        <f>SUM(E27:E29)</f>
        <v>53.775567999999993</v>
      </c>
      <c r="F30" s="53"/>
      <c r="G30" s="50"/>
      <c r="H30" s="52"/>
      <c r="I30" s="52">
        <f>SUM(I27:I29)</f>
        <v>51.881583999999997</v>
      </c>
      <c r="J30" s="53"/>
      <c r="K30" s="54">
        <f t="shared" si="2"/>
        <v>-1.8939839999999961</v>
      </c>
      <c r="L30" s="55">
        <f t="shared" si="3"/>
        <v>-3.5220157972110984E-2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843.36</v>
      </c>
      <c r="E31" s="36">
        <f t="shared" ref="E31:E37" si="8">C31*D31</f>
        <v>3.7107840000000003</v>
      </c>
      <c r="F31" s="45"/>
      <c r="G31" s="25">
        <f>Rates!I253</f>
        <v>4.4000000000000003E-3</v>
      </c>
      <c r="H31" s="37">
        <f>D31</f>
        <v>843.36</v>
      </c>
      <c r="I31" s="36">
        <f t="shared" ref="I31:I37" si="9">G31*H31</f>
        <v>3.7107840000000003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843.36</v>
      </c>
      <c r="E32" s="36">
        <f t="shared" si="8"/>
        <v>1.0120319999999998</v>
      </c>
      <c r="F32" s="45"/>
      <c r="G32" s="25">
        <f>Rates!I254</f>
        <v>1.1999999999999999E-3</v>
      </c>
      <c r="H32" s="37">
        <f t="shared" ref="H32:H33" si="10">D32</f>
        <v>843.36</v>
      </c>
      <c r="I32" s="36">
        <f t="shared" si="9"/>
        <v>1.0120319999999998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8"/>
        <v>0.25</v>
      </c>
      <c r="F33" s="45"/>
      <c r="G33" s="36">
        <f>Rates!I255</f>
        <v>0.25</v>
      </c>
      <c r="H33" s="37">
        <f t="shared" si="10"/>
        <v>1</v>
      </c>
      <c r="I33" s="36">
        <f t="shared" si="9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Rates!E259</f>
        <v>0</v>
      </c>
      <c r="D34" s="37">
        <f>C7</f>
        <v>800</v>
      </c>
      <c r="E34" s="36">
        <f t="shared" si="8"/>
        <v>0</v>
      </c>
      <c r="F34" s="45"/>
      <c r="G34" s="25">
        <f>Rates!I259</f>
        <v>0</v>
      </c>
      <c r="H34" s="37">
        <f>D34</f>
        <v>800</v>
      </c>
      <c r="I34" s="36">
        <f t="shared" si="9"/>
        <v>0</v>
      </c>
      <c r="J34" s="45"/>
      <c r="K34" s="36">
        <f t="shared" si="2"/>
        <v>0</v>
      </c>
      <c r="L34" s="47" t="str">
        <f t="shared" si="3"/>
        <v xml:space="preserve"> 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512</v>
      </c>
      <c r="E35" s="36">
        <f t="shared" si="8"/>
        <v>38.4</v>
      </c>
      <c r="F35" s="45"/>
      <c r="G35" s="25">
        <f>Rates!I271</f>
        <v>7.4999999999999997E-2</v>
      </c>
      <c r="H35" s="37">
        <f>D35</f>
        <v>512</v>
      </c>
      <c r="I35" s="36">
        <f t="shared" si="9"/>
        <v>38.4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144</v>
      </c>
      <c r="E36" s="36">
        <f t="shared" si="8"/>
        <v>16.128</v>
      </c>
      <c r="F36" s="45"/>
      <c r="G36" s="25">
        <f>Rates!I272</f>
        <v>0.112</v>
      </c>
      <c r="H36" s="37">
        <f t="shared" ref="H36:H37" si="11">D36</f>
        <v>144</v>
      </c>
      <c r="I36" s="36">
        <f t="shared" si="9"/>
        <v>16.128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144</v>
      </c>
      <c r="E37" s="36">
        <f t="shared" si="8"/>
        <v>19.440000000000001</v>
      </c>
      <c r="F37" s="45"/>
      <c r="G37" s="25">
        <f>Rates!I273</f>
        <v>0.13500000000000001</v>
      </c>
      <c r="H37" s="37">
        <f t="shared" si="11"/>
        <v>144</v>
      </c>
      <c r="I37" s="36">
        <f t="shared" si="9"/>
        <v>19.440000000000001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132.71638400000001</v>
      </c>
      <c r="F39" s="45"/>
      <c r="G39" s="35"/>
      <c r="H39" s="39"/>
      <c r="I39" s="39">
        <f>SUM(I30:I37)</f>
        <v>130.82239999999999</v>
      </c>
      <c r="J39" s="45"/>
      <c r="K39" s="36">
        <f t="shared" si="2"/>
        <v>-1.8939840000000174</v>
      </c>
      <c r="L39" s="47">
        <f t="shared" si="3"/>
        <v>-1.4270913228015747E-2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17.253129920000003</v>
      </c>
      <c r="F40" s="45"/>
      <c r="G40" s="41">
        <f>Rates!I277</f>
        <v>0.13</v>
      </c>
      <c r="H40" s="35"/>
      <c r="I40" s="42">
        <f>I39*G40</f>
        <v>17.006912</v>
      </c>
      <c r="J40" s="45"/>
      <c r="K40" s="36">
        <f t="shared" si="2"/>
        <v>-0.24621792000000298</v>
      </c>
      <c r="L40" s="47">
        <f t="shared" si="3"/>
        <v>-1.4270913228015786E-2</v>
      </c>
    </row>
    <row r="41" spans="2:12" x14ac:dyDescent="0.2">
      <c r="B41" s="23" t="s">
        <v>64</v>
      </c>
      <c r="C41" s="35"/>
      <c r="D41" s="35"/>
      <c r="E41" s="42">
        <f>E39+E40</f>
        <v>149.96951392</v>
      </c>
      <c r="F41" s="45"/>
      <c r="G41" s="35"/>
      <c r="H41" s="35"/>
      <c r="I41" s="42">
        <f>I39+I40</f>
        <v>147.82931199999999</v>
      </c>
      <c r="J41" s="45"/>
      <c r="K41" s="36">
        <f t="shared" si="2"/>
        <v>-2.1402019200000097</v>
      </c>
      <c r="L41" s="47">
        <f t="shared" si="3"/>
        <v>-1.4270913228015681E-2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-14.996951392</v>
      </c>
      <c r="F42" s="45"/>
      <c r="G42" s="41">
        <f>Rates!I279</f>
        <v>-0.1</v>
      </c>
      <c r="H42" s="35"/>
      <c r="I42" s="42">
        <f>I41*G42</f>
        <v>-14.7829312</v>
      </c>
      <c r="J42" s="45"/>
      <c r="K42" s="36">
        <f t="shared" si="2"/>
        <v>0.21402019199999955</v>
      </c>
      <c r="L42" s="47">
        <f t="shared" si="3"/>
        <v>-1.4270913228015587E-2</v>
      </c>
    </row>
    <row r="43" spans="2:12" ht="13.5" thickBot="1" x14ac:dyDescent="0.25">
      <c r="B43" s="30" t="s">
        <v>65</v>
      </c>
      <c r="C43" s="57"/>
      <c r="D43" s="57"/>
      <c r="E43" s="58">
        <f>E41+E42</f>
        <v>134.972562528</v>
      </c>
      <c r="F43" s="59"/>
      <c r="G43" s="57"/>
      <c r="H43" s="57"/>
      <c r="I43" s="58">
        <f>I41+I42</f>
        <v>133.04638079999998</v>
      </c>
      <c r="J43" s="59"/>
      <c r="K43" s="60">
        <f t="shared" si="2"/>
        <v>-1.9261817280000173</v>
      </c>
      <c r="L43" s="61">
        <f t="shared" si="3"/>
        <v>-1.4270913228015745E-2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topLeftCell="A10" workbookViewId="0">
      <selection activeCell="G24" sqref="G2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18.940000000000001</v>
      </c>
      <c r="D14" s="37">
        <f>C6</f>
        <v>1</v>
      </c>
      <c r="E14" s="36">
        <f>C14*D14</f>
        <v>18.940000000000001</v>
      </c>
      <c r="F14" s="45"/>
      <c r="G14" s="36">
        <f>Rates!I6</f>
        <v>19.45</v>
      </c>
      <c r="H14" s="37">
        <f>D14</f>
        <v>1</v>
      </c>
      <c r="I14" s="36">
        <f>G14*H14</f>
        <v>19.45</v>
      </c>
      <c r="J14" s="45"/>
      <c r="K14" s="36">
        <f>I14-E14</f>
        <v>0.50999999999999801</v>
      </c>
      <c r="L14" s="47">
        <f>IF((E14)=0," ",K14/E14)</f>
        <v>2.6927138331573282E-2</v>
      </c>
    </row>
    <row r="15" spans="2:12" x14ac:dyDescent="0.2">
      <c r="B15" s="44" t="str">
        <f>Rates!B7</f>
        <v>Distribution Volumetric Rate</v>
      </c>
      <c r="C15" s="25">
        <f>Rates!E7</f>
        <v>2.01E-2</v>
      </c>
      <c r="D15" s="38">
        <f>C7</f>
        <v>800</v>
      </c>
      <c r="E15" s="36">
        <f t="shared" ref="E15:E17" si="0">C15*D15</f>
        <v>16.079999999999998</v>
      </c>
      <c r="F15" s="45"/>
      <c r="G15" s="25">
        <f>Rates!I7</f>
        <v>2.0199999999999999E-2</v>
      </c>
      <c r="H15" s="38">
        <f>D15</f>
        <v>800</v>
      </c>
      <c r="I15" s="36">
        <f t="shared" ref="I15:I17" si="1">G15*H15</f>
        <v>16.16</v>
      </c>
      <c r="J15" s="45"/>
      <c r="K15" s="36">
        <f t="shared" ref="K15:K43" si="2">I15-E15</f>
        <v>8.0000000000001847E-2</v>
      </c>
      <c r="L15" s="47">
        <f t="shared" ref="L15:L43" si="3">IF((E15)=0," ",K15/E15)</f>
        <v>4.975124378109568E-3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</f>
        <v>0.45</v>
      </c>
      <c r="D16" s="37">
        <f>C6</f>
        <v>1</v>
      </c>
      <c r="E16" s="36">
        <f t="shared" si="0"/>
        <v>0.45</v>
      </c>
      <c r="F16" s="45"/>
      <c r="G16" s="36">
        <f>Rates!I8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-0.45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</f>
        <v>1.5</v>
      </c>
      <c r="D17" s="37">
        <f>C6</f>
        <v>1</v>
      </c>
      <c r="E17" s="36">
        <f t="shared" si="0"/>
        <v>1.5</v>
      </c>
      <c r="F17" s="45"/>
      <c r="G17" s="36">
        <f>Rates!I9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-1.5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36.97</v>
      </c>
      <c r="F18" s="53"/>
      <c r="G18" s="50"/>
      <c r="H18" s="51"/>
      <c r="I18" s="52">
        <f>SUM(I14:I17)</f>
        <v>35.61</v>
      </c>
      <c r="J18" s="53"/>
      <c r="K18" s="54">
        <f t="shared" si="2"/>
        <v>-1.3599999999999994</v>
      </c>
      <c r="L18" s="55">
        <f t="shared" si="3"/>
        <v>-3.6786583716526898E-2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43.360000000000021</v>
      </c>
      <c r="E19" s="36">
        <f t="shared" ref="E19:E26" si="5">C19*D19</f>
        <v>3.637904000000002</v>
      </c>
      <c r="F19" s="45"/>
      <c r="G19" s="25">
        <f>Rates!I275</f>
        <v>8.3900000000000002E-2</v>
      </c>
      <c r="H19" s="40">
        <f>(C5-1)*C7</f>
        <v>43.360000000000021</v>
      </c>
      <c r="I19" s="36">
        <f t="shared" ref="I19:I26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Rates!E11</f>
        <v>5.0000000000000001E-4</v>
      </c>
      <c r="D20" s="37">
        <f>C7</f>
        <v>800</v>
      </c>
      <c r="E20" s="36">
        <f t="shared" si="5"/>
        <v>0.4</v>
      </c>
      <c r="F20" s="45"/>
      <c r="G20" s="25">
        <f>Rates!I11</f>
        <v>0</v>
      </c>
      <c r="H20" s="37">
        <f t="shared" ref="H20:H26" si="7">D20</f>
        <v>800</v>
      </c>
      <c r="I20" s="36">
        <f t="shared" si="6"/>
        <v>0</v>
      </c>
      <c r="J20" s="45"/>
      <c r="K20" s="36">
        <f t="shared" si="2"/>
        <v>-0.4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Rates!E12</f>
        <v>1.6999999999999999E-3</v>
      </c>
      <c r="D21" s="37">
        <f>C7</f>
        <v>800</v>
      </c>
      <c r="E21" s="36">
        <f t="shared" si="5"/>
        <v>1.3599999999999999</v>
      </c>
      <c r="F21" s="45"/>
      <c r="G21" s="25">
        <f>Rates!I12</f>
        <v>0</v>
      </c>
      <c r="H21" s="37">
        <f t="shared" si="7"/>
        <v>800</v>
      </c>
      <c r="I21" s="36">
        <f t="shared" si="6"/>
        <v>0</v>
      </c>
      <c r="J21" s="45"/>
      <c r="K21" s="36">
        <f t="shared" si="2"/>
        <v>-1.3599999999999999</v>
      </c>
      <c r="L21" s="47">
        <f t="shared" si="3"/>
        <v>-1</v>
      </c>
    </row>
    <row r="22" spans="2:12" x14ac:dyDescent="0.2">
      <c r="B22" s="48" t="str">
        <f>Rates!B13</f>
        <v>Rate Rider for Deferral/Variance Account Disposition (2014) - effective until December 31, 2016</v>
      </c>
      <c r="C22" s="25">
        <f>Rates!E13</f>
        <v>0</v>
      </c>
      <c r="D22" s="37">
        <f>C7</f>
        <v>800</v>
      </c>
      <c r="E22" s="36">
        <f t="shared" si="5"/>
        <v>0</v>
      </c>
      <c r="F22" s="45"/>
      <c r="G22" s="25">
        <f>Rates!I13</f>
        <v>8.0000000000000004E-4</v>
      </c>
      <c r="H22" s="37">
        <f t="shared" si="7"/>
        <v>800</v>
      </c>
      <c r="I22" s="36">
        <f t="shared" si="6"/>
        <v>0.64</v>
      </c>
      <c r="J22" s="45"/>
      <c r="K22" s="36">
        <f t="shared" ref="K22:K24" si="8">I22-E22</f>
        <v>0.64</v>
      </c>
      <c r="L22" s="47" t="str">
        <f t="shared" ref="L22:L24" si="9">IF((E22)=0," ",K22/E22)</f>
        <v xml:space="preserve"> </v>
      </c>
    </row>
    <row r="23" spans="2:12" ht="25.5" x14ac:dyDescent="0.2">
      <c r="B23" s="48" t="str">
        <f>Rates!B14</f>
        <v>Rate Rider for Global Adjustment Sub-Account Disposition (2014) - effective until December 31, 2016 Applicable only for Non-RPP Customers</v>
      </c>
      <c r="C23" s="25">
        <f>Rates!E14</f>
        <v>0</v>
      </c>
      <c r="D23" s="37">
        <f>C7</f>
        <v>800</v>
      </c>
      <c r="E23" s="36">
        <f t="shared" si="5"/>
        <v>0</v>
      </c>
      <c r="F23" s="45"/>
      <c r="G23" s="25">
        <f>Rates!I14</f>
        <v>-2.5000000000000001E-3</v>
      </c>
      <c r="H23" s="37">
        <f t="shared" si="7"/>
        <v>800</v>
      </c>
      <c r="I23" s="36">
        <f t="shared" si="6"/>
        <v>-2</v>
      </c>
      <c r="J23" s="45"/>
      <c r="K23" s="36">
        <f t="shared" si="8"/>
        <v>-2</v>
      </c>
      <c r="L23" s="47" t="str">
        <f t="shared" si="9"/>
        <v xml:space="preserve"> </v>
      </c>
    </row>
    <row r="24" spans="2:12" x14ac:dyDescent="0.2">
      <c r="B24" s="48" t="str">
        <f>Rates!B15</f>
        <v>Rate Rider for Loss Revenue Adjustment Mechanism (LRAM) - effective until December 31, 2015</v>
      </c>
      <c r="C24" s="25">
        <f>Rates!E15</f>
        <v>0</v>
      </c>
      <c r="D24" s="37">
        <f>C7</f>
        <v>800</v>
      </c>
      <c r="E24" s="36">
        <f t="shared" si="5"/>
        <v>0</v>
      </c>
      <c r="F24" s="45"/>
      <c r="G24" s="25">
        <f>Rates!I15</f>
        <v>1E-4</v>
      </c>
      <c r="H24" s="37">
        <f t="shared" si="7"/>
        <v>800</v>
      </c>
      <c r="I24" s="36">
        <f t="shared" si="6"/>
        <v>0.08</v>
      </c>
      <c r="J24" s="45"/>
      <c r="K24" s="36">
        <f t="shared" si="8"/>
        <v>0.08</v>
      </c>
      <c r="L24" s="47" t="str">
        <f t="shared" si="9"/>
        <v xml:space="preserve"> </v>
      </c>
    </row>
    <row r="25" spans="2:12" x14ac:dyDescent="0.2">
      <c r="B25" s="44" t="str">
        <f>Rates!B10</f>
        <v>Low Voltage Service Rate</v>
      </c>
      <c r="C25" s="25">
        <f>Rates!E10</f>
        <v>2.0000000000000001E-4</v>
      </c>
      <c r="D25" s="37">
        <f>C7</f>
        <v>800</v>
      </c>
      <c r="E25" s="36">
        <f t="shared" si="5"/>
        <v>0.16</v>
      </c>
      <c r="F25" s="45"/>
      <c r="G25" s="25">
        <f>Rates!I10</f>
        <v>2.0000000000000001E-4</v>
      </c>
      <c r="H25" s="37">
        <f t="shared" si="7"/>
        <v>800</v>
      </c>
      <c r="I25" s="36">
        <f t="shared" si="6"/>
        <v>0.16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43.317903999999992</v>
      </c>
      <c r="F27" s="53"/>
      <c r="G27" s="50"/>
      <c r="H27" s="51"/>
      <c r="I27" s="52">
        <f>SUM(I18:I26)</f>
        <v>38.917903999999993</v>
      </c>
      <c r="J27" s="53"/>
      <c r="K27" s="54">
        <f t="shared" si="2"/>
        <v>-4.3999999999999986</v>
      </c>
      <c r="L27" s="55">
        <f t="shared" si="3"/>
        <v>-0.10157462835690294</v>
      </c>
    </row>
    <row r="28" spans="2:12" x14ac:dyDescent="0.2">
      <c r="B28" s="44" t="str">
        <f>Rates!B16</f>
        <v>Retail Transmission Rate - Network Service Rate</v>
      </c>
      <c r="C28" s="25">
        <f>Rates!E16</f>
        <v>7.0000000000000001E-3</v>
      </c>
      <c r="D28" s="37">
        <f>C7*C5</f>
        <v>843.36</v>
      </c>
      <c r="E28" s="36">
        <f>C28*D28</f>
        <v>5.9035200000000003</v>
      </c>
      <c r="F28" s="45"/>
      <c r="G28" s="25">
        <f>Rates!I16</f>
        <v>7.3000000000000001E-3</v>
      </c>
      <c r="H28" s="37">
        <f>D28</f>
        <v>843.36</v>
      </c>
      <c r="I28" s="36">
        <f>G28*H28</f>
        <v>6.1565279999999998</v>
      </c>
      <c r="J28" s="45"/>
      <c r="K28" s="36">
        <f t="shared" si="2"/>
        <v>0.25300799999999946</v>
      </c>
      <c r="L28" s="47">
        <f t="shared" si="3"/>
        <v>4.285714285714276E-2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Rates!E17</f>
        <v>5.4000000000000003E-3</v>
      </c>
      <c r="D29" s="37">
        <f>C7*C5</f>
        <v>843.36</v>
      </c>
      <c r="E29" s="36">
        <f>C29*D29</f>
        <v>4.554144</v>
      </c>
      <c r="F29" s="45"/>
      <c r="G29" s="25">
        <f>Rates!I17</f>
        <v>5.7000000000000002E-3</v>
      </c>
      <c r="H29" s="37">
        <f>D29</f>
        <v>843.36</v>
      </c>
      <c r="I29" s="36">
        <f>G29*H29</f>
        <v>4.8071520000000003</v>
      </c>
      <c r="J29" s="45"/>
      <c r="K29" s="36">
        <f t="shared" si="2"/>
        <v>0.25300800000000034</v>
      </c>
      <c r="L29" s="47">
        <f t="shared" si="3"/>
        <v>5.5555555555555629E-2</v>
      </c>
    </row>
    <row r="30" spans="2:12" x14ac:dyDescent="0.2">
      <c r="B30" s="49" t="s">
        <v>62</v>
      </c>
      <c r="C30" s="50"/>
      <c r="D30" s="51"/>
      <c r="E30" s="52">
        <f>SUM(E27:E29)</f>
        <v>53.775567999999993</v>
      </c>
      <c r="F30" s="53"/>
      <c r="G30" s="50"/>
      <c r="H30" s="52"/>
      <c r="I30" s="52">
        <f>SUM(I27:I29)</f>
        <v>49.881583999999997</v>
      </c>
      <c r="J30" s="53"/>
      <c r="K30" s="54">
        <f t="shared" si="2"/>
        <v>-3.8939839999999961</v>
      </c>
      <c r="L30" s="55">
        <f t="shared" si="3"/>
        <v>-7.2411768853840777E-2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843.36</v>
      </c>
      <c r="E31" s="36">
        <f t="shared" ref="E31:E37" si="10">C31*D31</f>
        <v>3.7107840000000003</v>
      </c>
      <c r="F31" s="45"/>
      <c r="G31" s="25">
        <f>Rates!I253</f>
        <v>4.4000000000000003E-3</v>
      </c>
      <c r="H31" s="37">
        <f>D31</f>
        <v>843.36</v>
      </c>
      <c r="I31" s="36">
        <f t="shared" ref="I31:I37" si="11">G31*H31</f>
        <v>3.7107840000000003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843.36</v>
      </c>
      <c r="E32" s="36">
        <f t="shared" si="10"/>
        <v>1.0120319999999998</v>
      </c>
      <c r="F32" s="45"/>
      <c r="G32" s="25">
        <f>Rates!I254</f>
        <v>1.1999999999999999E-3</v>
      </c>
      <c r="H32" s="37">
        <f t="shared" ref="H32:H33" si="12">D32</f>
        <v>843.36</v>
      </c>
      <c r="I32" s="36">
        <f t="shared" si="11"/>
        <v>1.0120319999999998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10"/>
        <v>0.25</v>
      </c>
      <c r="F33" s="45"/>
      <c r="G33" s="36">
        <f>Rates!I255</f>
        <v>0.25</v>
      </c>
      <c r="H33" s="37">
        <f t="shared" si="12"/>
        <v>1</v>
      </c>
      <c r="I33" s="36">
        <f t="shared" si="11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Rates!E259</f>
        <v>0</v>
      </c>
      <c r="D34" s="37">
        <f>C7</f>
        <v>800</v>
      </c>
      <c r="E34" s="36">
        <f t="shared" si="10"/>
        <v>0</v>
      </c>
      <c r="F34" s="45"/>
      <c r="G34" s="25">
        <f>Rates!I259</f>
        <v>0</v>
      </c>
      <c r="H34" s="37">
        <f>D34</f>
        <v>800</v>
      </c>
      <c r="I34" s="36">
        <f t="shared" si="11"/>
        <v>0</v>
      </c>
      <c r="J34" s="45"/>
      <c r="K34" s="36">
        <f t="shared" si="2"/>
        <v>0</v>
      </c>
      <c r="L34" s="47" t="str">
        <f t="shared" si="3"/>
        <v xml:space="preserve"> 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512</v>
      </c>
      <c r="E35" s="36">
        <f t="shared" si="10"/>
        <v>38.4</v>
      </c>
      <c r="F35" s="45"/>
      <c r="G35" s="25">
        <f>Rates!I271</f>
        <v>7.4999999999999997E-2</v>
      </c>
      <c r="H35" s="37">
        <f>D35</f>
        <v>512</v>
      </c>
      <c r="I35" s="36">
        <f t="shared" si="11"/>
        <v>38.4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144</v>
      </c>
      <c r="E36" s="36">
        <f t="shared" si="10"/>
        <v>16.128</v>
      </c>
      <c r="F36" s="45"/>
      <c r="G36" s="25">
        <f>Rates!I272</f>
        <v>0.112</v>
      </c>
      <c r="H36" s="37">
        <f t="shared" ref="H36:H37" si="13">D36</f>
        <v>144</v>
      </c>
      <c r="I36" s="36">
        <f t="shared" si="11"/>
        <v>16.128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144</v>
      </c>
      <c r="E37" s="36">
        <f t="shared" si="10"/>
        <v>19.440000000000001</v>
      </c>
      <c r="F37" s="45"/>
      <c r="G37" s="25">
        <f>Rates!I273</f>
        <v>0.13500000000000001</v>
      </c>
      <c r="H37" s="37">
        <f t="shared" si="13"/>
        <v>144</v>
      </c>
      <c r="I37" s="36">
        <f t="shared" si="11"/>
        <v>19.440000000000001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132.71638400000001</v>
      </c>
      <c r="F39" s="45"/>
      <c r="G39" s="35"/>
      <c r="H39" s="39"/>
      <c r="I39" s="39">
        <f>SUM(I30:I37)</f>
        <v>128.82239999999999</v>
      </c>
      <c r="J39" s="45"/>
      <c r="K39" s="36">
        <f t="shared" si="2"/>
        <v>-3.8939840000000174</v>
      </c>
      <c r="L39" s="47">
        <f t="shared" si="3"/>
        <v>-2.9340642674532312E-2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17.253129920000003</v>
      </c>
      <c r="F40" s="45"/>
      <c r="G40" s="41">
        <f>Rates!I277</f>
        <v>0.13</v>
      </c>
      <c r="H40" s="35"/>
      <c r="I40" s="42">
        <f>I39*G40</f>
        <v>16.746911999999998</v>
      </c>
      <c r="J40" s="45"/>
      <c r="K40" s="36">
        <f t="shared" si="2"/>
        <v>-0.50621792000000454</v>
      </c>
      <c r="L40" s="47">
        <f t="shared" si="3"/>
        <v>-2.934064267453244E-2</v>
      </c>
    </row>
    <row r="41" spans="2:12" x14ac:dyDescent="0.2">
      <c r="B41" s="23" t="s">
        <v>64</v>
      </c>
      <c r="C41" s="35"/>
      <c r="D41" s="35"/>
      <c r="E41" s="42">
        <f>E39+E40</f>
        <v>149.96951392</v>
      </c>
      <c r="F41" s="45"/>
      <c r="G41" s="35"/>
      <c r="H41" s="35"/>
      <c r="I41" s="42">
        <f>I39+I40</f>
        <v>145.569312</v>
      </c>
      <c r="J41" s="45"/>
      <c r="K41" s="36">
        <f t="shared" si="2"/>
        <v>-4.4002019200000007</v>
      </c>
      <c r="L41" s="47">
        <f t="shared" si="3"/>
        <v>-2.9340642674532187E-2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-14.996951392</v>
      </c>
      <c r="F42" s="45"/>
      <c r="G42" s="41">
        <f>Rates!I279</f>
        <v>-0.1</v>
      </c>
      <c r="H42" s="35"/>
      <c r="I42" s="42">
        <f>I41*G42</f>
        <v>-14.556931200000001</v>
      </c>
      <c r="J42" s="45"/>
      <c r="K42" s="36">
        <f t="shared" si="2"/>
        <v>0.44002019199999864</v>
      </c>
      <c r="L42" s="47">
        <f t="shared" si="3"/>
        <v>-2.934064267453209E-2</v>
      </c>
    </row>
    <row r="43" spans="2:12" ht="13.5" thickBot="1" x14ac:dyDescent="0.25">
      <c r="B43" s="30" t="s">
        <v>65</v>
      </c>
      <c r="C43" s="57"/>
      <c r="D43" s="57"/>
      <c r="E43" s="58">
        <f>E41+E42</f>
        <v>134.972562528</v>
      </c>
      <c r="F43" s="59"/>
      <c r="G43" s="57"/>
      <c r="H43" s="57"/>
      <c r="I43" s="58">
        <f>I41+I42</f>
        <v>131.01238079999999</v>
      </c>
      <c r="J43" s="59"/>
      <c r="K43" s="60">
        <f t="shared" si="2"/>
        <v>-3.9601817280000091</v>
      </c>
      <c r="L43" s="61">
        <f t="shared" si="3"/>
        <v>-2.934064267453225E-2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topLeftCell="A4" workbookViewId="0">
      <selection activeCell="G24" sqref="G2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Rates!B19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Rates!E20</f>
        <v>24.36</v>
      </c>
      <c r="D14" s="37">
        <f>C6</f>
        <v>1</v>
      </c>
      <c r="E14" s="36">
        <f>C14*D14</f>
        <v>24.36</v>
      </c>
      <c r="F14" s="45"/>
      <c r="G14" s="36">
        <f>Rates!I20</f>
        <v>26.24</v>
      </c>
      <c r="H14" s="37">
        <f>D14</f>
        <v>1</v>
      </c>
      <c r="I14" s="36">
        <f>G14*H14</f>
        <v>26.24</v>
      </c>
      <c r="J14" s="45"/>
      <c r="K14" s="36">
        <f>I14-E14</f>
        <v>1.879999999999999</v>
      </c>
      <c r="L14" s="47">
        <f>IF((E14)=0," ",K14/E14)</f>
        <v>7.7175697865352999E-2</v>
      </c>
    </row>
    <row r="15" spans="2:12" x14ac:dyDescent="0.2">
      <c r="B15" s="44" t="str">
        <f>Rates!B7</f>
        <v>Distribution Volumetric Rate</v>
      </c>
      <c r="C15" s="25">
        <f>Rates!E21</f>
        <v>2.4E-2</v>
      </c>
      <c r="D15" s="38">
        <f>C7</f>
        <v>2000</v>
      </c>
      <c r="E15" s="36">
        <f t="shared" ref="E15:E17" si="0">C15*D15</f>
        <v>48</v>
      </c>
      <c r="F15" s="45"/>
      <c r="G15" s="25">
        <f>Rates!I21</f>
        <v>2.35E-2</v>
      </c>
      <c r="H15" s="37">
        <f>D15</f>
        <v>2000</v>
      </c>
      <c r="I15" s="36">
        <f t="shared" ref="I15:I17" si="1">G15*H15</f>
        <v>47</v>
      </c>
      <c r="J15" s="45"/>
      <c r="K15" s="36">
        <f t="shared" ref="K15:K43" si="2">I15-E15</f>
        <v>-1</v>
      </c>
      <c r="L15" s="47">
        <f t="shared" ref="L15:L43" si="3">IF((E15)=0," ",K15/E15)</f>
        <v>-2.0833333333333332E-2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Rates!E22</f>
        <v>1.96</v>
      </c>
      <c r="D16" s="37">
        <f>C6</f>
        <v>1</v>
      </c>
      <c r="E16" s="36">
        <f t="shared" si="0"/>
        <v>1.96</v>
      </c>
      <c r="F16" s="45"/>
      <c r="G16" s="36">
        <f>Rates!I22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-1.96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Rates!E23</f>
        <v>3.04</v>
      </c>
      <c r="D17" s="37">
        <f>C6</f>
        <v>1</v>
      </c>
      <c r="E17" s="36">
        <f t="shared" si="0"/>
        <v>3.04</v>
      </c>
      <c r="F17" s="45"/>
      <c r="G17" s="36">
        <f>Rates!I23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-3.04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77.36</v>
      </c>
      <c r="F18" s="53"/>
      <c r="G18" s="50"/>
      <c r="H18" s="51"/>
      <c r="I18" s="52">
        <f>SUM(I14:I17)</f>
        <v>73.239999999999995</v>
      </c>
      <c r="J18" s="53"/>
      <c r="K18" s="54">
        <f t="shared" si="2"/>
        <v>-4.1200000000000045</v>
      </c>
      <c r="L18" s="55">
        <f t="shared" si="3"/>
        <v>-5.3257497414684649E-2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6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6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Rates!E25</f>
        <v>2.0000000000000001E-4</v>
      </c>
      <c r="D20" s="37">
        <f>C7</f>
        <v>2000</v>
      </c>
      <c r="E20" s="36">
        <f t="shared" si="5"/>
        <v>0.4</v>
      </c>
      <c r="F20" s="45"/>
      <c r="G20" s="25">
        <f>Rates!I25</f>
        <v>0</v>
      </c>
      <c r="H20" s="37">
        <f t="shared" ref="H20:H26" si="7">D20</f>
        <v>2000</v>
      </c>
      <c r="I20" s="36">
        <f t="shared" si="6"/>
        <v>0</v>
      </c>
      <c r="J20" s="45"/>
      <c r="K20" s="36">
        <f t="shared" si="2"/>
        <v>-0.4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Rates!E26</f>
        <v>1.6999999999999999E-3</v>
      </c>
      <c r="D21" s="37">
        <f>C7</f>
        <v>2000</v>
      </c>
      <c r="E21" s="36">
        <f t="shared" si="5"/>
        <v>3.4</v>
      </c>
      <c r="F21" s="45"/>
      <c r="G21" s="25">
        <f>Rates!I26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-3.4</v>
      </c>
      <c r="L21" s="47">
        <f t="shared" si="3"/>
        <v>-1</v>
      </c>
    </row>
    <row r="22" spans="2:12" x14ac:dyDescent="0.2">
      <c r="B22" s="48" t="str">
        <f>Rates!B27</f>
        <v>Rate Rider for Deferral/Variance Account Disposition (2014) - effective until December 31, 2016</v>
      </c>
      <c r="C22" s="25">
        <f>Rates!E27</f>
        <v>0</v>
      </c>
      <c r="D22" s="37">
        <f>C7</f>
        <v>2000</v>
      </c>
      <c r="E22" s="36">
        <f t="shared" si="5"/>
        <v>0</v>
      </c>
      <c r="F22" s="45"/>
      <c r="G22" s="25">
        <f>Rates!I27</f>
        <v>8.0000000000000004E-4</v>
      </c>
      <c r="H22" s="37">
        <f t="shared" si="7"/>
        <v>2000</v>
      </c>
      <c r="I22" s="36">
        <f t="shared" si="6"/>
        <v>1.6</v>
      </c>
      <c r="J22" s="45"/>
      <c r="K22" s="36">
        <f t="shared" si="2"/>
        <v>1.6</v>
      </c>
      <c r="L22" s="47" t="str">
        <f t="shared" si="3"/>
        <v xml:space="preserve"> </v>
      </c>
    </row>
    <row r="23" spans="2:12" ht="25.5" x14ac:dyDescent="0.2">
      <c r="B23" s="48" t="str">
        <f>Rates!B28</f>
        <v>Rate Rider for Global Adjustment Sub-Account Disposition (2014) - effective until December 31, 2016 Applicable only for Non-RPP Customers</v>
      </c>
      <c r="C23" s="25">
        <f>Rates!E28</f>
        <v>0</v>
      </c>
      <c r="D23" s="37">
        <f>C7</f>
        <v>2000</v>
      </c>
      <c r="E23" s="36">
        <f t="shared" si="5"/>
        <v>0</v>
      </c>
      <c r="F23" s="45"/>
      <c r="G23" s="25"/>
      <c r="H23" s="37">
        <f t="shared" si="7"/>
        <v>2000</v>
      </c>
      <c r="I23" s="36">
        <f t="shared" si="6"/>
        <v>0</v>
      </c>
      <c r="J23" s="45"/>
      <c r="K23" s="36">
        <f t="shared" si="2"/>
        <v>0</v>
      </c>
      <c r="L23" s="47" t="str">
        <f t="shared" si="3"/>
        <v xml:space="preserve"> </v>
      </c>
    </row>
    <row r="24" spans="2:12" x14ac:dyDescent="0.2">
      <c r="B24" s="48" t="str">
        <f>Rates!B29</f>
        <v>Rate Rider for Loss Revenue Adjustment Mechanism (LRAM) - effective until December 31, 2015</v>
      </c>
      <c r="C24" s="25">
        <f>Rates!E29</f>
        <v>0</v>
      </c>
      <c r="D24" s="37">
        <f>C7</f>
        <v>2000</v>
      </c>
      <c r="E24" s="36">
        <f t="shared" si="5"/>
        <v>0</v>
      </c>
      <c r="F24" s="45"/>
      <c r="G24" s="25">
        <f>Rates!I29</f>
        <v>4.0000000000000002E-4</v>
      </c>
      <c r="H24" s="37">
        <f t="shared" si="7"/>
        <v>2000</v>
      </c>
      <c r="I24" s="36">
        <f t="shared" si="6"/>
        <v>0.8</v>
      </c>
      <c r="J24" s="45"/>
      <c r="K24" s="36">
        <f t="shared" si="2"/>
        <v>0.8</v>
      </c>
      <c r="L24" s="47" t="str">
        <f t="shared" si="3"/>
        <v xml:space="preserve"> </v>
      </c>
    </row>
    <row r="25" spans="2:12" x14ac:dyDescent="0.2">
      <c r="B25" s="44" t="str">
        <f>Rates!B10</f>
        <v>Low Voltage Service Rate</v>
      </c>
      <c r="C25" s="25">
        <f>Rates!E24</f>
        <v>2.0000000000000001E-4</v>
      </c>
      <c r="D25" s="37">
        <f>C7</f>
        <v>2000</v>
      </c>
      <c r="E25" s="36">
        <f t="shared" si="5"/>
        <v>0.4</v>
      </c>
      <c r="F25" s="45"/>
      <c r="G25" s="25">
        <f>Rates!I24</f>
        <v>2.0000000000000001E-4</v>
      </c>
      <c r="H25" s="37">
        <f t="shared" si="7"/>
        <v>2000</v>
      </c>
      <c r="I25" s="36">
        <f t="shared" si="6"/>
        <v>0.4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91.444760000000031</v>
      </c>
      <c r="F27" s="53"/>
      <c r="G27" s="50"/>
      <c r="H27" s="51"/>
      <c r="I27" s="52">
        <f>SUM(I18:I26)</f>
        <v>85.924760000000006</v>
      </c>
      <c r="J27" s="53"/>
      <c r="K27" s="54">
        <f t="shared" si="2"/>
        <v>-5.5200000000000244</v>
      </c>
      <c r="L27" s="55">
        <f t="shared" si="3"/>
        <v>-6.0364311744052067E-2</v>
      </c>
    </row>
    <row r="28" spans="2:12" x14ac:dyDescent="0.2">
      <c r="B28" s="44" t="str">
        <f>Rates!B16</f>
        <v>Retail Transmission Rate - Network Service Rate</v>
      </c>
      <c r="C28" s="25">
        <f>Rates!E30</f>
        <v>6.0000000000000001E-3</v>
      </c>
      <c r="D28" s="37">
        <f>C7*C5</f>
        <v>2108.4</v>
      </c>
      <c r="E28" s="36">
        <f>C28*D28</f>
        <v>12.650400000000001</v>
      </c>
      <c r="F28" s="45"/>
      <c r="G28" s="25">
        <f>Rates!I30</f>
        <v>6.3E-3</v>
      </c>
      <c r="H28" s="37">
        <f>D28</f>
        <v>2108.4</v>
      </c>
      <c r="I28" s="36">
        <f>G28*H28</f>
        <v>13.282920000000001</v>
      </c>
      <c r="J28" s="45"/>
      <c r="K28" s="36">
        <f t="shared" si="2"/>
        <v>0.63251999999999953</v>
      </c>
      <c r="L28" s="47">
        <f t="shared" si="3"/>
        <v>4.9999999999999961E-2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Rates!E31</f>
        <v>4.7000000000000002E-3</v>
      </c>
      <c r="D29" s="37">
        <f>C7*C5</f>
        <v>2108.4</v>
      </c>
      <c r="E29" s="36">
        <f>C29*D29</f>
        <v>9.9094800000000003</v>
      </c>
      <c r="F29" s="45"/>
      <c r="G29" s="25">
        <f>Rates!I31</f>
        <v>4.8999999999999998E-3</v>
      </c>
      <c r="H29" s="37">
        <f>D29</f>
        <v>2108.4</v>
      </c>
      <c r="I29" s="36">
        <f>G29*H29</f>
        <v>10.331160000000001</v>
      </c>
      <c r="J29" s="45"/>
      <c r="K29" s="36">
        <f t="shared" si="2"/>
        <v>0.42168000000000028</v>
      </c>
      <c r="L29" s="47">
        <f t="shared" si="3"/>
        <v>4.2553191489361729E-2</v>
      </c>
    </row>
    <row r="30" spans="2:12" x14ac:dyDescent="0.2">
      <c r="B30" s="49" t="s">
        <v>62</v>
      </c>
      <c r="C30" s="50"/>
      <c r="D30" s="51"/>
      <c r="E30" s="52">
        <f>SUM(E27:E29)</f>
        <v>114.00464000000004</v>
      </c>
      <c r="F30" s="53"/>
      <c r="G30" s="50"/>
      <c r="H30" s="52"/>
      <c r="I30" s="52">
        <f>SUM(I27:I29)</f>
        <v>109.53884000000001</v>
      </c>
      <c r="J30" s="53"/>
      <c r="K30" s="54">
        <f t="shared" si="2"/>
        <v>-4.46580000000003</v>
      </c>
      <c r="L30" s="55">
        <f t="shared" si="3"/>
        <v>-3.9172089837747205E-2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2108.4</v>
      </c>
      <c r="E31" s="36">
        <f t="shared" ref="E31:E37" si="8">C31*D31</f>
        <v>9.2769600000000008</v>
      </c>
      <c r="F31" s="45"/>
      <c r="G31" s="25">
        <f>Rates!I253</f>
        <v>4.4000000000000003E-3</v>
      </c>
      <c r="H31" s="37">
        <f>D31</f>
        <v>2108.4</v>
      </c>
      <c r="I31" s="36">
        <f t="shared" ref="I31:I37" si="9">G31*H31</f>
        <v>9.2769600000000008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2108.4</v>
      </c>
      <c r="E32" s="36">
        <f t="shared" si="8"/>
        <v>2.5300799999999999</v>
      </c>
      <c r="F32" s="45"/>
      <c r="G32" s="25">
        <f>Rates!I254</f>
        <v>1.1999999999999999E-3</v>
      </c>
      <c r="H32" s="37">
        <f t="shared" ref="H32:H33" si="10">D32</f>
        <v>2108.4</v>
      </c>
      <c r="I32" s="36">
        <f t="shared" si="9"/>
        <v>2.5300799999999999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8"/>
        <v>0.25</v>
      </c>
      <c r="F33" s="45"/>
      <c r="G33" s="36">
        <f>Rates!I255</f>
        <v>0.25</v>
      </c>
      <c r="H33" s="37">
        <f t="shared" si="10"/>
        <v>1</v>
      </c>
      <c r="I33" s="36">
        <f t="shared" si="9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Rates!E259</f>
        <v>0</v>
      </c>
      <c r="D34" s="37">
        <f>C7</f>
        <v>2000</v>
      </c>
      <c r="E34" s="36">
        <f t="shared" si="8"/>
        <v>0</v>
      </c>
      <c r="F34" s="45"/>
      <c r="G34" s="25">
        <f>Rates!I259</f>
        <v>0</v>
      </c>
      <c r="H34" s="37">
        <f>D34</f>
        <v>2000</v>
      </c>
      <c r="I34" s="36">
        <f t="shared" si="9"/>
        <v>0</v>
      </c>
      <c r="J34" s="45"/>
      <c r="K34" s="36">
        <f t="shared" si="2"/>
        <v>0</v>
      </c>
      <c r="L34" s="47" t="str">
        <f t="shared" si="3"/>
        <v xml:space="preserve"> 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1280</v>
      </c>
      <c r="E35" s="36">
        <f t="shared" si="8"/>
        <v>96</v>
      </c>
      <c r="F35" s="45"/>
      <c r="G35" s="25">
        <f>Rates!I271</f>
        <v>7.4999999999999997E-2</v>
      </c>
      <c r="H35" s="37">
        <f>D35</f>
        <v>1280</v>
      </c>
      <c r="I35" s="36">
        <f t="shared" si="9"/>
        <v>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360</v>
      </c>
      <c r="E36" s="36">
        <f t="shared" si="8"/>
        <v>40.32</v>
      </c>
      <c r="F36" s="45"/>
      <c r="G36" s="25">
        <f>Rates!I272</f>
        <v>0.112</v>
      </c>
      <c r="H36" s="37">
        <f t="shared" ref="H36:H37" si="11">D36</f>
        <v>360</v>
      </c>
      <c r="I36" s="36">
        <f t="shared" si="9"/>
        <v>40.32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360</v>
      </c>
      <c r="E37" s="36">
        <f t="shared" si="8"/>
        <v>48.6</v>
      </c>
      <c r="F37" s="45"/>
      <c r="G37" s="25">
        <f>Rates!I273</f>
        <v>0.13500000000000001</v>
      </c>
      <c r="H37" s="37">
        <f t="shared" si="11"/>
        <v>360</v>
      </c>
      <c r="I37" s="36">
        <f t="shared" si="9"/>
        <v>48.6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310.98168000000004</v>
      </c>
      <c r="F39" s="45"/>
      <c r="G39" s="35"/>
      <c r="H39" s="39"/>
      <c r="I39" s="39">
        <f>SUM(I30:I37)</f>
        <v>306.51588000000004</v>
      </c>
      <c r="J39" s="45"/>
      <c r="K39" s="36">
        <f t="shared" si="2"/>
        <v>-4.4658000000000015</v>
      </c>
      <c r="L39" s="47">
        <f t="shared" si="3"/>
        <v>-1.4360331451035961E-2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40.427618400000007</v>
      </c>
      <c r="F40" s="45"/>
      <c r="G40" s="41">
        <f>Rates!I277</f>
        <v>0.13</v>
      </c>
      <c r="H40" s="35"/>
      <c r="I40" s="42">
        <f>I39*G40</f>
        <v>39.847064400000008</v>
      </c>
      <c r="J40" s="45"/>
      <c r="K40" s="36">
        <f t="shared" si="2"/>
        <v>-0.58055399999999935</v>
      </c>
      <c r="L40" s="47">
        <f t="shared" si="3"/>
        <v>-1.436033145103594E-2</v>
      </c>
    </row>
    <row r="41" spans="2:12" x14ac:dyDescent="0.2">
      <c r="B41" s="23" t="s">
        <v>64</v>
      </c>
      <c r="C41" s="35"/>
      <c r="D41" s="35"/>
      <c r="E41" s="42">
        <f>E39+E40</f>
        <v>351.40929840000007</v>
      </c>
      <c r="F41" s="45"/>
      <c r="G41" s="35"/>
      <c r="H41" s="35"/>
      <c r="I41" s="42">
        <f>I39+I40</f>
        <v>346.36294440000006</v>
      </c>
      <c r="J41" s="45"/>
      <c r="K41" s="36">
        <f t="shared" si="2"/>
        <v>-5.046354000000008</v>
      </c>
      <c r="L41" s="47">
        <f t="shared" si="3"/>
        <v>-1.4360331451035978E-2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-35.140929840000005</v>
      </c>
      <c r="F42" s="45"/>
      <c r="G42" s="41">
        <f>Rates!I279</f>
        <v>-0.1</v>
      </c>
      <c r="H42" s="35"/>
      <c r="I42" s="42">
        <f>I41*G42</f>
        <v>-34.636294440000007</v>
      </c>
      <c r="J42" s="45"/>
      <c r="K42" s="36">
        <f t="shared" si="2"/>
        <v>0.50463539999999796</v>
      </c>
      <c r="L42" s="47">
        <f t="shared" si="3"/>
        <v>-1.4360331451035898E-2</v>
      </c>
    </row>
    <row r="43" spans="2:12" ht="13.5" thickBot="1" x14ac:dyDescent="0.25">
      <c r="B43" s="30" t="s">
        <v>65</v>
      </c>
      <c r="C43" s="57"/>
      <c r="D43" s="57"/>
      <c r="E43" s="58">
        <f>E41+E42</f>
        <v>316.26836856000006</v>
      </c>
      <c r="F43" s="59"/>
      <c r="G43" s="57"/>
      <c r="H43" s="57"/>
      <c r="I43" s="58">
        <f>I41+I42</f>
        <v>311.72664996000003</v>
      </c>
      <c r="J43" s="59"/>
      <c r="K43" s="60">
        <f t="shared" si="2"/>
        <v>-4.5417186000000243</v>
      </c>
      <c r="L43" s="61">
        <f t="shared" si="3"/>
        <v>-1.4360331451036032E-2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3"/>
  <sheetViews>
    <sheetView showGridLines="0" workbookViewId="0">
      <selection activeCell="G24" sqref="G2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Rates!B19</f>
        <v>General Service Less Than 50kW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2000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Rates!E20</f>
        <v>24.36</v>
      </c>
      <c r="D14" s="37">
        <f>C6</f>
        <v>1</v>
      </c>
      <c r="E14" s="36">
        <f>C14*D14</f>
        <v>24.36</v>
      </c>
      <c r="F14" s="45"/>
      <c r="G14" s="36">
        <f>Rates!I20</f>
        <v>26.24</v>
      </c>
      <c r="H14" s="37">
        <f>D14</f>
        <v>1</v>
      </c>
      <c r="I14" s="36">
        <f>G14*H14</f>
        <v>26.24</v>
      </c>
      <c r="J14" s="45"/>
      <c r="K14" s="36">
        <f>I14-E14</f>
        <v>1.879999999999999</v>
      </c>
      <c r="L14" s="47">
        <f>IF((E14)=0," ",K14/E14)</f>
        <v>7.7175697865352999E-2</v>
      </c>
    </row>
    <row r="15" spans="2:12" x14ac:dyDescent="0.2">
      <c r="B15" s="44" t="str">
        <f>Rates!B7</f>
        <v>Distribution Volumetric Rate</v>
      </c>
      <c r="C15" s="25">
        <f>Rates!E21</f>
        <v>2.4E-2</v>
      </c>
      <c r="D15" s="38">
        <f>C7</f>
        <v>2000</v>
      </c>
      <c r="E15" s="36">
        <f t="shared" ref="E15:E17" si="0">C15*D15</f>
        <v>48</v>
      </c>
      <c r="F15" s="45"/>
      <c r="G15" s="25">
        <f>Rates!I21</f>
        <v>2.35E-2</v>
      </c>
      <c r="H15" s="37">
        <f>D15</f>
        <v>2000</v>
      </c>
      <c r="I15" s="36">
        <f t="shared" ref="I15:I17" si="1">G15*H15</f>
        <v>47</v>
      </c>
      <c r="J15" s="45"/>
      <c r="K15" s="36">
        <f t="shared" ref="K15:K43" si="2">I15-E15</f>
        <v>-1</v>
      </c>
      <c r="L15" s="47">
        <f t="shared" ref="L15:L43" si="3">IF((E15)=0," ",K15/E15)</f>
        <v>-2.0833333333333332E-2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Rates!E22</f>
        <v>1.96</v>
      </c>
      <c r="D16" s="37">
        <f>C6</f>
        <v>1</v>
      </c>
      <c r="E16" s="36">
        <f t="shared" si="0"/>
        <v>1.96</v>
      </c>
      <c r="F16" s="45"/>
      <c r="G16" s="36">
        <f>Rates!I22</f>
        <v>0</v>
      </c>
      <c r="H16" s="37">
        <f t="shared" ref="H16:H17" si="4">D16</f>
        <v>1</v>
      </c>
      <c r="I16" s="36">
        <f t="shared" si="1"/>
        <v>0</v>
      </c>
      <c r="J16" s="45"/>
      <c r="K16" s="36">
        <f t="shared" si="2"/>
        <v>-1.96</v>
      </c>
      <c r="L16" s="47">
        <f t="shared" si="3"/>
        <v>-1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Rates!E23</f>
        <v>3.04</v>
      </c>
      <c r="D17" s="37">
        <f>C6</f>
        <v>1</v>
      </c>
      <c r="E17" s="36">
        <f t="shared" si="0"/>
        <v>3.04</v>
      </c>
      <c r="F17" s="45"/>
      <c r="G17" s="36">
        <f>Rates!I23</f>
        <v>0</v>
      </c>
      <c r="H17" s="37">
        <f t="shared" si="4"/>
        <v>1</v>
      </c>
      <c r="I17" s="36">
        <f t="shared" si="1"/>
        <v>0</v>
      </c>
      <c r="J17" s="45"/>
      <c r="K17" s="36">
        <f t="shared" si="2"/>
        <v>-3.04</v>
      </c>
      <c r="L17" s="47">
        <f t="shared" si="3"/>
        <v>-1</v>
      </c>
    </row>
    <row r="18" spans="2:12" x14ac:dyDescent="0.2">
      <c r="B18" s="49" t="s">
        <v>38</v>
      </c>
      <c r="C18" s="50"/>
      <c r="D18" s="51"/>
      <c r="E18" s="52">
        <f>SUM(E14:E17)</f>
        <v>77.36</v>
      </c>
      <c r="F18" s="53"/>
      <c r="G18" s="50"/>
      <c r="H18" s="51"/>
      <c r="I18" s="52">
        <f>SUM(I14:I17)</f>
        <v>73.239999999999995</v>
      </c>
      <c r="J18" s="53"/>
      <c r="K18" s="54">
        <f t="shared" si="2"/>
        <v>-4.1200000000000045</v>
      </c>
      <c r="L18" s="55">
        <f t="shared" si="3"/>
        <v>-5.3257497414684649E-2</v>
      </c>
    </row>
    <row r="19" spans="2:12" x14ac:dyDescent="0.2">
      <c r="B19" s="28" t="s">
        <v>39</v>
      </c>
      <c r="C19" s="25">
        <f>Rates!E275</f>
        <v>8.3900000000000002E-2</v>
      </c>
      <c r="D19" s="40">
        <f>(C5-1)*C7</f>
        <v>108.40000000000005</v>
      </c>
      <c r="E19" s="36">
        <f t="shared" ref="E19:E26" si="5">C19*D19</f>
        <v>9.0947600000000044</v>
      </c>
      <c r="F19" s="45"/>
      <c r="G19" s="25">
        <f>Rates!I275</f>
        <v>8.3900000000000002E-2</v>
      </c>
      <c r="H19" s="40">
        <f>(C5-1)*C7</f>
        <v>108.40000000000005</v>
      </c>
      <c r="I19" s="36">
        <f t="shared" ref="I19:I26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Rates!E25</f>
        <v>2.0000000000000001E-4</v>
      </c>
      <c r="D20" s="37">
        <f>C7</f>
        <v>2000</v>
      </c>
      <c r="E20" s="36">
        <f t="shared" si="5"/>
        <v>0.4</v>
      </c>
      <c r="F20" s="45"/>
      <c r="G20" s="25">
        <f>Rates!I25</f>
        <v>0</v>
      </c>
      <c r="H20" s="37">
        <f t="shared" ref="H20:H26" si="7">D20</f>
        <v>2000</v>
      </c>
      <c r="I20" s="36">
        <f t="shared" si="6"/>
        <v>0</v>
      </c>
      <c r="J20" s="45"/>
      <c r="K20" s="36">
        <f t="shared" si="2"/>
        <v>-0.4</v>
      </c>
      <c r="L20" s="47">
        <f t="shared" si="3"/>
        <v>-1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Rates!E26</f>
        <v>1.6999999999999999E-3</v>
      </c>
      <c r="D21" s="37">
        <f>C7</f>
        <v>2000</v>
      </c>
      <c r="E21" s="36">
        <f t="shared" si="5"/>
        <v>3.4</v>
      </c>
      <c r="F21" s="45"/>
      <c r="G21" s="25">
        <f>Rates!I26</f>
        <v>0</v>
      </c>
      <c r="H21" s="37">
        <f t="shared" si="7"/>
        <v>2000</v>
      </c>
      <c r="I21" s="36">
        <f t="shared" si="6"/>
        <v>0</v>
      </c>
      <c r="J21" s="45"/>
      <c r="K21" s="36">
        <f t="shared" si="2"/>
        <v>-3.4</v>
      </c>
      <c r="L21" s="47">
        <f t="shared" si="3"/>
        <v>-1</v>
      </c>
    </row>
    <row r="22" spans="2:12" x14ac:dyDescent="0.2">
      <c r="B22" s="48" t="str">
        <f>Rates!B27</f>
        <v>Rate Rider for Deferral/Variance Account Disposition (2014) - effective until December 31, 2016</v>
      </c>
      <c r="C22" s="25">
        <f>Rates!E27</f>
        <v>0</v>
      </c>
      <c r="D22" s="37">
        <f>C7</f>
        <v>2000</v>
      </c>
      <c r="E22" s="36">
        <f t="shared" si="5"/>
        <v>0</v>
      </c>
      <c r="F22" s="45"/>
      <c r="G22" s="25">
        <f>Rates!I27</f>
        <v>8.0000000000000004E-4</v>
      </c>
      <c r="H22" s="37">
        <f t="shared" si="7"/>
        <v>2000</v>
      </c>
      <c r="I22" s="36">
        <f t="shared" si="6"/>
        <v>1.6</v>
      </c>
      <c r="J22" s="45"/>
      <c r="K22" s="36">
        <f t="shared" ref="K22:K24" si="8">I22-E22</f>
        <v>1.6</v>
      </c>
      <c r="L22" s="47" t="str">
        <f t="shared" ref="L22:L24" si="9">IF((E22)=0," ",K22/E22)</f>
        <v xml:space="preserve"> </v>
      </c>
    </row>
    <row r="23" spans="2:12" ht="25.5" x14ac:dyDescent="0.2">
      <c r="B23" s="48" t="str">
        <f>Rates!B28</f>
        <v>Rate Rider for Global Adjustment Sub-Account Disposition (2014) - effective until December 31, 2016 Applicable only for Non-RPP Customers</v>
      </c>
      <c r="C23" s="25">
        <f>Rates!E28</f>
        <v>0</v>
      </c>
      <c r="D23" s="37">
        <f>C7</f>
        <v>2000</v>
      </c>
      <c r="E23" s="36">
        <f t="shared" si="5"/>
        <v>0</v>
      </c>
      <c r="F23" s="45"/>
      <c r="G23" s="25">
        <f>Rates!I28</f>
        <v>-2.5000000000000001E-3</v>
      </c>
      <c r="H23" s="37">
        <f t="shared" si="7"/>
        <v>2000</v>
      </c>
      <c r="I23" s="36">
        <f t="shared" si="6"/>
        <v>-5</v>
      </c>
      <c r="J23" s="45"/>
      <c r="K23" s="36">
        <f t="shared" si="8"/>
        <v>-5</v>
      </c>
      <c r="L23" s="47" t="str">
        <f t="shared" si="9"/>
        <v xml:space="preserve"> </v>
      </c>
    </row>
    <row r="24" spans="2:12" x14ac:dyDescent="0.2">
      <c r="B24" s="48" t="str">
        <f>Rates!B29</f>
        <v>Rate Rider for Loss Revenue Adjustment Mechanism (LRAM) - effective until December 31, 2015</v>
      </c>
      <c r="C24" s="25">
        <f>Rates!E29</f>
        <v>0</v>
      </c>
      <c r="D24" s="37">
        <f>C7</f>
        <v>2000</v>
      </c>
      <c r="E24" s="36">
        <f t="shared" si="5"/>
        <v>0</v>
      </c>
      <c r="F24" s="45"/>
      <c r="G24" s="25">
        <f>Rates!I29</f>
        <v>4.0000000000000002E-4</v>
      </c>
      <c r="H24" s="37">
        <f t="shared" si="7"/>
        <v>2000</v>
      </c>
      <c r="I24" s="36">
        <f t="shared" si="6"/>
        <v>0.8</v>
      </c>
      <c r="J24" s="45"/>
      <c r="K24" s="36">
        <f t="shared" si="8"/>
        <v>0.8</v>
      </c>
      <c r="L24" s="47" t="str">
        <f t="shared" si="9"/>
        <v xml:space="preserve"> </v>
      </c>
    </row>
    <row r="25" spans="2:12" x14ac:dyDescent="0.2">
      <c r="B25" s="44" t="str">
        <f>Rates!B10</f>
        <v>Low Voltage Service Rate</v>
      </c>
      <c r="C25" s="25">
        <f>Rates!E24</f>
        <v>2.0000000000000001E-4</v>
      </c>
      <c r="D25" s="37">
        <f>C7</f>
        <v>2000</v>
      </c>
      <c r="E25" s="36">
        <f t="shared" si="5"/>
        <v>0.4</v>
      </c>
      <c r="F25" s="45"/>
      <c r="G25" s="25">
        <f>Rates!I24</f>
        <v>2.0000000000000001E-4</v>
      </c>
      <c r="H25" s="37">
        <f t="shared" si="7"/>
        <v>2000</v>
      </c>
      <c r="I25" s="36">
        <f t="shared" si="6"/>
        <v>0.4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Rates!B256</f>
        <v>Smart Meter Entity Charge</v>
      </c>
      <c r="C26" s="36">
        <f>Rates!E256</f>
        <v>0.79</v>
      </c>
      <c r="D26" s="37">
        <f>C6</f>
        <v>1</v>
      </c>
      <c r="E26" s="36">
        <f t="shared" si="5"/>
        <v>0.79</v>
      </c>
      <c r="F26" s="45"/>
      <c r="G26" s="36">
        <f>Rates!I256</f>
        <v>0.79</v>
      </c>
      <c r="H26" s="37">
        <f t="shared" si="7"/>
        <v>1</v>
      </c>
      <c r="I26" s="36">
        <f t="shared" si="6"/>
        <v>0.79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9" t="s">
        <v>61</v>
      </c>
      <c r="C27" s="50"/>
      <c r="D27" s="51"/>
      <c r="E27" s="52">
        <f>SUM(E18:E26)</f>
        <v>91.444760000000031</v>
      </c>
      <c r="F27" s="53"/>
      <c r="G27" s="50"/>
      <c r="H27" s="51"/>
      <c r="I27" s="52">
        <f>SUM(I18:I26)</f>
        <v>80.924760000000006</v>
      </c>
      <c r="J27" s="53"/>
      <c r="K27" s="54">
        <f t="shared" si="2"/>
        <v>-10.520000000000024</v>
      </c>
      <c r="L27" s="55">
        <f t="shared" si="3"/>
        <v>-0.11504213035279463</v>
      </c>
    </row>
    <row r="28" spans="2:12" x14ac:dyDescent="0.2">
      <c r="B28" s="44" t="str">
        <f>Rates!B16</f>
        <v>Retail Transmission Rate - Network Service Rate</v>
      </c>
      <c r="C28" s="25">
        <f>Rates!E30</f>
        <v>6.0000000000000001E-3</v>
      </c>
      <c r="D28" s="37">
        <f>C7*C5</f>
        <v>2108.4</v>
      </c>
      <c r="E28" s="36">
        <f>C28*D28</f>
        <v>12.650400000000001</v>
      </c>
      <c r="F28" s="45"/>
      <c r="G28" s="25">
        <f>Rates!I30</f>
        <v>6.3E-3</v>
      </c>
      <c r="H28" s="37">
        <f>D28</f>
        <v>2108.4</v>
      </c>
      <c r="I28" s="36">
        <f>G28*H28</f>
        <v>13.282920000000001</v>
      </c>
      <c r="J28" s="45"/>
      <c r="K28" s="36">
        <f t="shared" si="2"/>
        <v>0.63251999999999953</v>
      </c>
      <c r="L28" s="47">
        <f t="shared" si="3"/>
        <v>4.9999999999999961E-2</v>
      </c>
    </row>
    <row r="29" spans="2:12" x14ac:dyDescent="0.2">
      <c r="B29" s="44" t="str">
        <f>Rates!B17</f>
        <v>Retail Transmission Rate - Line and Transformation Connection Service Rate</v>
      </c>
      <c r="C29" s="25">
        <f>Rates!E31</f>
        <v>4.7000000000000002E-3</v>
      </c>
      <c r="D29" s="37">
        <f>C7*C5</f>
        <v>2108.4</v>
      </c>
      <c r="E29" s="36">
        <f>C29*D29</f>
        <v>9.9094800000000003</v>
      </c>
      <c r="F29" s="45"/>
      <c r="G29" s="25">
        <f>Rates!I31</f>
        <v>4.8999999999999998E-3</v>
      </c>
      <c r="H29" s="37">
        <f>D29</f>
        <v>2108.4</v>
      </c>
      <c r="I29" s="36">
        <f>G29*H29</f>
        <v>10.331160000000001</v>
      </c>
      <c r="J29" s="45"/>
      <c r="K29" s="36">
        <f t="shared" si="2"/>
        <v>0.42168000000000028</v>
      </c>
      <c r="L29" s="47">
        <f t="shared" si="3"/>
        <v>4.2553191489361729E-2</v>
      </c>
    </row>
    <row r="30" spans="2:12" x14ac:dyDescent="0.2">
      <c r="B30" s="49" t="s">
        <v>62</v>
      </c>
      <c r="C30" s="50"/>
      <c r="D30" s="51"/>
      <c r="E30" s="52">
        <f>SUM(E27:E29)</f>
        <v>114.00464000000004</v>
      </c>
      <c r="F30" s="53"/>
      <c r="G30" s="50"/>
      <c r="H30" s="52"/>
      <c r="I30" s="52">
        <f>SUM(I27:I29)</f>
        <v>104.53884000000001</v>
      </c>
      <c r="J30" s="53"/>
      <c r="K30" s="54">
        <f t="shared" si="2"/>
        <v>-9.46580000000003</v>
      </c>
      <c r="L30" s="55">
        <f t="shared" si="3"/>
        <v>-8.3029953868544532E-2</v>
      </c>
    </row>
    <row r="31" spans="2:12" x14ac:dyDescent="0.2">
      <c r="B31" s="44" t="str">
        <f>Rates!B253</f>
        <v>Wholesale Market Service Rate</v>
      </c>
      <c r="C31" s="25">
        <f>Rates!E253</f>
        <v>4.4000000000000003E-3</v>
      </c>
      <c r="D31" s="37">
        <f>C5*C7</f>
        <v>2108.4</v>
      </c>
      <c r="E31" s="36">
        <f t="shared" ref="E31:E37" si="10">C31*D31</f>
        <v>9.2769600000000008</v>
      </c>
      <c r="F31" s="45"/>
      <c r="G31" s="25">
        <f>Rates!I253</f>
        <v>4.4000000000000003E-3</v>
      </c>
      <c r="H31" s="37">
        <f>D31</f>
        <v>2108.4</v>
      </c>
      <c r="I31" s="36">
        <f t="shared" ref="I31:I37" si="11">G31*H31</f>
        <v>9.2769600000000008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Rates!B254</f>
        <v>Rural Rate Protection Charge</v>
      </c>
      <c r="C32" s="25">
        <f>Rates!E254</f>
        <v>1.1999999999999999E-3</v>
      </c>
      <c r="D32" s="37">
        <f>C5*C7</f>
        <v>2108.4</v>
      </c>
      <c r="E32" s="36">
        <f t="shared" si="10"/>
        <v>2.5300799999999999</v>
      </c>
      <c r="F32" s="45"/>
      <c r="G32" s="25">
        <f>Rates!I254</f>
        <v>1.1999999999999999E-3</v>
      </c>
      <c r="H32" s="37">
        <f t="shared" ref="H32:H33" si="12">D32</f>
        <v>2108.4</v>
      </c>
      <c r="I32" s="36">
        <f t="shared" si="11"/>
        <v>2.5300799999999999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Rates!B255</f>
        <v>Standard Supply Service - Administrative Charge (if applicable)</v>
      </c>
      <c r="C33" s="36">
        <f>Rates!E255</f>
        <v>0.25</v>
      </c>
      <c r="D33" s="37">
        <v>1</v>
      </c>
      <c r="E33" s="36">
        <f t="shared" si="10"/>
        <v>0.25</v>
      </c>
      <c r="F33" s="45"/>
      <c r="G33" s="36">
        <f>Rates!I255</f>
        <v>0.25</v>
      </c>
      <c r="H33" s="37">
        <f t="shared" si="12"/>
        <v>1</v>
      </c>
      <c r="I33" s="36">
        <f t="shared" si="11"/>
        <v>0.25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Rates!B258</f>
        <v>Debt Retirement Charge</v>
      </c>
      <c r="C34" s="25">
        <f>Rates!E259</f>
        <v>0</v>
      </c>
      <c r="D34" s="37">
        <f>C7</f>
        <v>2000</v>
      </c>
      <c r="E34" s="36">
        <f t="shared" si="10"/>
        <v>0</v>
      </c>
      <c r="F34" s="45"/>
      <c r="G34" s="25">
        <f>Rates!I259</f>
        <v>0</v>
      </c>
      <c r="H34" s="37">
        <f>D34</f>
        <v>2000</v>
      </c>
      <c r="I34" s="36">
        <f t="shared" si="11"/>
        <v>0</v>
      </c>
      <c r="J34" s="45"/>
      <c r="K34" s="36">
        <f t="shared" si="2"/>
        <v>0</v>
      </c>
      <c r="L34" s="47" t="str">
        <f t="shared" si="3"/>
        <v xml:space="preserve"> </v>
      </c>
    </row>
    <row r="35" spans="2:12" x14ac:dyDescent="0.2">
      <c r="B35" s="44" t="str">
        <f>Rates!B271</f>
        <v>TOU - Off Peak</v>
      </c>
      <c r="C35" s="25">
        <f>Rates!E271</f>
        <v>7.4999999999999997E-2</v>
      </c>
      <c r="D35" s="37">
        <f>C7*0.64</f>
        <v>1280</v>
      </c>
      <c r="E35" s="36">
        <f t="shared" si="10"/>
        <v>96</v>
      </c>
      <c r="F35" s="45"/>
      <c r="G35" s="25">
        <f>Rates!I271</f>
        <v>7.4999999999999997E-2</v>
      </c>
      <c r="H35" s="37">
        <f>D35</f>
        <v>1280</v>
      </c>
      <c r="I35" s="36">
        <f t="shared" si="11"/>
        <v>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Rates!B272</f>
        <v>TOU - Mid Peak</v>
      </c>
      <c r="C36" s="25">
        <f>Rates!E272</f>
        <v>0.112</v>
      </c>
      <c r="D36" s="37">
        <f>C7*0.18</f>
        <v>360</v>
      </c>
      <c r="E36" s="36">
        <f t="shared" si="10"/>
        <v>40.32</v>
      </c>
      <c r="F36" s="45"/>
      <c r="G36" s="25">
        <f>Rates!I272</f>
        <v>0.112</v>
      </c>
      <c r="H36" s="37">
        <f t="shared" ref="H36:H37" si="13">D36</f>
        <v>360</v>
      </c>
      <c r="I36" s="36">
        <f t="shared" si="11"/>
        <v>40.32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44" t="str">
        <f>Rates!B273</f>
        <v>TOU - On Peak</v>
      </c>
      <c r="C37" s="25">
        <f>Rates!E273</f>
        <v>0.13500000000000001</v>
      </c>
      <c r="D37" s="37">
        <f>C7*0.18</f>
        <v>360</v>
      </c>
      <c r="E37" s="36">
        <f t="shared" si="10"/>
        <v>48.6</v>
      </c>
      <c r="F37" s="45"/>
      <c r="G37" s="25">
        <f>Rates!I273</f>
        <v>0.13500000000000001</v>
      </c>
      <c r="H37" s="37">
        <f t="shared" si="13"/>
        <v>360</v>
      </c>
      <c r="I37" s="36">
        <f t="shared" si="11"/>
        <v>48.6</v>
      </c>
      <c r="J37" s="45"/>
      <c r="K37" s="36">
        <f t="shared" si="2"/>
        <v>0</v>
      </c>
      <c r="L37" s="47">
        <f t="shared" si="3"/>
        <v>0</v>
      </c>
    </row>
    <row r="38" spans="2:12" x14ac:dyDescent="0.2">
      <c r="B38" s="56"/>
      <c r="C38" s="51"/>
      <c r="D38" s="51"/>
      <c r="E38" s="51"/>
      <c r="F38" s="53"/>
      <c r="G38" s="51"/>
      <c r="H38" s="51"/>
      <c r="I38" s="51"/>
      <c r="J38" s="53"/>
      <c r="K38" s="54"/>
      <c r="L38" s="55"/>
    </row>
    <row r="39" spans="2:12" x14ac:dyDescent="0.2">
      <c r="B39" s="23" t="s">
        <v>63</v>
      </c>
      <c r="C39" s="35"/>
      <c r="D39" s="35"/>
      <c r="E39" s="39">
        <f>SUM(E30:E37)</f>
        <v>310.98168000000004</v>
      </c>
      <c r="F39" s="45"/>
      <c r="G39" s="35"/>
      <c r="H39" s="39"/>
      <c r="I39" s="39">
        <f>SUM(I30:I37)</f>
        <v>301.51588000000004</v>
      </c>
      <c r="J39" s="45"/>
      <c r="K39" s="36">
        <f t="shared" si="2"/>
        <v>-9.4658000000000015</v>
      </c>
      <c r="L39" s="47">
        <f t="shared" si="3"/>
        <v>-3.0438448978730839E-2</v>
      </c>
    </row>
    <row r="40" spans="2:12" x14ac:dyDescent="0.2">
      <c r="B40" s="44" t="str">
        <f>Rates!B277</f>
        <v>HST</v>
      </c>
      <c r="C40" s="41">
        <f>Rates!E277</f>
        <v>0.13</v>
      </c>
      <c r="D40" s="35"/>
      <c r="E40" s="42">
        <f>E39*C40</f>
        <v>40.427618400000007</v>
      </c>
      <c r="F40" s="45"/>
      <c r="G40" s="41">
        <f>Rates!I277</f>
        <v>0.13</v>
      </c>
      <c r="H40" s="35"/>
      <c r="I40" s="42">
        <f>I39*G40</f>
        <v>39.197064400000009</v>
      </c>
      <c r="J40" s="45"/>
      <c r="K40" s="36">
        <f t="shared" si="2"/>
        <v>-1.2305539999999979</v>
      </c>
      <c r="L40" s="47">
        <f t="shared" si="3"/>
        <v>-3.043844897873078E-2</v>
      </c>
    </row>
    <row r="41" spans="2:12" x14ac:dyDescent="0.2">
      <c r="B41" s="23" t="s">
        <v>64</v>
      </c>
      <c r="C41" s="35"/>
      <c r="D41" s="35"/>
      <c r="E41" s="42">
        <f>E39+E40</f>
        <v>351.40929840000007</v>
      </c>
      <c r="F41" s="45"/>
      <c r="G41" s="35"/>
      <c r="H41" s="35"/>
      <c r="I41" s="42">
        <f>I39+I40</f>
        <v>340.71294440000003</v>
      </c>
      <c r="J41" s="45"/>
      <c r="K41" s="36">
        <f t="shared" si="2"/>
        <v>-10.696354000000042</v>
      </c>
      <c r="L41" s="47">
        <f t="shared" si="3"/>
        <v>-3.043844897873095E-2</v>
      </c>
    </row>
    <row r="42" spans="2:12" x14ac:dyDescent="0.2">
      <c r="B42" s="44" t="str">
        <f>Rates!B279</f>
        <v>OCEB</v>
      </c>
      <c r="C42" s="41">
        <f>Rates!E279</f>
        <v>-0.1</v>
      </c>
      <c r="D42" s="35"/>
      <c r="E42" s="42">
        <f>E41*C42</f>
        <v>-35.140929840000005</v>
      </c>
      <c r="F42" s="45"/>
      <c r="G42" s="41">
        <f>Rates!I279</f>
        <v>-0.1</v>
      </c>
      <c r="H42" s="35"/>
      <c r="I42" s="42">
        <f>I41*G42</f>
        <v>-34.071294440000003</v>
      </c>
      <c r="J42" s="45"/>
      <c r="K42" s="36">
        <f t="shared" si="2"/>
        <v>1.0696354000000028</v>
      </c>
      <c r="L42" s="47">
        <f t="shared" si="3"/>
        <v>-3.0438448978730912E-2</v>
      </c>
    </row>
    <row r="43" spans="2:12" ht="13.5" thickBot="1" x14ac:dyDescent="0.25">
      <c r="B43" s="30" t="s">
        <v>65</v>
      </c>
      <c r="C43" s="57"/>
      <c r="D43" s="57"/>
      <c r="E43" s="58">
        <f>E41+E42</f>
        <v>316.26836856000006</v>
      </c>
      <c r="F43" s="59"/>
      <c r="G43" s="57"/>
      <c r="H43" s="57"/>
      <c r="I43" s="58">
        <f>I41+I42</f>
        <v>306.64164996</v>
      </c>
      <c r="J43" s="59"/>
      <c r="K43" s="60">
        <f t="shared" si="2"/>
        <v>-9.6267186000000606</v>
      </c>
      <c r="L43" s="61">
        <f t="shared" si="3"/>
        <v>-3.0438448978731023E-2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topLeftCell="B1" workbookViewId="0">
      <selection activeCell="G22" sqref="G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Rates!B33</f>
        <v>General Service 50kW to 4,999kW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68620</v>
      </c>
    </row>
    <row r="8" spans="2:12" x14ac:dyDescent="0.2">
      <c r="B8" s="28" t="s">
        <v>69</v>
      </c>
      <c r="C8" s="29">
        <v>200</v>
      </c>
    </row>
    <row r="9" spans="2:12" ht="13.5" thickBot="1" x14ac:dyDescent="0.25">
      <c r="B9" s="30" t="s">
        <v>70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Rates!E34</f>
        <v>143.56</v>
      </c>
      <c r="D14" s="37">
        <f>C6</f>
        <v>1</v>
      </c>
      <c r="E14" s="36">
        <f>C14*D14</f>
        <v>143.56</v>
      </c>
      <c r="F14" s="45"/>
      <c r="G14" s="36">
        <f>Rates!I34</f>
        <v>149.51</v>
      </c>
      <c r="H14" s="37">
        <f>D14</f>
        <v>1</v>
      </c>
      <c r="I14" s="36">
        <f>G14*H14</f>
        <v>149.51</v>
      </c>
      <c r="J14" s="45"/>
      <c r="K14" s="36">
        <f>I14-E14</f>
        <v>5.9499999999999886</v>
      </c>
      <c r="L14" s="47">
        <f>IF((E14)=0," ",K14/E14)</f>
        <v>4.144608526051817E-2</v>
      </c>
    </row>
    <row r="15" spans="2:12" x14ac:dyDescent="0.2">
      <c r="B15" s="44" t="str">
        <f>Rates!B7</f>
        <v>Distribution Volumetric Rate</v>
      </c>
      <c r="C15" s="25">
        <f>Rates!E35</f>
        <v>6.9223999999999997</v>
      </c>
      <c r="D15" s="38">
        <f>C8</f>
        <v>200</v>
      </c>
      <c r="E15" s="36">
        <f t="shared" ref="E15" si="0">C15*D15</f>
        <v>1384.48</v>
      </c>
      <c r="F15" s="45"/>
      <c r="G15" s="25">
        <f>Rates!I35</f>
        <v>6.5865999999999998</v>
      </c>
      <c r="H15" s="38">
        <f>D15</f>
        <v>200</v>
      </c>
      <c r="I15" s="36">
        <f t="shared" ref="I15" si="1">G15*H15</f>
        <v>1317.32</v>
      </c>
      <c r="J15" s="45"/>
      <c r="K15" s="36">
        <f t="shared" ref="K15:K38" si="2">I15-E15</f>
        <v>-67.160000000000082</v>
      </c>
      <c r="L15" s="47">
        <f t="shared" ref="L15:L38" si="3">IF((E15)=0," ",K15/E15)</f>
        <v>-4.8509187565006412E-2</v>
      </c>
    </row>
    <row r="16" spans="2:12" x14ac:dyDescent="0.2">
      <c r="B16" s="49" t="s">
        <v>38</v>
      </c>
      <c r="C16" s="50"/>
      <c r="D16" s="51"/>
      <c r="E16" s="52">
        <f>SUM(E14:E15)</f>
        <v>1528.04</v>
      </c>
      <c r="F16" s="53"/>
      <c r="G16" s="50"/>
      <c r="H16" s="51"/>
      <c r="I16" s="52">
        <f>SUM(I14:I15)</f>
        <v>1466.83</v>
      </c>
      <c r="J16" s="53"/>
      <c r="K16" s="54">
        <f t="shared" si="2"/>
        <v>-61.210000000000036</v>
      </c>
      <c r="L16" s="55">
        <f t="shared" si="3"/>
        <v>-4.005785188869404E-2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3719.204000000002</v>
      </c>
      <c r="E17" s="36">
        <f t="shared" ref="E17:E23" si="4">C17*D17</f>
        <v>312.04121560000016</v>
      </c>
      <c r="F17" s="45"/>
      <c r="G17" s="25">
        <f>Rates!I275</f>
        <v>8.3900000000000002E-2</v>
      </c>
      <c r="H17" s="40">
        <f>(C5-1)*C7</f>
        <v>3719.204000000002</v>
      </c>
      <c r="I17" s="36">
        <f t="shared" ref="I17:I23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Rates!E37</f>
        <v>0.1182</v>
      </c>
      <c r="D18" s="37">
        <f>C8</f>
        <v>200</v>
      </c>
      <c r="E18" s="36">
        <f t="shared" si="4"/>
        <v>23.64</v>
      </c>
      <c r="F18" s="45"/>
      <c r="G18" s="25">
        <f>Rates!I37</f>
        <v>0</v>
      </c>
      <c r="H18" s="37">
        <f t="shared" ref="H18:H23" si="6">D18</f>
        <v>200</v>
      </c>
      <c r="I18" s="36">
        <f t="shared" si="5"/>
        <v>0</v>
      </c>
      <c r="J18" s="45"/>
      <c r="K18" s="36">
        <f t="shared" si="2"/>
        <v>-23.64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Rates!E38</f>
        <v>0.62809999999999999</v>
      </c>
      <c r="D19" s="37">
        <f>C8</f>
        <v>200</v>
      </c>
      <c r="E19" s="36">
        <f t="shared" si="4"/>
        <v>125.62</v>
      </c>
      <c r="F19" s="45"/>
      <c r="G19" s="25">
        <f>Rates!I38</f>
        <v>0</v>
      </c>
      <c r="H19" s="37">
        <f t="shared" si="6"/>
        <v>200</v>
      </c>
      <c r="I19" s="36">
        <f t="shared" si="5"/>
        <v>0</v>
      </c>
      <c r="J19" s="45"/>
      <c r="K19" s="36">
        <f t="shared" si="2"/>
        <v>-125.62</v>
      </c>
      <c r="L19" s="47">
        <f t="shared" si="3"/>
        <v>-1</v>
      </c>
    </row>
    <row r="20" spans="2:12" x14ac:dyDescent="0.2">
      <c r="B20" s="48" t="str">
        <f>Rates!B39</f>
        <v>Rate Rider for Deferral/Variance Account Disposition (2014) - effective until December 31, 2016</v>
      </c>
      <c r="C20" s="25">
        <f>Rates!E39</f>
        <v>0</v>
      </c>
      <c r="D20" s="37">
        <f>C8</f>
        <v>200</v>
      </c>
      <c r="E20" s="36">
        <f t="shared" si="4"/>
        <v>0</v>
      </c>
      <c r="F20" s="45"/>
      <c r="G20" s="25">
        <f>Rates!I39</f>
        <v>0.26019999999999999</v>
      </c>
      <c r="H20" s="37">
        <f t="shared" si="6"/>
        <v>200</v>
      </c>
      <c r="I20" s="36">
        <f t="shared" si="5"/>
        <v>52.04</v>
      </c>
      <c r="J20" s="45"/>
      <c r="K20" s="36">
        <f t="shared" ref="K20:K22" si="7">I20-E20</f>
        <v>52.04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Rates!B40</f>
        <v>Rate Rider for Global Adjustment Sub-Account Disposition (2014) - effective until December 31, 2016 Applicable only for Non-RPP Customers</v>
      </c>
      <c r="C21" s="25">
        <f>Rates!E40</f>
        <v>0</v>
      </c>
      <c r="D21" s="37">
        <f>C8</f>
        <v>200</v>
      </c>
      <c r="E21" s="36">
        <f t="shared" si="4"/>
        <v>0</v>
      </c>
      <c r="F21" s="45"/>
      <c r="G21" s="25">
        <f>Rates!I40</f>
        <v>-0.8619</v>
      </c>
      <c r="H21" s="37">
        <f t="shared" si="6"/>
        <v>200</v>
      </c>
      <c r="I21" s="36">
        <f t="shared" si="5"/>
        <v>-172.38</v>
      </c>
      <c r="J21" s="45"/>
      <c r="K21" s="36">
        <f t="shared" si="7"/>
        <v>-172.38</v>
      </c>
      <c r="L21" s="47" t="str">
        <f t="shared" si="8"/>
        <v xml:space="preserve"> </v>
      </c>
    </row>
    <row r="22" spans="2:12" x14ac:dyDescent="0.2">
      <c r="B22" s="48" t="str">
        <f>Rates!B41</f>
        <v>Rate Rider for Loss Revenue Adjustment Mechanism (LRAM) - effective until December 31, 2015</v>
      </c>
      <c r="C22" s="25">
        <f>Rates!E41</f>
        <v>0</v>
      </c>
      <c r="D22" s="37">
        <f>C8</f>
        <v>200</v>
      </c>
      <c r="E22" s="36">
        <f t="shared" si="4"/>
        <v>0</v>
      </c>
      <c r="F22" s="45"/>
      <c r="G22" s="25">
        <f>Rates!I41</f>
        <v>4.41E-2</v>
      </c>
      <c r="H22" s="37">
        <f t="shared" si="6"/>
        <v>200</v>
      </c>
      <c r="I22" s="36">
        <f t="shared" si="5"/>
        <v>8.82</v>
      </c>
      <c r="J22" s="45"/>
      <c r="K22" s="36">
        <f t="shared" si="7"/>
        <v>8.82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Rates!E36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Rates!I36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2004.0412156000004</v>
      </c>
      <c r="F24" s="53"/>
      <c r="G24" s="50"/>
      <c r="H24" s="51"/>
      <c r="I24" s="52">
        <f>SUM(I16:I23)</f>
        <v>1682.0512156</v>
      </c>
      <c r="J24" s="53"/>
      <c r="K24" s="54">
        <f t="shared" si="2"/>
        <v>-321.99000000000046</v>
      </c>
      <c r="L24" s="55">
        <f t="shared" si="3"/>
        <v>-0.16067034824111548</v>
      </c>
    </row>
    <row r="25" spans="2:12" x14ac:dyDescent="0.2">
      <c r="B25" s="44" t="str">
        <f>Rates!B16</f>
        <v>Retail Transmission Rate - Network Service Rate</v>
      </c>
      <c r="C25" s="25">
        <f>Rates!E42</f>
        <v>2.5400999999999998</v>
      </c>
      <c r="D25" s="37">
        <f>C8</f>
        <v>200</v>
      </c>
      <c r="E25" s="36">
        <f>C25*D25</f>
        <v>508.02</v>
      </c>
      <c r="F25" s="45"/>
      <c r="G25" s="25">
        <f>Rates!I42</f>
        <v>2.6558999999999999</v>
      </c>
      <c r="H25" s="37">
        <f>D25</f>
        <v>200</v>
      </c>
      <c r="I25" s="36">
        <f>G25*H25</f>
        <v>531.17999999999995</v>
      </c>
      <c r="J25" s="45"/>
      <c r="K25" s="36">
        <f t="shared" si="2"/>
        <v>23.159999999999968</v>
      </c>
      <c r="L25" s="47">
        <f t="shared" si="3"/>
        <v>4.5588756348175205E-2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Rates!E43</f>
        <v>1.9351</v>
      </c>
      <c r="D26" s="37">
        <f>C8</f>
        <v>200</v>
      </c>
      <c r="E26" s="36">
        <f>C26*D26</f>
        <v>387.02</v>
      </c>
      <c r="F26" s="45"/>
      <c r="G26" s="25">
        <f>Rates!I43</f>
        <v>2.0373000000000001</v>
      </c>
      <c r="H26" s="37">
        <f>D26</f>
        <v>200</v>
      </c>
      <c r="I26" s="36">
        <f>G26*H26</f>
        <v>407.46000000000004</v>
      </c>
      <c r="J26" s="45"/>
      <c r="K26" s="36">
        <f t="shared" si="2"/>
        <v>20.440000000000055</v>
      </c>
      <c r="L26" s="47">
        <f t="shared" si="3"/>
        <v>5.2813808071934414E-2</v>
      </c>
    </row>
    <row r="27" spans="2:12" x14ac:dyDescent="0.2">
      <c r="B27" s="49" t="s">
        <v>62</v>
      </c>
      <c r="C27" s="50"/>
      <c r="D27" s="51"/>
      <c r="E27" s="52">
        <f>SUM(E24:E26)</f>
        <v>2899.0812156000006</v>
      </c>
      <c r="F27" s="53"/>
      <c r="G27" s="50"/>
      <c r="H27" s="52"/>
      <c r="I27" s="52">
        <f>SUM(I24:I26)</f>
        <v>2620.6912155999999</v>
      </c>
      <c r="J27" s="53"/>
      <c r="K27" s="54">
        <f t="shared" si="2"/>
        <v>-278.39000000000078</v>
      </c>
      <c r="L27" s="55">
        <f t="shared" si="3"/>
        <v>-9.6026975202343393E-2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72339.203999999998</v>
      </c>
      <c r="E28" s="36">
        <f t="shared" ref="E28:E32" si="9">C28*D28</f>
        <v>318.29249759999999</v>
      </c>
      <c r="F28" s="45"/>
      <c r="G28" s="25">
        <f>Rates!I253</f>
        <v>4.4000000000000003E-3</v>
      </c>
      <c r="H28" s="37">
        <f>D28</f>
        <v>72339.203999999998</v>
      </c>
      <c r="I28" s="36">
        <f t="shared" ref="I28:I32" si="10">G28*H28</f>
        <v>318.29249759999999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72339.203999999998</v>
      </c>
      <c r="E29" s="36">
        <f t="shared" si="9"/>
        <v>86.807044799999986</v>
      </c>
      <c r="F29" s="45"/>
      <c r="G29" s="25">
        <f>Rates!I254</f>
        <v>1.1999999999999999E-3</v>
      </c>
      <c r="H29" s="37">
        <f t="shared" ref="H29:H30" si="11">D29</f>
        <v>72339.203999999998</v>
      </c>
      <c r="I29" s="36">
        <f t="shared" si="10"/>
        <v>86.807044799999986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Rates!E259</f>
        <v>0</v>
      </c>
      <c r="D31" s="37">
        <f>C7</f>
        <v>68620</v>
      </c>
      <c r="E31" s="36">
        <f t="shared" si="9"/>
        <v>0</v>
      </c>
      <c r="F31" s="45"/>
      <c r="G31" s="25">
        <f>Rates!I259</f>
        <v>0</v>
      </c>
      <c r="H31" s="37">
        <f>D31</f>
        <v>68620</v>
      </c>
      <c r="I31" s="36">
        <f t="shared" si="10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</f>
        <v>68620</v>
      </c>
      <c r="E32" s="36">
        <f t="shared" si="9"/>
        <v>5757.2179999999998</v>
      </c>
      <c r="F32" s="45"/>
      <c r="G32" s="25">
        <f>Rates!I275</f>
        <v>8.3900000000000002E-2</v>
      </c>
      <c r="H32" s="37">
        <f>D32</f>
        <v>68620</v>
      </c>
      <c r="I32" s="36">
        <f t="shared" si="10"/>
        <v>5757.2179999999998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9061.6487579999994</v>
      </c>
      <c r="F34" s="45"/>
      <c r="G34" s="35"/>
      <c r="H34" s="39"/>
      <c r="I34" s="39">
        <f>SUM(I27:I32)</f>
        <v>8783.2587579999999</v>
      </c>
      <c r="J34" s="45"/>
      <c r="K34" s="36">
        <f t="shared" si="2"/>
        <v>-278.38999999999942</v>
      </c>
      <c r="L34" s="47">
        <f t="shared" si="3"/>
        <v>-3.0721782253392373E-2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1178.0143385399999</v>
      </c>
      <c r="F35" s="45"/>
      <c r="G35" s="41">
        <f>Rates!I277</f>
        <v>0.13</v>
      </c>
      <c r="H35" s="35"/>
      <c r="I35" s="42">
        <f>I34*G35</f>
        <v>1141.82363854</v>
      </c>
      <c r="J35" s="45"/>
      <c r="K35" s="36">
        <f t="shared" si="2"/>
        <v>-36.190699999999879</v>
      </c>
      <c r="L35" s="47">
        <f t="shared" si="3"/>
        <v>-3.0721782253392334E-2</v>
      </c>
    </row>
    <row r="36" spans="2:12" x14ac:dyDescent="0.2">
      <c r="B36" s="23" t="s">
        <v>64</v>
      </c>
      <c r="C36" s="35"/>
      <c r="D36" s="35"/>
      <c r="E36" s="42">
        <f>E34+E35</f>
        <v>10239.66309654</v>
      </c>
      <c r="F36" s="45"/>
      <c r="G36" s="35"/>
      <c r="H36" s="35"/>
      <c r="I36" s="42">
        <f>I34+I35</f>
        <v>9925.0823965399995</v>
      </c>
      <c r="J36" s="45"/>
      <c r="K36" s="36">
        <f t="shared" si="2"/>
        <v>-314.58070000000043</v>
      </c>
      <c r="L36" s="47">
        <f t="shared" si="3"/>
        <v>-3.0721782253392477E-2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-1023.966309654</v>
      </c>
      <c r="F37" s="45"/>
      <c r="G37" s="41">
        <f>Rates!I279</f>
        <v>-0.1</v>
      </c>
      <c r="H37" s="35"/>
      <c r="I37" s="42">
        <f>I36*G37</f>
        <v>-992.50823965400002</v>
      </c>
      <c r="J37" s="45"/>
      <c r="K37" s="36">
        <f t="shared" si="2"/>
        <v>31.458070000000021</v>
      </c>
      <c r="L37" s="47">
        <f t="shared" si="3"/>
        <v>-3.0721782253392452E-2</v>
      </c>
    </row>
    <row r="38" spans="2:12" ht="13.5" thickBot="1" x14ac:dyDescent="0.25">
      <c r="B38" s="30" t="s">
        <v>65</v>
      </c>
      <c r="C38" s="57"/>
      <c r="D38" s="57"/>
      <c r="E38" s="58">
        <f>E36+E37</f>
        <v>9215.6967868859992</v>
      </c>
      <c r="F38" s="59"/>
      <c r="G38" s="57"/>
      <c r="H38" s="57"/>
      <c r="I38" s="58">
        <f>I36+I37</f>
        <v>8932.5741568859994</v>
      </c>
      <c r="J38" s="59"/>
      <c r="K38" s="60">
        <f t="shared" si="2"/>
        <v>-283.12262999999984</v>
      </c>
      <c r="L38" s="61">
        <f t="shared" si="3"/>
        <v>-3.0721782253392421E-2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Rates!B45</f>
        <v xml:space="preserve">Unmetered Scattered Load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800</v>
      </c>
    </row>
    <row r="8" spans="2:12" x14ac:dyDescent="0.2">
      <c r="B8" s="28" t="s">
        <v>69</v>
      </c>
      <c r="C8" s="29">
        <v>0</v>
      </c>
    </row>
    <row r="9" spans="2:12" ht="13.5" thickBot="1" x14ac:dyDescent="0.25">
      <c r="B9" s="30" t="s">
        <v>70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Rates!E46</f>
        <v>51.5</v>
      </c>
      <c r="D14" s="37">
        <f>C6</f>
        <v>1</v>
      </c>
      <c r="E14" s="36">
        <f>C14*D14</f>
        <v>51.5</v>
      </c>
      <c r="F14" s="45"/>
      <c r="G14" s="36">
        <f>Rates!I46</f>
        <v>42.3</v>
      </c>
      <c r="H14" s="37">
        <f>D14</f>
        <v>1</v>
      </c>
      <c r="I14" s="36">
        <f>G14*H14</f>
        <v>42.3</v>
      </c>
      <c r="J14" s="45"/>
      <c r="K14" s="36">
        <f>I14-E14</f>
        <v>-9.2000000000000028</v>
      </c>
      <c r="L14" s="47">
        <f>IF((E14)=0," ",K14/E14)</f>
        <v>-0.17864077669902917</v>
      </c>
    </row>
    <row r="15" spans="2:12" x14ac:dyDescent="0.2">
      <c r="B15" s="44" t="str">
        <f>Rates!B7</f>
        <v>Distribution Volumetric Rate</v>
      </c>
      <c r="C15" s="25">
        <f>Rates!E47</f>
        <v>3.2399999999999998E-2</v>
      </c>
      <c r="D15" s="38">
        <f>C7</f>
        <v>800</v>
      </c>
      <c r="E15" s="36">
        <f t="shared" ref="E15" si="0">C15*D15</f>
        <v>25.919999999999998</v>
      </c>
      <c r="F15" s="45"/>
      <c r="G15" s="25">
        <f>Rates!I47</f>
        <v>2.5000000000000001E-2</v>
      </c>
      <c r="H15" s="38">
        <f>D15</f>
        <v>800</v>
      </c>
      <c r="I15" s="36">
        <f t="shared" ref="I15" si="1">G15*H15</f>
        <v>20</v>
      </c>
      <c r="J15" s="45"/>
      <c r="K15" s="36">
        <f t="shared" ref="K15:K38" si="2">I15-E15</f>
        <v>-5.9199999999999982</v>
      </c>
      <c r="L15" s="47">
        <f t="shared" ref="L15:L38" si="3">IF((E15)=0," ",K15/E15)</f>
        <v>-0.22839506172839499</v>
      </c>
    </row>
    <row r="16" spans="2:12" x14ac:dyDescent="0.2">
      <c r="B16" s="49" t="s">
        <v>38</v>
      </c>
      <c r="C16" s="50"/>
      <c r="D16" s="51"/>
      <c r="E16" s="52">
        <f>SUM(E14:E15)</f>
        <v>77.42</v>
      </c>
      <c r="F16" s="53"/>
      <c r="G16" s="50"/>
      <c r="H16" s="51"/>
      <c r="I16" s="52">
        <f>SUM(I14:I15)</f>
        <v>62.3</v>
      </c>
      <c r="J16" s="53"/>
      <c r="K16" s="54">
        <f t="shared" si="2"/>
        <v>-15.120000000000005</v>
      </c>
      <c r="L16" s="55">
        <f t="shared" si="3"/>
        <v>-0.19529837251356244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43.360000000000021</v>
      </c>
      <c r="E17" s="36">
        <f t="shared" ref="E17:E23" si="4">C17*D17</f>
        <v>3.637904000000002</v>
      </c>
      <c r="F17" s="45"/>
      <c r="G17" s="25">
        <f>Rates!I275</f>
        <v>8.3900000000000002E-2</v>
      </c>
      <c r="H17" s="40">
        <f>(C5-1)*C7</f>
        <v>43.360000000000021</v>
      </c>
      <c r="I17" s="36">
        <f t="shared" ref="I17:I23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Rates!E49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Rates!I49</f>
        <v>0</v>
      </c>
      <c r="H18" s="37">
        <f t="shared" ref="H18:H23" si="6">D18</f>
        <v>800</v>
      </c>
      <c r="I18" s="36">
        <f t="shared" si="5"/>
        <v>0</v>
      </c>
      <c r="J18" s="45"/>
      <c r="K18" s="36">
        <f t="shared" si="2"/>
        <v>-0.24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Rates!E50</f>
        <v>1.6999999999999999E-3</v>
      </c>
      <c r="D19" s="37">
        <f>C7</f>
        <v>800</v>
      </c>
      <c r="E19" s="36">
        <f t="shared" si="4"/>
        <v>1.3599999999999999</v>
      </c>
      <c r="F19" s="45"/>
      <c r="G19" s="25">
        <f>Rates!I50</f>
        <v>0</v>
      </c>
      <c r="H19" s="37">
        <f t="shared" si="6"/>
        <v>800</v>
      </c>
      <c r="I19" s="36">
        <f t="shared" si="5"/>
        <v>0</v>
      </c>
      <c r="J19" s="45"/>
      <c r="K19" s="36">
        <f t="shared" si="2"/>
        <v>-1.3599999999999999</v>
      </c>
      <c r="L19" s="47">
        <f t="shared" si="3"/>
        <v>-1</v>
      </c>
    </row>
    <row r="20" spans="2:12" x14ac:dyDescent="0.2">
      <c r="B20" s="48" t="str">
        <f>Rates!B52</f>
        <v>Rate Rider for Deferral/Variance Account Disposition (2014) - effective until December 31, 2016</v>
      </c>
      <c r="C20" s="25">
        <f>Rates!E52</f>
        <v>0</v>
      </c>
      <c r="D20" s="37">
        <f>C7</f>
        <v>800</v>
      </c>
      <c r="E20" s="36">
        <f t="shared" si="4"/>
        <v>0</v>
      </c>
      <c r="F20" s="45"/>
      <c r="G20" s="25">
        <f>Rates!I52</f>
        <v>8.0000000000000004E-4</v>
      </c>
      <c r="H20" s="37">
        <f t="shared" si="6"/>
        <v>800</v>
      </c>
      <c r="I20" s="36">
        <f t="shared" si="5"/>
        <v>0.64</v>
      </c>
      <c r="J20" s="45"/>
      <c r="K20" s="36">
        <f t="shared" ref="K20:K22" si="7">I20-E20</f>
        <v>0.64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Rates!B53</f>
        <v>Rate Rider for Global Adjustment Sub-Account Disposition (2014) - effective until December 31, 2016 Applicable only for Non-RPP Customers</v>
      </c>
      <c r="C21" s="25">
        <f>Rates!E53</f>
        <v>0</v>
      </c>
      <c r="D21" s="37">
        <f>C7</f>
        <v>800</v>
      </c>
      <c r="E21" s="36">
        <f t="shared" si="4"/>
        <v>0</v>
      </c>
      <c r="F21" s="45"/>
      <c r="G21" s="25">
        <f>Rates!I53</f>
        <v>-2.5000000000000001E-3</v>
      </c>
      <c r="H21" s="37">
        <f t="shared" si="6"/>
        <v>800</v>
      </c>
      <c r="I21" s="36">
        <f t="shared" si="5"/>
        <v>-2</v>
      </c>
      <c r="J21" s="45"/>
      <c r="K21" s="36">
        <f t="shared" si="7"/>
        <v>-2</v>
      </c>
      <c r="L21" s="47" t="str">
        <f t="shared" si="8"/>
        <v xml:space="preserve"> </v>
      </c>
    </row>
    <row r="22" spans="2:12" x14ac:dyDescent="0.2">
      <c r="B22" s="48" t="str">
        <f>Rates!B54</f>
        <v>Rate Rider for Loss Revenue Adjustment Mechanism (LRAM) - effective until December 31, 2015</v>
      </c>
      <c r="C22" s="25">
        <f>Rates!E54</f>
        <v>0</v>
      </c>
      <c r="D22" s="37">
        <f>C7</f>
        <v>800</v>
      </c>
      <c r="E22" s="36">
        <f t="shared" si="4"/>
        <v>0</v>
      </c>
      <c r="F22" s="45"/>
      <c r="G22" s="25">
        <f>Rates!I54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Rates!E48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Rates!I48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51"/>
      <c r="E24" s="52">
        <f>SUM(E16:E23)</f>
        <v>82.817903999999999</v>
      </c>
      <c r="F24" s="53"/>
      <c r="G24" s="50"/>
      <c r="H24" s="51"/>
      <c r="I24" s="52">
        <f>SUM(I16:I23)</f>
        <v>64.737904</v>
      </c>
      <c r="J24" s="53"/>
      <c r="K24" s="54">
        <f t="shared" si="2"/>
        <v>-18.079999999999998</v>
      </c>
      <c r="L24" s="55">
        <f t="shared" si="3"/>
        <v>-0.21831028227905888</v>
      </c>
    </row>
    <row r="25" spans="2:12" x14ac:dyDescent="0.2">
      <c r="B25" s="44" t="str">
        <f>Rates!B16</f>
        <v>Retail Transmission Rate - Network Service Rate</v>
      </c>
      <c r="C25" s="25">
        <f>Rates!E55</f>
        <v>6.1999999999999998E-3</v>
      </c>
      <c r="D25" s="37">
        <f>C7*C5</f>
        <v>843.36</v>
      </c>
      <c r="E25" s="36">
        <f>C25*D25</f>
        <v>5.2288319999999997</v>
      </c>
      <c r="F25" s="45"/>
      <c r="G25" s="25">
        <f>Rates!I55</f>
        <v>6.4999999999999997E-3</v>
      </c>
      <c r="H25" s="37">
        <f>D25</f>
        <v>843.36</v>
      </c>
      <c r="I25" s="36">
        <f>G25*H25</f>
        <v>5.48184</v>
      </c>
      <c r="J25" s="45"/>
      <c r="K25" s="36">
        <f t="shared" si="2"/>
        <v>0.25300800000000034</v>
      </c>
      <c r="L25" s="47">
        <f t="shared" si="3"/>
        <v>4.8387096774193616E-2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Rates!E56</f>
        <v>4.7999999999999996E-3</v>
      </c>
      <c r="D26" s="37">
        <f>C7*C5</f>
        <v>843.36</v>
      </c>
      <c r="E26" s="36">
        <f>C26*D26</f>
        <v>4.0481279999999993</v>
      </c>
      <c r="F26" s="45"/>
      <c r="G26" s="25">
        <f>Rates!I56</f>
        <v>5.1000000000000004E-3</v>
      </c>
      <c r="H26" s="37">
        <f>D26</f>
        <v>843.36</v>
      </c>
      <c r="I26" s="36">
        <f>G26*H26</f>
        <v>4.3011360000000005</v>
      </c>
      <c r="J26" s="45"/>
      <c r="K26" s="36">
        <f t="shared" si="2"/>
        <v>0.25300800000000123</v>
      </c>
      <c r="L26" s="47">
        <f t="shared" si="3"/>
        <v>6.2500000000000319E-2</v>
      </c>
    </row>
    <row r="27" spans="2:12" x14ac:dyDescent="0.2">
      <c r="B27" s="49" t="s">
        <v>62</v>
      </c>
      <c r="C27" s="50"/>
      <c r="D27" s="51"/>
      <c r="E27" s="52">
        <f>SUM(E24:E26)</f>
        <v>92.094864000000001</v>
      </c>
      <c r="F27" s="53"/>
      <c r="G27" s="50"/>
      <c r="H27" s="52"/>
      <c r="I27" s="52">
        <f>SUM(I24:I26)</f>
        <v>74.520880000000005</v>
      </c>
      <c r="J27" s="53"/>
      <c r="K27" s="54">
        <f t="shared" si="2"/>
        <v>-17.573983999999996</v>
      </c>
      <c r="L27" s="55">
        <f t="shared" si="3"/>
        <v>-0.19082479995844281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843.36</v>
      </c>
      <c r="E28" s="36">
        <f t="shared" ref="E28:E32" si="9">C28*D28</f>
        <v>3.7107840000000003</v>
      </c>
      <c r="F28" s="45"/>
      <c r="G28" s="25">
        <f>Rates!I253</f>
        <v>4.4000000000000003E-3</v>
      </c>
      <c r="H28" s="37">
        <f>D28</f>
        <v>843.36</v>
      </c>
      <c r="I28" s="36">
        <f t="shared" ref="I28:I32" si="10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843.36</v>
      </c>
      <c r="E29" s="36">
        <f t="shared" si="9"/>
        <v>1.0120319999999998</v>
      </c>
      <c r="F29" s="45"/>
      <c r="G29" s="25">
        <f>Rates!I254</f>
        <v>1.1999999999999999E-3</v>
      </c>
      <c r="H29" s="37">
        <f t="shared" ref="H29:H30" si="11">D29</f>
        <v>843.36</v>
      </c>
      <c r="I29" s="36">
        <f t="shared" si="10"/>
        <v>1.0120319999999998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Rates!E259</f>
        <v>0</v>
      </c>
      <c r="D31" s="37">
        <f>C7</f>
        <v>800</v>
      </c>
      <c r="E31" s="36">
        <f t="shared" si="9"/>
        <v>0</v>
      </c>
      <c r="F31" s="45"/>
      <c r="G31" s="25">
        <f>Rates!I259</f>
        <v>0</v>
      </c>
      <c r="H31" s="37">
        <f>D31</f>
        <v>800</v>
      </c>
      <c r="I31" s="36">
        <f t="shared" si="10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</f>
        <v>800</v>
      </c>
      <c r="E32" s="36">
        <f t="shared" si="9"/>
        <v>67.12</v>
      </c>
      <c r="F32" s="45"/>
      <c r="G32" s="25">
        <f>Rates!I275</f>
        <v>8.3900000000000002E-2</v>
      </c>
      <c r="H32" s="37">
        <f>D32</f>
        <v>800</v>
      </c>
      <c r="I32" s="36">
        <f t="shared" si="10"/>
        <v>67.12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164.18768</v>
      </c>
      <c r="F34" s="45"/>
      <c r="G34" s="35"/>
      <c r="H34" s="39"/>
      <c r="I34" s="39">
        <f>SUM(I27:I32)</f>
        <v>146.613696</v>
      </c>
      <c r="J34" s="45"/>
      <c r="K34" s="36">
        <f t="shared" si="2"/>
        <v>-17.573983999999996</v>
      </c>
      <c r="L34" s="47">
        <f t="shared" si="3"/>
        <v>-0.10703594812960385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21.344398399999999</v>
      </c>
      <c r="F35" s="45"/>
      <c r="G35" s="41">
        <f>Rates!I277</f>
        <v>0.13</v>
      </c>
      <c r="H35" s="35"/>
      <c r="I35" s="42">
        <f>I34*G35</f>
        <v>19.059780480000001</v>
      </c>
      <c r="J35" s="45"/>
      <c r="K35" s="36">
        <f t="shared" si="2"/>
        <v>-2.2846179199999987</v>
      </c>
      <c r="L35" s="47">
        <f t="shared" si="3"/>
        <v>-0.10703594812960382</v>
      </c>
    </row>
    <row r="36" spans="2:12" x14ac:dyDescent="0.2">
      <c r="B36" s="23" t="s">
        <v>64</v>
      </c>
      <c r="C36" s="35"/>
      <c r="D36" s="35"/>
      <c r="E36" s="42">
        <f>E34+E35</f>
        <v>185.53207839999999</v>
      </c>
      <c r="F36" s="45"/>
      <c r="G36" s="35"/>
      <c r="H36" s="35"/>
      <c r="I36" s="42">
        <f>I34+I35</f>
        <v>165.67347648000001</v>
      </c>
      <c r="J36" s="45"/>
      <c r="K36" s="36">
        <f t="shared" si="2"/>
        <v>-19.858601919999984</v>
      </c>
      <c r="L36" s="47">
        <f t="shared" si="3"/>
        <v>-0.10703594812960379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-18.553207839999999</v>
      </c>
      <c r="F37" s="45"/>
      <c r="G37" s="41">
        <f>Rates!I279</f>
        <v>-0.1</v>
      </c>
      <c r="H37" s="35"/>
      <c r="I37" s="42">
        <f>I36*G37</f>
        <v>-16.567347648000002</v>
      </c>
      <c r="J37" s="45"/>
      <c r="K37" s="36">
        <f t="shared" si="2"/>
        <v>1.985860191999997</v>
      </c>
      <c r="L37" s="47">
        <f t="shared" si="3"/>
        <v>-0.10703594812960372</v>
      </c>
    </row>
    <row r="38" spans="2:12" ht="13.5" thickBot="1" x14ac:dyDescent="0.25">
      <c r="B38" s="30" t="s">
        <v>65</v>
      </c>
      <c r="C38" s="57"/>
      <c r="D38" s="57"/>
      <c r="E38" s="58">
        <f>E36+E37</f>
        <v>166.97887055999999</v>
      </c>
      <c r="F38" s="59"/>
      <c r="G38" s="57"/>
      <c r="H38" s="57"/>
      <c r="I38" s="58">
        <f>I36+I37</f>
        <v>149.106128832</v>
      </c>
      <c r="J38" s="59"/>
      <c r="K38" s="60">
        <f t="shared" si="2"/>
        <v>-17.872741727999994</v>
      </c>
      <c r="L38" s="61">
        <f t="shared" si="3"/>
        <v>-0.10703594812960385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workbookViewId="0">
      <selection activeCell="G22" sqref="G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Rates!B58</f>
        <v xml:space="preserve">Sentinel Lighting </v>
      </c>
    </row>
    <row r="4" spans="2:12" ht="13.5" thickBot="1" x14ac:dyDescent="0.25"/>
    <row r="5" spans="2:12" x14ac:dyDescent="0.2">
      <c r="B5" s="26" t="s">
        <v>58</v>
      </c>
      <c r="C5" s="27">
        <f>Rates!I268</f>
        <v>1.0542</v>
      </c>
    </row>
    <row r="6" spans="2:12" x14ac:dyDescent="0.2">
      <c r="B6" s="28" t="s">
        <v>67</v>
      </c>
      <c r="C6" s="29">
        <v>1</v>
      </c>
    </row>
    <row r="7" spans="2:12" x14ac:dyDescent="0.2">
      <c r="B7" s="28" t="s">
        <v>68</v>
      </c>
      <c r="C7" s="29">
        <v>60</v>
      </c>
    </row>
    <row r="8" spans="2:12" x14ac:dyDescent="0.2">
      <c r="B8" s="28" t="s">
        <v>69</v>
      </c>
      <c r="C8" s="62">
        <v>0.2</v>
      </c>
    </row>
    <row r="9" spans="2:12" ht="13.5" thickBot="1" x14ac:dyDescent="0.25">
      <c r="B9" s="30" t="s">
        <v>70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71</v>
      </c>
      <c r="C11" s="108" t="s">
        <v>59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60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Rates!E59</f>
        <v>5.08</v>
      </c>
      <c r="D14" s="37">
        <f>C6</f>
        <v>1</v>
      </c>
      <c r="E14" s="36">
        <f>C14*D14</f>
        <v>5.08</v>
      </c>
      <c r="F14" s="45"/>
      <c r="G14" s="36">
        <f>Rates!I59</f>
        <v>5.18</v>
      </c>
      <c r="H14" s="37">
        <f>D14</f>
        <v>1</v>
      </c>
      <c r="I14" s="36">
        <f>G14*H14</f>
        <v>5.18</v>
      </c>
      <c r="J14" s="45"/>
      <c r="K14" s="36">
        <f>I14-E14</f>
        <v>9.9999999999999645E-2</v>
      </c>
      <c r="L14" s="47">
        <f>IF((E14)=0," ",K14/E14)</f>
        <v>1.968503937007867E-2</v>
      </c>
    </row>
    <row r="15" spans="2:12" x14ac:dyDescent="0.2">
      <c r="B15" s="44" t="str">
        <f>Rates!B7</f>
        <v>Distribution Volumetric Rate</v>
      </c>
      <c r="C15" s="25">
        <f>Rates!E60</f>
        <v>5.0109000000000004</v>
      </c>
      <c r="D15" s="38">
        <f>C8</f>
        <v>0.2</v>
      </c>
      <c r="E15" s="36">
        <f t="shared" ref="E15" si="0">C15*D15</f>
        <v>1.0021800000000001</v>
      </c>
      <c r="F15" s="45"/>
      <c r="G15" s="25">
        <f>Rates!I60</f>
        <v>4.9612999999999996</v>
      </c>
      <c r="H15" s="38">
        <f>D15</f>
        <v>0.2</v>
      </c>
      <c r="I15" s="36">
        <f t="shared" ref="I15" si="1">G15*H15</f>
        <v>0.99225999999999992</v>
      </c>
      <c r="J15" s="45"/>
      <c r="K15" s="36">
        <f t="shared" ref="K15:K38" si="2">I15-E15</f>
        <v>-9.9200000000001509E-3</v>
      </c>
      <c r="L15" s="47">
        <f t="shared" ref="L15:L38" si="3">IF((E15)=0," ",K15/E15)</f>
        <v>-9.8984214412582081E-3</v>
      </c>
    </row>
    <row r="16" spans="2:12" x14ac:dyDescent="0.2">
      <c r="B16" s="49" t="s">
        <v>38</v>
      </c>
      <c r="C16" s="50"/>
      <c r="D16" s="51"/>
      <c r="E16" s="52">
        <f>SUM(E14:E15)</f>
        <v>6.0821800000000001</v>
      </c>
      <c r="F16" s="53"/>
      <c r="G16" s="50"/>
      <c r="H16" s="51"/>
      <c r="I16" s="52">
        <f>SUM(I14:I15)</f>
        <v>6.1722599999999996</v>
      </c>
      <c r="J16" s="53"/>
      <c r="K16" s="54">
        <f t="shared" si="2"/>
        <v>9.0079999999999494E-2</v>
      </c>
      <c r="L16" s="55">
        <f t="shared" si="3"/>
        <v>1.4810479137414461E-2</v>
      </c>
    </row>
    <row r="17" spans="2:12" x14ac:dyDescent="0.2">
      <c r="B17" s="28" t="s">
        <v>39</v>
      </c>
      <c r="C17" s="25">
        <f>Rates!E275</f>
        <v>8.3900000000000002E-2</v>
      </c>
      <c r="D17" s="40">
        <f>(C5-1)*C7</f>
        <v>3.2520000000000016</v>
      </c>
      <c r="E17" s="36">
        <f t="shared" ref="E17:E23" si="4">C17*D17</f>
        <v>0.27284280000000016</v>
      </c>
      <c r="F17" s="45"/>
      <c r="G17" s="25">
        <f>Rates!I275</f>
        <v>8.3900000000000002E-2</v>
      </c>
      <c r="H17" s="40">
        <f>(C5-1)*C7</f>
        <v>3.2520000000000016</v>
      </c>
      <c r="I17" s="36">
        <f t="shared" ref="I17:I23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Rates!E62</f>
        <v>0.14929999999999999</v>
      </c>
      <c r="D18" s="91">
        <f>C8</f>
        <v>0.2</v>
      </c>
      <c r="E18" s="36">
        <f t="shared" si="4"/>
        <v>2.9859999999999998E-2</v>
      </c>
      <c r="F18" s="45"/>
      <c r="G18" s="25">
        <f>Rates!I62</f>
        <v>0</v>
      </c>
      <c r="H18" s="91">
        <f t="shared" ref="H18:H23" si="6">D18</f>
        <v>0.2</v>
      </c>
      <c r="I18" s="36">
        <f t="shared" si="5"/>
        <v>0</v>
      </c>
      <c r="J18" s="45"/>
      <c r="K18" s="36">
        <f t="shared" si="2"/>
        <v>-2.9859999999999998E-2</v>
      </c>
      <c r="L18" s="47">
        <f t="shared" si="3"/>
        <v>-1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Rates!E63</f>
        <v>0.56059999999999999</v>
      </c>
      <c r="D19" s="91">
        <f>C8</f>
        <v>0.2</v>
      </c>
      <c r="E19" s="36">
        <f t="shared" si="4"/>
        <v>0.11212</v>
      </c>
      <c r="F19" s="45"/>
      <c r="G19" s="25">
        <f>Rates!I63</f>
        <v>0</v>
      </c>
      <c r="H19" s="91">
        <f t="shared" si="6"/>
        <v>0.2</v>
      </c>
      <c r="I19" s="36">
        <f t="shared" si="5"/>
        <v>0</v>
      </c>
      <c r="J19" s="45"/>
      <c r="K19" s="36">
        <f t="shared" si="2"/>
        <v>-0.11212</v>
      </c>
      <c r="L19" s="47">
        <f t="shared" si="3"/>
        <v>-1</v>
      </c>
    </row>
    <row r="20" spans="2:12" x14ac:dyDescent="0.2">
      <c r="B20" s="48" t="str">
        <f>Rates!B65</f>
        <v>Rate Rider for Deferral/Variance Account Disposition (2014) - effective until December 31, 2016</v>
      </c>
      <c r="C20" s="25">
        <f>Rates!E65</f>
        <v>0</v>
      </c>
      <c r="D20" s="91">
        <f>C8</f>
        <v>0.2</v>
      </c>
      <c r="E20" s="36">
        <f t="shared" si="4"/>
        <v>0</v>
      </c>
      <c r="F20" s="45"/>
      <c r="G20" s="25">
        <f>Rates!I65</f>
        <v>0.1459</v>
      </c>
      <c r="H20" s="91">
        <f t="shared" si="6"/>
        <v>0.2</v>
      </c>
      <c r="I20" s="36">
        <f t="shared" si="5"/>
        <v>2.9180000000000001E-2</v>
      </c>
      <c r="J20" s="45"/>
      <c r="K20" s="36">
        <f t="shared" ref="K20:K22" si="7">I20-E20</f>
        <v>2.9180000000000001E-2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Rates!B66</f>
        <v>Rate Rider for Global Adjustment Sub-Account Disposition (2014) - effective until December 31, 2016 Applicable only for Non-RPP Customers</v>
      </c>
      <c r="C21" s="25">
        <f>Rates!E66</f>
        <v>0</v>
      </c>
      <c r="D21" s="91">
        <f>C8</f>
        <v>0.2</v>
      </c>
      <c r="E21" s="36">
        <f t="shared" si="4"/>
        <v>0</v>
      </c>
      <c r="F21" s="45"/>
      <c r="G21" s="25">
        <f>Rates!I66</f>
        <v>-0.4758</v>
      </c>
      <c r="H21" s="91">
        <f t="shared" si="6"/>
        <v>0.2</v>
      </c>
      <c r="I21" s="36">
        <f t="shared" si="5"/>
        <v>-9.5160000000000008E-2</v>
      </c>
      <c r="J21" s="45"/>
      <c r="K21" s="36">
        <f t="shared" si="7"/>
        <v>-9.5160000000000008E-2</v>
      </c>
      <c r="L21" s="47" t="str">
        <f t="shared" si="8"/>
        <v xml:space="preserve"> </v>
      </c>
    </row>
    <row r="22" spans="2:12" x14ac:dyDescent="0.2">
      <c r="B22" s="48" t="str">
        <f>Rates!B67</f>
        <v>Rate Rider for Loss Revenue Adjustment Mechanism (LRAM) - effective until December 31, 2015</v>
      </c>
      <c r="C22" s="25">
        <f>Rates!E67</f>
        <v>0</v>
      </c>
      <c r="D22" s="91">
        <f>C8</f>
        <v>0.2</v>
      </c>
      <c r="E22" s="36">
        <f t="shared" si="4"/>
        <v>0</v>
      </c>
      <c r="F22" s="45"/>
      <c r="G22" s="25">
        <f>Rates!I67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Rates!B10</f>
        <v>Low Voltage Service Rate</v>
      </c>
      <c r="C23" s="25">
        <f>Rates!E61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Rates!I61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61</v>
      </c>
      <c r="C24" s="50"/>
      <c r="D24" s="92"/>
      <c r="E24" s="52">
        <f>SUM(E16:E23)</f>
        <v>6.5078428000000006</v>
      </c>
      <c r="F24" s="53"/>
      <c r="G24" s="50"/>
      <c r="H24" s="92"/>
      <c r="I24" s="52">
        <f>SUM(I16:I23)</f>
        <v>6.3899628000000002</v>
      </c>
      <c r="J24" s="53"/>
      <c r="K24" s="54">
        <f t="shared" si="2"/>
        <v>-0.11788000000000043</v>
      </c>
      <c r="L24" s="55">
        <f t="shared" si="3"/>
        <v>-1.8113529109830436E-2</v>
      </c>
    </row>
    <row r="25" spans="2:12" x14ac:dyDescent="0.2">
      <c r="B25" s="44" t="str">
        <f>Rates!B16</f>
        <v>Retail Transmission Rate - Network Service Rate</v>
      </c>
      <c r="C25" s="25">
        <f>Rates!E68</f>
        <v>2.1646999999999998</v>
      </c>
      <c r="D25" s="91">
        <f>C8</f>
        <v>0.2</v>
      </c>
      <c r="E25" s="36">
        <f>C25*D25</f>
        <v>0.43293999999999999</v>
      </c>
      <c r="F25" s="45"/>
      <c r="G25" s="25">
        <f>Rates!I68</f>
        <v>2.2633999999999999</v>
      </c>
      <c r="H25" s="91">
        <f>D25</f>
        <v>0.2</v>
      </c>
      <c r="I25" s="36">
        <f>G25*H25</f>
        <v>0.45267999999999997</v>
      </c>
      <c r="J25" s="45"/>
      <c r="K25" s="36">
        <f t="shared" si="2"/>
        <v>1.973999999999998E-2</v>
      </c>
      <c r="L25" s="47">
        <f t="shared" si="3"/>
        <v>4.5595232595740706E-2</v>
      </c>
    </row>
    <row r="26" spans="2:12" x14ac:dyDescent="0.2">
      <c r="B26" s="44" t="str">
        <f>Rates!B17</f>
        <v>Retail Transmission Rate - Line and Transformation Connection Service Rate</v>
      </c>
      <c r="C26" s="25">
        <f>Rates!E69</f>
        <v>1.5792999999999999</v>
      </c>
      <c r="D26" s="91">
        <f>C8</f>
        <v>0.2</v>
      </c>
      <c r="E26" s="36">
        <f>C26*D26</f>
        <v>0.31586000000000003</v>
      </c>
      <c r="F26" s="45"/>
      <c r="G26" s="25">
        <f>Rates!I69</f>
        <v>1.6627000000000001</v>
      </c>
      <c r="H26" s="91">
        <f>D26</f>
        <v>0.2</v>
      </c>
      <c r="I26" s="36">
        <f>G26*H26</f>
        <v>0.33254000000000006</v>
      </c>
      <c r="J26" s="45"/>
      <c r="K26" s="36">
        <f t="shared" si="2"/>
        <v>1.6680000000000028E-2</v>
      </c>
      <c r="L26" s="47">
        <f t="shared" si="3"/>
        <v>5.2808206167289387E-2</v>
      </c>
    </row>
    <row r="27" spans="2:12" x14ac:dyDescent="0.2">
      <c r="B27" s="49" t="s">
        <v>62</v>
      </c>
      <c r="C27" s="50"/>
      <c r="D27" s="51"/>
      <c r="E27" s="52">
        <f>SUM(E24:E26)</f>
        <v>7.2566428000000007</v>
      </c>
      <c r="F27" s="53"/>
      <c r="G27" s="50"/>
      <c r="H27" s="52"/>
      <c r="I27" s="52">
        <f>SUM(I24:I26)</f>
        <v>7.1751828</v>
      </c>
      <c r="J27" s="53"/>
      <c r="K27" s="54">
        <f t="shared" si="2"/>
        <v>-8.1460000000000754E-2</v>
      </c>
      <c r="L27" s="55">
        <f t="shared" si="3"/>
        <v>-1.12255766537111E-2</v>
      </c>
    </row>
    <row r="28" spans="2:12" x14ac:dyDescent="0.2">
      <c r="B28" s="44" t="str">
        <f>Rates!B253</f>
        <v>Wholesale Market Service Rate</v>
      </c>
      <c r="C28" s="25">
        <f>Rates!E253</f>
        <v>4.4000000000000003E-3</v>
      </c>
      <c r="D28" s="37">
        <f>C5*C7</f>
        <v>63.252000000000002</v>
      </c>
      <c r="E28" s="36">
        <f t="shared" ref="E28:E32" si="9">C28*D28</f>
        <v>0.27830880000000002</v>
      </c>
      <c r="F28" s="45"/>
      <c r="G28" s="25">
        <f>Rates!I253</f>
        <v>4.4000000000000003E-3</v>
      </c>
      <c r="H28" s="37">
        <f>D28</f>
        <v>63.252000000000002</v>
      </c>
      <c r="I28" s="36">
        <f t="shared" ref="I28:I32" si="10">G28*H28</f>
        <v>0.27830880000000002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Rates!B254</f>
        <v>Rural Rate Protection Charge</v>
      </c>
      <c r="C29" s="25">
        <f>Rates!E254</f>
        <v>1.1999999999999999E-3</v>
      </c>
      <c r="D29" s="37">
        <f>C5*C7</f>
        <v>63.252000000000002</v>
      </c>
      <c r="E29" s="36">
        <f t="shared" si="9"/>
        <v>7.5902399999999995E-2</v>
      </c>
      <c r="F29" s="45"/>
      <c r="G29" s="25">
        <f>Rates!I254</f>
        <v>1.1999999999999999E-3</v>
      </c>
      <c r="H29" s="37">
        <f t="shared" ref="H29:H30" si="11">D29</f>
        <v>63.252000000000002</v>
      </c>
      <c r="I29" s="36">
        <f t="shared" si="10"/>
        <v>7.5902399999999995E-2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Rates!B255</f>
        <v>Standard Supply Service - Administrative Charge (if applicable)</v>
      </c>
      <c r="C30" s="36">
        <f>Rates!E255</f>
        <v>0.25</v>
      </c>
      <c r="D30" s="37">
        <v>1</v>
      </c>
      <c r="E30" s="36">
        <f t="shared" si="9"/>
        <v>0.25</v>
      </c>
      <c r="F30" s="45"/>
      <c r="G30" s="36">
        <f>Rates!I255</f>
        <v>0.25</v>
      </c>
      <c r="H30" s="37">
        <f t="shared" si="11"/>
        <v>1</v>
      </c>
      <c r="I30" s="36">
        <f t="shared" si="10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Rates!B258</f>
        <v>Debt Retirement Charge</v>
      </c>
      <c r="C31" s="25">
        <f>Rates!E259</f>
        <v>0</v>
      </c>
      <c r="D31" s="37">
        <f>C7</f>
        <v>60</v>
      </c>
      <c r="E31" s="36">
        <f t="shared" si="9"/>
        <v>0</v>
      </c>
      <c r="F31" s="45"/>
      <c r="G31" s="25">
        <f>Rates!I259</f>
        <v>0</v>
      </c>
      <c r="H31" s="37">
        <f>D31</f>
        <v>60</v>
      </c>
      <c r="I31" s="36">
        <f t="shared" si="10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Rates!B275</f>
        <v>Energy Price</v>
      </c>
      <c r="C32" s="25">
        <f>Rates!E275</f>
        <v>8.3900000000000002E-2</v>
      </c>
      <c r="D32" s="37">
        <f>C7*0.64</f>
        <v>38.4</v>
      </c>
      <c r="E32" s="36">
        <f t="shared" si="9"/>
        <v>3.2217600000000002</v>
      </c>
      <c r="F32" s="45"/>
      <c r="G32" s="25">
        <f>Rates!I275</f>
        <v>8.3900000000000002E-2</v>
      </c>
      <c r="H32" s="37">
        <f>D32</f>
        <v>38.4</v>
      </c>
      <c r="I32" s="36">
        <f t="shared" si="10"/>
        <v>3.2217600000000002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63</v>
      </c>
      <c r="C34" s="35"/>
      <c r="D34" s="35"/>
      <c r="E34" s="39">
        <f>SUM(E27:E32)</f>
        <v>11.082614000000001</v>
      </c>
      <c r="F34" s="45"/>
      <c r="G34" s="35"/>
      <c r="H34" s="39"/>
      <c r="I34" s="39">
        <f>SUM(I27:I32)</f>
        <v>11.001154</v>
      </c>
      <c r="J34" s="45"/>
      <c r="K34" s="36">
        <f t="shared" si="2"/>
        <v>-8.1460000000001642E-2</v>
      </c>
      <c r="L34" s="47">
        <f t="shared" si="3"/>
        <v>-7.3502514839911982E-3</v>
      </c>
    </row>
    <row r="35" spans="2:12" x14ac:dyDescent="0.2">
      <c r="B35" s="44" t="str">
        <f>Rates!B277</f>
        <v>HST</v>
      </c>
      <c r="C35" s="41">
        <f>Rates!E277</f>
        <v>0.13</v>
      </c>
      <c r="D35" s="35"/>
      <c r="E35" s="42">
        <f>E34*C35</f>
        <v>1.4407398200000001</v>
      </c>
      <c r="F35" s="45"/>
      <c r="G35" s="41">
        <f>Rates!I277</f>
        <v>0.13</v>
      </c>
      <c r="H35" s="35"/>
      <c r="I35" s="42">
        <f>I34*G35</f>
        <v>1.4301500199999999</v>
      </c>
      <c r="J35" s="45"/>
      <c r="K35" s="36">
        <f t="shared" si="2"/>
        <v>-1.0589800000000205E-2</v>
      </c>
      <c r="L35" s="47">
        <f t="shared" si="3"/>
        <v>-7.350251483991193E-3</v>
      </c>
    </row>
    <row r="36" spans="2:12" x14ac:dyDescent="0.2">
      <c r="B36" s="23" t="s">
        <v>64</v>
      </c>
      <c r="C36" s="35"/>
      <c r="D36" s="35"/>
      <c r="E36" s="42">
        <f>E34+E35</f>
        <v>12.523353820000001</v>
      </c>
      <c r="F36" s="45"/>
      <c r="G36" s="35"/>
      <c r="H36" s="35"/>
      <c r="I36" s="42">
        <f>I34+I35</f>
        <v>12.431304019999999</v>
      </c>
      <c r="J36" s="45"/>
      <c r="K36" s="36">
        <f t="shared" si="2"/>
        <v>-9.2049800000001625E-2</v>
      </c>
      <c r="L36" s="47">
        <f t="shared" si="3"/>
        <v>-7.3502514839911808E-3</v>
      </c>
    </row>
    <row r="37" spans="2:12" x14ac:dyDescent="0.2">
      <c r="B37" s="44" t="str">
        <f>Rates!B279</f>
        <v>OCEB</v>
      </c>
      <c r="C37" s="41">
        <f>Rates!E279</f>
        <v>-0.1</v>
      </c>
      <c r="D37" s="35"/>
      <c r="E37" s="42">
        <f>E36*C37</f>
        <v>-1.2523353820000001</v>
      </c>
      <c r="F37" s="45"/>
      <c r="G37" s="41">
        <f>Rates!I279</f>
        <v>-0.1</v>
      </c>
      <c r="H37" s="35"/>
      <c r="I37" s="42">
        <f>I36*G37</f>
        <v>-1.243130402</v>
      </c>
      <c r="J37" s="45"/>
      <c r="K37" s="36">
        <f t="shared" si="2"/>
        <v>9.2049800000000292E-3</v>
      </c>
      <c r="L37" s="47">
        <f t="shared" si="3"/>
        <v>-7.3502514839910741E-3</v>
      </c>
    </row>
    <row r="38" spans="2:12" ht="13.5" thickBot="1" x14ac:dyDescent="0.25">
      <c r="B38" s="30" t="s">
        <v>65</v>
      </c>
      <c r="C38" s="57"/>
      <c r="D38" s="57"/>
      <c r="E38" s="58">
        <f>E36+E37</f>
        <v>11.271018438</v>
      </c>
      <c r="F38" s="59"/>
      <c r="G38" s="57"/>
      <c r="H38" s="57"/>
      <c r="I38" s="58">
        <f>I36+I37</f>
        <v>11.188173617999999</v>
      </c>
      <c r="J38" s="59"/>
      <c r="K38" s="60">
        <f t="shared" si="2"/>
        <v>-8.2844820000001818E-2</v>
      </c>
      <c r="L38" s="61">
        <f t="shared" si="3"/>
        <v>-7.350251483991212E-3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Cover</vt:lpstr>
      <vt:lpstr>Rates</vt:lpstr>
      <vt:lpstr>FE - Residential RPP</vt:lpstr>
      <vt:lpstr>FE - Residential</vt:lpstr>
      <vt:lpstr>FE - GS &lt; 50 kW RPP</vt:lpstr>
      <vt:lpstr>FE - GS &lt; 50 kW</vt:lpstr>
      <vt:lpstr>FE - GS &gt; 50 kW</vt:lpstr>
      <vt:lpstr>FE - USL</vt:lpstr>
      <vt:lpstr>FE - Sentinel Lgt</vt:lpstr>
      <vt:lpstr>FE - Street Lgt</vt:lpstr>
      <vt:lpstr>EOP - Residential RPP</vt:lpstr>
      <vt:lpstr>EOP - Residential</vt:lpstr>
      <vt:lpstr>EOP - GS &lt; 50 kW RPP</vt:lpstr>
      <vt:lpstr>EOP - GS &lt; 50 kW</vt:lpstr>
      <vt:lpstr>EOP - GS &gt; 50 kW</vt:lpstr>
      <vt:lpstr>EOP - USL</vt:lpstr>
      <vt:lpstr>EOP - Sentinel Lgt</vt:lpstr>
      <vt:lpstr>EOP - Street Lgt</vt:lpstr>
      <vt:lpstr>PC - Residential RPP</vt:lpstr>
      <vt:lpstr>PC - Residential</vt:lpstr>
      <vt:lpstr>PC - GS &lt; 50 KW RPP</vt:lpstr>
      <vt:lpstr>PC - GS &lt; 50 KW</vt:lpstr>
      <vt:lpstr>PC - GS &gt; 50 kW</vt:lpstr>
      <vt:lpstr>PC - USL</vt:lpstr>
      <vt:lpstr>PC - Sentinel Lgt</vt:lpstr>
      <vt:lpstr>PC - Street Lgt</vt:lpstr>
      <vt:lpstr>Summary - FE</vt:lpstr>
      <vt:lpstr>Summary - EOP</vt:lpstr>
      <vt:lpstr>Summary - PC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2014-08-12T20:30:35Z</cp:lastPrinted>
  <dcterms:created xsi:type="dcterms:W3CDTF">2010-01-19T01:47:37Z</dcterms:created>
  <dcterms:modified xsi:type="dcterms:W3CDTF">2014-08-13T16:02:14Z</dcterms:modified>
</cp:coreProperties>
</file>