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80" yWindow="210" windowWidth="18195" windowHeight="7110" tabRatio="730" activeTab="2"/>
  </bookViews>
  <sheets>
    <sheet name="Admin" sheetId="13" r:id="rId1"/>
    <sheet name="Monthly Data" sheetId="1" r:id="rId2"/>
    <sheet name="Undertaking JT 1.7" sheetId="2" r:id="rId3"/>
    <sheet name="Predicted Monthly Data" sheetId="175" r:id="rId4"/>
    <sheet name="Predicted Monthly Data Summ" sheetId="176" r:id="rId5"/>
    <sheet name="PredictedAnnualDataSumm" sheetId="179" r:id="rId6"/>
    <sheet name="PredictedAnnualDataSumm2" sheetId="180" r:id="rId7"/>
    <sheet name="Normalized Monthly Data" sheetId="177" r:id="rId8"/>
    <sheet name="Normalized Monthly Data Summ" sheetId="178" r:id="rId9"/>
    <sheet name="NormalizedAnnualDataSumm" sheetId="181" r:id="rId10"/>
    <sheet name="NormalizedAnnualDataSumm2" sheetId="182" r:id="rId11"/>
    <sheet name="Undertaking JT 1.6" sheetId="183" r:id="rId12"/>
    <sheet name="Adjustment To Load Forecast" sheetId="184" r:id="rId13"/>
  </sheets>
  <externalReferences>
    <externalReference r:id="rId14"/>
  </externalReferences>
  <definedNames>
    <definedName name="const">'Undertaking JT 1.7'!$B$5</definedName>
    <definedName name="MonthlyCDD">'Undertaking JT 1.7'!$B$7</definedName>
    <definedName name="MonthlyHDD">'Undertaking JT 1.7'!$B$6</definedName>
    <definedName name="PeakDays">'Undertaking JT 1.7'!$B$8</definedName>
    <definedName name="Time">'Undertaking JT 1.7'!$B$9</definedName>
  </definedNames>
  <calcPr calcId="144525"/>
  <pivotCaches>
    <pivotCache cacheId="0" r:id="rId15"/>
    <pivotCache cacheId="1" r:id="rId16"/>
    <pivotCache cacheId="2" r:id="rId17"/>
  </pivotCaches>
</workbook>
</file>

<file path=xl/calcChain.xml><?xml version="1.0" encoding="utf-8"?>
<calcChain xmlns="http://schemas.openxmlformats.org/spreadsheetml/2006/main">
  <c r="C37" i="177" l="1"/>
  <c r="C49" i="177" s="1"/>
  <c r="C61" i="177" s="1"/>
  <c r="C73" i="177" s="1"/>
  <c r="C85" i="177" s="1"/>
  <c r="C97" i="177" s="1"/>
  <c r="C109" i="177" s="1"/>
  <c r="C121" i="177" s="1"/>
  <c r="C33" i="177"/>
  <c r="C45" i="177" s="1"/>
  <c r="C57" i="177" s="1"/>
  <c r="C69" i="177" s="1"/>
  <c r="C81" i="177" s="1"/>
  <c r="C93" i="177" s="1"/>
  <c r="C105" i="177" s="1"/>
  <c r="C117" i="177" s="1"/>
  <c r="C29" i="177"/>
  <c r="C41" i="177" s="1"/>
  <c r="C53" i="177" s="1"/>
  <c r="C65" i="177" s="1"/>
  <c r="C77" i="177" s="1"/>
  <c r="C89" i="177" s="1"/>
  <c r="C101" i="177" s="1"/>
  <c r="C113" i="177" s="1"/>
  <c r="D26" i="177"/>
  <c r="D38" i="177" s="1"/>
  <c r="D50" i="177" s="1"/>
  <c r="D62" i="177" s="1"/>
  <c r="D74" i="177" s="1"/>
  <c r="D86" i="177" s="1"/>
  <c r="D98" i="177" s="1"/>
  <c r="D110" i="177" s="1"/>
  <c r="C26" i="177"/>
  <c r="C38" i="177" s="1"/>
  <c r="C50" i="177" s="1"/>
  <c r="C62" i="177" s="1"/>
  <c r="C74" i="177" s="1"/>
  <c r="C86" i="177" s="1"/>
  <c r="C98" i="177" s="1"/>
  <c r="C110" i="177" s="1"/>
  <c r="D25" i="177"/>
  <c r="D37" i="177" s="1"/>
  <c r="D49" i="177" s="1"/>
  <c r="D61" i="177" s="1"/>
  <c r="D73" i="177" s="1"/>
  <c r="D85" i="177" s="1"/>
  <c r="D97" i="177" s="1"/>
  <c r="D109" i="177" s="1"/>
  <c r="D121" i="177" s="1"/>
  <c r="C25" i="177"/>
  <c r="D24" i="177"/>
  <c r="D36" i="177" s="1"/>
  <c r="D48" i="177" s="1"/>
  <c r="D60" i="177" s="1"/>
  <c r="D72" i="177" s="1"/>
  <c r="D84" i="177" s="1"/>
  <c r="D96" i="177" s="1"/>
  <c r="D108" i="177" s="1"/>
  <c r="D120" i="177" s="1"/>
  <c r="C24" i="177"/>
  <c r="C36" i="177" s="1"/>
  <c r="C48" i="177" s="1"/>
  <c r="C60" i="177" s="1"/>
  <c r="C72" i="177" s="1"/>
  <c r="C84" i="177" s="1"/>
  <c r="C96" i="177" s="1"/>
  <c r="C108" i="177" s="1"/>
  <c r="C120" i="177" s="1"/>
  <c r="D23" i="177"/>
  <c r="D35" i="177" s="1"/>
  <c r="D47" i="177" s="1"/>
  <c r="D59" i="177" s="1"/>
  <c r="D71" i="177" s="1"/>
  <c r="D83" i="177" s="1"/>
  <c r="D95" i="177" s="1"/>
  <c r="D107" i="177" s="1"/>
  <c r="D119" i="177" s="1"/>
  <c r="C23" i="177"/>
  <c r="C35" i="177" s="1"/>
  <c r="C47" i="177" s="1"/>
  <c r="C59" i="177" s="1"/>
  <c r="C71" i="177" s="1"/>
  <c r="C83" i="177" s="1"/>
  <c r="C95" i="177" s="1"/>
  <c r="C107" i="177" s="1"/>
  <c r="C119" i="177" s="1"/>
  <c r="D22" i="177"/>
  <c r="D34" i="177" s="1"/>
  <c r="D46" i="177" s="1"/>
  <c r="D58" i="177" s="1"/>
  <c r="D70" i="177" s="1"/>
  <c r="D82" i="177" s="1"/>
  <c r="D94" i="177" s="1"/>
  <c r="D106" i="177" s="1"/>
  <c r="D118" i="177" s="1"/>
  <c r="C22" i="177"/>
  <c r="C34" i="177" s="1"/>
  <c r="C46" i="177" s="1"/>
  <c r="C58" i="177" s="1"/>
  <c r="C70" i="177" s="1"/>
  <c r="C82" i="177" s="1"/>
  <c r="C94" i="177" s="1"/>
  <c r="C106" i="177" s="1"/>
  <c r="C118" i="177" s="1"/>
  <c r="D21" i="177"/>
  <c r="D33" i="177" s="1"/>
  <c r="D45" i="177" s="1"/>
  <c r="D57" i="177" s="1"/>
  <c r="D69" i="177" s="1"/>
  <c r="D81" i="177" s="1"/>
  <c r="D93" i="177" s="1"/>
  <c r="D105" i="177" s="1"/>
  <c r="D117" i="177" s="1"/>
  <c r="C21" i="177"/>
  <c r="D20" i="177"/>
  <c r="D32" i="177" s="1"/>
  <c r="D44" i="177" s="1"/>
  <c r="D56" i="177" s="1"/>
  <c r="D68" i="177" s="1"/>
  <c r="D80" i="177" s="1"/>
  <c r="D92" i="177" s="1"/>
  <c r="D104" i="177" s="1"/>
  <c r="D116" i="177" s="1"/>
  <c r="C20" i="177"/>
  <c r="C32" i="177" s="1"/>
  <c r="C44" i="177" s="1"/>
  <c r="C56" i="177" s="1"/>
  <c r="C68" i="177" s="1"/>
  <c r="C80" i="177" s="1"/>
  <c r="C92" i="177" s="1"/>
  <c r="C104" i="177" s="1"/>
  <c r="C116" i="177" s="1"/>
  <c r="D19" i="177"/>
  <c r="D31" i="177" s="1"/>
  <c r="D43" i="177" s="1"/>
  <c r="D55" i="177" s="1"/>
  <c r="D67" i="177" s="1"/>
  <c r="D79" i="177" s="1"/>
  <c r="D91" i="177" s="1"/>
  <c r="D103" i="177" s="1"/>
  <c r="D115" i="177" s="1"/>
  <c r="C19" i="177"/>
  <c r="C31" i="177" s="1"/>
  <c r="C43" i="177" s="1"/>
  <c r="C55" i="177" s="1"/>
  <c r="C67" i="177" s="1"/>
  <c r="C79" i="177" s="1"/>
  <c r="C91" i="177" s="1"/>
  <c r="C103" i="177" s="1"/>
  <c r="C115" i="177" s="1"/>
  <c r="D18" i="177"/>
  <c r="D30" i="177" s="1"/>
  <c r="D42" i="177" s="1"/>
  <c r="D54" i="177" s="1"/>
  <c r="D66" i="177" s="1"/>
  <c r="D78" i="177" s="1"/>
  <c r="D90" i="177" s="1"/>
  <c r="D102" i="177" s="1"/>
  <c r="D114" i="177" s="1"/>
  <c r="C18" i="177"/>
  <c r="C30" i="177" s="1"/>
  <c r="C42" i="177" s="1"/>
  <c r="C54" i="177" s="1"/>
  <c r="C66" i="177" s="1"/>
  <c r="C78" i="177" s="1"/>
  <c r="C90" i="177" s="1"/>
  <c r="C102" i="177" s="1"/>
  <c r="C114" i="177" s="1"/>
  <c r="D17" i="177"/>
  <c r="D29" i="177" s="1"/>
  <c r="D41" i="177" s="1"/>
  <c r="D53" i="177" s="1"/>
  <c r="D65" i="177" s="1"/>
  <c r="D77" i="177" s="1"/>
  <c r="D89" i="177" s="1"/>
  <c r="D101" i="177" s="1"/>
  <c r="D113" i="177" s="1"/>
  <c r="C17" i="177"/>
  <c r="D16" i="177"/>
  <c r="D28" i="177" s="1"/>
  <c r="D40" i="177" s="1"/>
  <c r="D52" i="177" s="1"/>
  <c r="D64" i="177" s="1"/>
  <c r="D76" i="177" s="1"/>
  <c r="D88" i="177" s="1"/>
  <c r="D100" i="177" s="1"/>
  <c r="D112" i="177" s="1"/>
  <c r="C16" i="177"/>
  <c r="C28" i="177" s="1"/>
  <c r="C40" i="177" s="1"/>
  <c r="C52" i="177" s="1"/>
  <c r="C64" i="177" s="1"/>
  <c r="C76" i="177" s="1"/>
  <c r="C88" i="177" s="1"/>
  <c r="C100" i="177" s="1"/>
  <c r="C112" i="177" s="1"/>
  <c r="D15" i="177"/>
  <c r="D27" i="177" s="1"/>
  <c r="D39" i="177" s="1"/>
  <c r="D51" i="177" s="1"/>
  <c r="D63" i="177" s="1"/>
  <c r="D75" i="177" s="1"/>
  <c r="D87" i="177" s="1"/>
  <c r="D99" i="177" s="1"/>
  <c r="D111" i="177" s="1"/>
  <c r="C15" i="177"/>
  <c r="C27" i="177" s="1"/>
  <c r="C39" i="177" s="1"/>
  <c r="C51" i="177" s="1"/>
  <c r="C63" i="177" s="1"/>
  <c r="C75" i="177" s="1"/>
  <c r="C87" i="177" s="1"/>
  <c r="C99" i="177" s="1"/>
  <c r="C111" i="177" s="1"/>
  <c r="D14" i="177"/>
  <c r="C14" i="177"/>
  <c r="C22" i="184" l="1"/>
  <c r="D20" i="184" s="1"/>
  <c r="G19" i="184"/>
  <c r="D19" i="184"/>
  <c r="G18" i="184"/>
  <c r="B2" i="184"/>
  <c r="D21" i="184" l="1"/>
  <c r="D22" i="184"/>
  <c r="D18" i="184"/>
  <c r="C39" i="183" l="1"/>
  <c r="C38" i="183"/>
  <c r="C37" i="183"/>
  <c r="C36" i="183"/>
  <c r="C35" i="183"/>
  <c r="C34" i="183"/>
  <c r="C33" i="183"/>
  <c r="C32" i="183"/>
  <c r="C40" i="183"/>
  <c r="C41" i="183" s="1"/>
  <c r="C25" i="183"/>
  <c r="C24" i="183"/>
  <c r="C23" i="183"/>
  <c r="C22" i="183"/>
  <c r="C21" i="183"/>
  <c r="C20" i="183"/>
  <c r="C19" i="183"/>
  <c r="C18" i="183"/>
  <c r="C11" i="183"/>
  <c r="C12" i="183" s="1"/>
  <c r="C13" i="183" s="1"/>
  <c r="C10" i="183"/>
  <c r="C9" i="183"/>
  <c r="C8" i="183"/>
  <c r="C7" i="183"/>
  <c r="C6" i="183"/>
  <c r="C5" i="183"/>
  <c r="C4" i="183"/>
  <c r="E40" i="183"/>
  <c r="E41" i="183" s="1"/>
  <c r="C26" i="183" l="1"/>
  <c r="C97" i="178"/>
  <c r="C96" i="178"/>
  <c r="C95" i="178"/>
  <c r="C94" i="178"/>
  <c r="C93" i="178"/>
  <c r="C92" i="178"/>
  <c r="C91" i="178"/>
  <c r="C90" i="178"/>
  <c r="C89" i="178"/>
  <c r="C88" i="178"/>
  <c r="C87" i="178"/>
  <c r="C86" i="178"/>
  <c r="C85" i="178"/>
  <c r="C84" i="178"/>
  <c r="C83" i="178"/>
  <c r="C82" i="178"/>
  <c r="C81" i="178"/>
  <c r="C80" i="178"/>
  <c r="C79" i="178"/>
  <c r="C78" i="178"/>
  <c r="C77" i="178"/>
  <c r="C76" i="178"/>
  <c r="C75" i="178"/>
  <c r="C74" i="178"/>
  <c r="C73" i="178"/>
  <c r="C72" i="178"/>
  <c r="C71" i="178"/>
  <c r="C70" i="178"/>
  <c r="C69" i="178"/>
  <c r="C68" i="178"/>
  <c r="C67" i="178"/>
  <c r="C66" i="178"/>
  <c r="C65" i="178"/>
  <c r="C64" i="178"/>
  <c r="C63" i="178"/>
  <c r="C62" i="178"/>
  <c r="C61" i="178"/>
  <c r="C60" i="178"/>
  <c r="C59" i="178"/>
  <c r="C58" i="178"/>
  <c r="C57" i="178"/>
  <c r="C56" i="178"/>
  <c r="C55" i="178"/>
  <c r="C54" i="178"/>
  <c r="C53" i="178"/>
  <c r="C52" i="178"/>
  <c r="C51" i="178"/>
  <c r="C50" i="178"/>
  <c r="C49" i="178"/>
  <c r="C48" i="178"/>
  <c r="C47" i="178"/>
  <c r="C46" i="178"/>
  <c r="C45" i="178"/>
  <c r="C44" i="178"/>
  <c r="C43" i="178"/>
  <c r="C42" i="178"/>
  <c r="C41" i="178"/>
  <c r="C40" i="178"/>
  <c r="C39" i="178"/>
  <c r="C38" i="178"/>
  <c r="C37" i="178"/>
  <c r="C36" i="178"/>
  <c r="C35" i="178"/>
  <c r="C34" i="178"/>
  <c r="C33" i="178"/>
  <c r="C32" i="178"/>
  <c r="C31" i="178"/>
  <c r="C30" i="178"/>
  <c r="C29" i="178"/>
  <c r="C28" i="178"/>
  <c r="C27" i="178"/>
  <c r="C26" i="178"/>
  <c r="C25" i="178"/>
  <c r="C24" i="178"/>
  <c r="C23" i="178"/>
  <c r="C22" i="178"/>
  <c r="C21" i="178"/>
  <c r="C20" i="178"/>
  <c r="C19" i="178"/>
  <c r="C18" i="178"/>
  <c r="C17" i="178"/>
  <c r="C16" i="178"/>
  <c r="C15" i="178"/>
  <c r="C14" i="178"/>
  <c r="C13" i="178"/>
  <c r="C12" i="178"/>
  <c r="C11" i="178"/>
  <c r="C10" i="178"/>
  <c r="C9" i="178"/>
  <c r="C8" i="178"/>
  <c r="C7" i="178"/>
  <c r="C6" i="178"/>
  <c r="C5" i="178"/>
  <c r="C4" i="178"/>
  <c r="C3" i="178"/>
  <c r="C2" i="178"/>
  <c r="B97" i="177"/>
  <c r="B96" i="177"/>
  <c r="B95" i="177"/>
  <c r="B94" i="177"/>
  <c r="B93" i="177"/>
  <c r="B92" i="177"/>
  <c r="B91" i="177"/>
  <c r="B90" i="177"/>
  <c r="B89" i="177"/>
  <c r="B88" i="177"/>
  <c r="B87" i="177"/>
  <c r="B86" i="177"/>
  <c r="B85" i="177"/>
  <c r="B84" i="177"/>
  <c r="B83" i="177"/>
  <c r="B82" i="177"/>
  <c r="B81" i="177"/>
  <c r="B80" i="177"/>
  <c r="B79" i="177"/>
  <c r="B78" i="177"/>
  <c r="B77" i="177"/>
  <c r="B76" i="177"/>
  <c r="B75" i="177"/>
  <c r="B74" i="177"/>
  <c r="B73" i="177"/>
  <c r="B72" i="177"/>
  <c r="B71" i="177"/>
  <c r="B70" i="177"/>
  <c r="B69" i="177"/>
  <c r="B68" i="177"/>
  <c r="B67" i="177"/>
  <c r="B66" i="177"/>
  <c r="B65" i="177"/>
  <c r="B64" i="177"/>
  <c r="B63" i="177"/>
  <c r="B62" i="177"/>
  <c r="B61" i="177"/>
  <c r="B60" i="177"/>
  <c r="B59" i="177"/>
  <c r="B58" i="177"/>
  <c r="B57" i="177"/>
  <c r="B56" i="177"/>
  <c r="B55" i="177"/>
  <c r="B54" i="177"/>
  <c r="B53" i="177"/>
  <c r="B52" i="177"/>
  <c r="B51" i="177"/>
  <c r="B50" i="177"/>
  <c r="B49" i="177"/>
  <c r="B48" i="177"/>
  <c r="B47" i="177"/>
  <c r="B46" i="177"/>
  <c r="B45" i="177"/>
  <c r="B44" i="177"/>
  <c r="B43" i="177"/>
  <c r="B42" i="177"/>
  <c r="B41" i="177"/>
  <c r="B40" i="177"/>
  <c r="B39" i="177"/>
  <c r="B38" i="177"/>
  <c r="B37" i="177"/>
  <c r="B36" i="177"/>
  <c r="B35" i="177"/>
  <c r="B34" i="177"/>
  <c r="B33" i="177"/>
  <c r="B32" i="177"/>
  <c r="B31" i="177"/>
  <c r="B30" i="177"/>
  <c r="B29" i="177"/>
  <c r="B28" i="177"/>
  <c r="B27" i="177"/>
  <c r="B26" i="177"/>
  <c r="B25" i="177"/>
  <c r="B24" i="177"/>
  <c r="B23" i="177"/>
  <c r="B22" i="177"/>
  <c r="B21" i="177"/>
  <c r="B20" i="177"/>
  <c r="B19" i="177"/>
  <c r="B18" i="177"/>
  <c r="B17" i="177"/>
  <c r="B16" i="177"/>
  <c r="B15" i="177"/>
  <c r="B14" i="177"/>
  <c r="B13" i="177"/>
  <c r="B12" i="177"/>
  <c r="B11" i="177"/>
  <c r="B10" i="177"/>
  <c r="B9" i="177"/>
  <c r="B8" i="177"/>
  <c r="B7" i="177"/>
  <c r="B6" i="177"/>
  <c r="B5" i="177"/>
  <c r="B4" i="177"/>
  <c r="B3" i="177"/>
  <c r="B2" i="177"/>
  <c r="C97" i="176"/>
  <c r="C96" i="176"/>
  <c r="C95" i="176"/>
  <c r="C94" i="176"/>
  <c r="C93" i="176"/>
  <c r="C92" i="176"/>
  <c r="C91" i="176"/>
  <c r="C90" i="176"/>
  <c r="C89" i="176"/>
  <c r="C88" i="176"/>
  <c r="C87" i="176"/>
  <c r="C86" i="176"/>
  <c r="C85" i="176"/>
  <c r="C84" i="176"/>
  <c r="C83" i="176"/>
  <c r="C82" i="176"/>
  <c r="C81" i="176"/>
  <c r="C80" i="176"/>
  <c r="C79" i="176"/>
  <c r="C78" i="176"/>
  <c r="C77" i="176"/>
  <c r="C76" i="176"/>
  <c r="C75" i="176"/>
  <c r="C74" i="176"/>
  <c r="C73" i="176"/>
  <c r="C72" i="176"/>
  <c r="C71" i="176"/>
  <c r="C70" i="176"/>
  <c r="C69" i="176"/>
  <c r="C68" i="176"/>
  <c r="C67" i="176"/>
  <c r="C66" i="176"/>
  <c r="C65" i="176"/>
  <c r="C64" i="176"/>
  <c r="C63" i="176"/>
  <c r="C62" i="176"/>
  <c r="C61" i="176"/>
  <c r="C60" i="176"/>
  <c r="C59" i="176"/>
  <c r="C58" i="176"/>
  <c r="C57" i="176"/>
  <c r="C56" i="176"/>
  <c r="C55" i="176"/>
  <c r="C54" i="176"/>
  <c r="C53" i="176"/>
  <c r="C52" i="176"/>
  <c r="C51" i="176"/>
  <c r="C50" i="176"/>
  <c r="C49" i="176"/>
  <c r="C48" i="176"/>
  <c r="C47" i="176"/>
  <c r="C46" i="176"/>
  <c r="C45" i="176"/>
  <c r="C44" i="176"/>
  <c r="C43" i="176"/>
  <c r="C42" i="176"/>
  <c r="C41" i="176"/>
  <c r="C40" i="176"/>
  <c r="C39" i="176"/>
  <c r="C38" i="176"/>
  <c r="C37" i="176"/>
  <c r="C36" i="176"/>
  <c r="C35" i="176"/>
  <c r="C34" i="176"/>
  <c r="C33" i="176"/>
  <c r="C32" i="176"/>
  <c r="C31" i="176"/>
  <c r="C30" i="176"/>
  <c r="C29" i="176"/>
  <c r="C28" i="176"/>
  <c r="C27" i="176"/>
  <c r="C26" i="176"/>
  <c r="C25" i="176"/>
  <c r="C24" i="176"/>
  <c r="C23" i="176"/>
  <c r="C22" i="176"/>
  <c r="C21" i="176"/>
  <c r="C20" i="176"/>
  <c r="C19" i="176"/>
  <c r="C18" i="176"/>
  <c r="C17" i="176"/>
  <c r="C16" i="176"/>
  <c r="C15" i="176"/>
  <c r="C14" i="176"/>
  <c r="C13" i="176"/>
  <c r="C12" i="176"/>
  <c r="C11" i="176"/>
  <c r="C10" i="176"/>
  <c r="C9" i="176"/>
  <c r="C8" i="176"/>
  <c r="C7" i="176"/>
  <c r="C6" i="176"/>
  <c r="C5" i="176"/>
  <c r="C4" i="176"/>
  <c r="C3" i="176"/>
  <c r="C2" i="176"/>
  <c r="C27" i="183" l="1"/>
  <c r="C6" i="182"/>
  <c r="C7" i="182"/>
  <c r="C8" i="182"/>
  <c r="C9" i="182"/>
  <c r="C10" i="182"/>
  <c r="C11" i="182"/>
  <c r="C5" i="182"/>
  <c r="B2" i="178"/>
  <c r="B3" i="178"/>
  <c r="B4" i="178"/>
  <c r="B5" i="178"/>
  <c r="B6" i="178"/>
  <c r="B7" i="178"/>
  <c r="B8" i="178"/>
  <c r="B9" i="178"/>
  <c r="B10" i="178"/>
  <c r="B11" i="178"/>
  <c r="B12" i="178"/>
  <c r="B13" i="178"/>
  <c r="B14" i="178"/>
  <c r="B15" i="178"/>
  <c r="B16" i="178"/>
  <c r="B17" i="178"/>
  <c r="B18" i="178"/>
  <c r="B19" i="178"/>
  <c r="B20" i="178"/>
  <c r="B21" i="178"/>
  <c r="B22" i="178"/>
  <c r="B23" i="178"/>
  <c r="B24" i="178"/>
  <c r="B25" i="178"/>
  <c r="B26" i="178"/>
  <c r="B27" i="178"/>
  <c r="B28" i="178"/>
  <c r="B29" i="178"/>
  <c r="B30" i="178"/>
  <c r="B31" i="178"/>
  <c r="B32" i="178"/>
  <c r="B33" i="178"/>
  <c r="B34" i="178"/>
  <c r="B35" i="178"/>
  <c r="B36" i="178"/>
  <c r="B37" i="178"/>
  <c r="B38" i="178"/>
  <c r="B39" i="178"/>
  <c r="B40" i="178"/>
  <c r="B41" i="178"/>
  <c r="B42" i="178"/>
  <c r="B43" i="178"/>
  <c r="B44" i="178"/>
  <c r="B45" i="178"/>
  <c r="B46" i="178"/>
  <c r="B47" i="178"/>
  <c r="B48" i="178"/>
  <c r="B49" i="178"/>
  <c r="B50" i="178"/>
  <c r="B51" i="178"/>
  <c r="B52" i="178"/>
  <c r="B53" i="178"/>
  <c r="B54" i="178"/>
  <c r="B55" i="178"/>
  <c r="B56" i="178"/>
  <c r="B57" i="178"/>
  <c r="B58" i="178"/>
  <c r="B59" i="178"/>
  <c r="B60" i="178"/>
  <c r="B61" i="178"/>
  <c r="B62" i="178"/>
  <c r="B63" i="178"/>
  <c r="B64" i="178"/>
  <c r="B65" i="178"/>
  <c r="B66" i="178"/>
  <c r="B67" i="178"/>
  <c r="B68" i="178"/>
  <c r="B69" i="178"/>
  <c r="B70" i="178"/>
  <c r="B71" i="178"/>
  <c r="B72" i="178"/>
  <c r="B73" i="178"/>
  <c r="B74" i="178"/>
  <c r="B75" i="178"/>
  <c r="B76" i="178"/>
  <c r="B77" i="178"/>
  <c r="B78" i="178"/>
  <c r="B79" i="178"/>
  <c r="B80" i="178"/>
  <c r="B81" i="178"/>
  <c r="B82" i="178"/>
  <c r="B83" i="178"/>
  <c r="B84" i="178"/>
  <c r="B85" i="178"/>
  <c r="B86" i="178"/>
  <c r="B87" i="178"/>
  <c r="B88" i="178"/>
  <c r="B89" i="178"/>
  <c r="B90" i="178"/>
  <c r="B91" i="178"/>
  <c r="B92" i="178"/>
  <c r="B93" i="178"/>
  <c r="B94" i="178"/>
  <c r="B95" i="178"/>
  <c r="B96" i="178"/>
  <c r="B97" i="178"/>
  <c r="B98" i="178"/>
  <c r="B99" i="178"/>
  <c r="B100" i="178"/>
  <c r="B101" i="178"/>
  <c r="B102" i="178"/>
  <c r="B103" i="178"/>
  <c r="B104" i="178"/>
  <c r="B105" i="178"/>
  <c r="B106" i="178"/>
  <c r="B107" i="178"/>
  <c r="B108" i="178"/>
  <c r="B109" i="178"/>
  <c r="B110" i="178"/>
  <c r="B111" i="178"/>
  <c r="B112" i="178"/>
  <c r="B113" i="178"/>
  <c r="B114" i="178"/>
  <c r="B115" i="178"/>
  <c r="B116" i="178"/>
  <c r="B117" i="178"/>
  <c r="B118" i="178"/>
  <c r="B119" i="178"/>
  <c r="B120" i="178"/>
  <c r="B121" i="178"/>
  <c r="J2" i="177"/>
  <c r="J3" i="177"/>
  <c r="J4" i="177"/>
  <c r="J5" i="177"/>
  <c r="J6" i="177"/>
  <c r="J7" i="177"/>
  <c r="J8" i="177"/>
  <c r="J9" i="177"/>
  <c r="J10" i="177"/>
  <c r="J11" i="177"/>
  <c r="J12" i="177"/>
  <c r="J13" i="177"/>
  <c r="J14" i="177"/>
  <c r="J15" i="177"/>
  <c r="J16" i="177"/>
  <c r="J17" i="177"/>
  <c r="J18" i="177"/>
  <c r="J19" i="177"/>
  <c r="J20" i="177"/>
  <c r="J21" i="177"/>
  <c r="J22" i="177"/>
  <c r="J23" i="177"/>
  <c r="J24" i="177"/>
  <c r="J25" i="177"/>
  <c r="J26" i="177"/>
  <c r="J27" i="177"/>
  <c r="J28" i="177"/>
  <c r="J29" i="177"/>
  <c r="J30" i="177"/>
  <c r="J31" i="177"/>
  <c r="J32" i="177"/>
  <c r="J33" i="177"/>
  <c r="J34" i="177"/>
  <c r="J35" i="177"/>
  <c r="J36" i="177"/>
  <c r="J37" i="177"/>
  <c r="J38" i="177"/>
  <c r="J39" i="177"/>
  <c r="J40" i="177"/>
  <c r="J41" i="177"/>
  <c r="J42" i="177"/>
  <c r="J43" i="177"/>
  <c r="J44" i="177"/>
  <c r="J45" i="177"/>
  <c r="J46" i="177"/>
  <c r="J47" i="177"/>
  <c r="J48" i="177"/>
  <c r="J49" i="177"/>
  <c r="J50" i="177"/>
  <c r="J51" i="177"/>
  <c r="J52" i="177"/>
  <c r="J53" i="177"/>
  <c r="J54" i="177"/>
  <c r="J55" i="177"/>
  <c r="J56" i="177"/>
  <c r="J57" i="177"/>
  <c r="J58" i="177"/>
  <c r="J59" i="177"/>
  <c r="J60" i="177"/>
  <c r="J61" i="177"/>
  <c r="J62" i="177"/>
  <c r="J63" i="177"/>
  <c r="J64" i="177"/>
  <c r="J65" i="177"/>
  <c r="J66" i="177"/>
  <c r="J67" i="177"/>
  <c r="J68" i="177"/>
  <c r="J69" i="177"/>
  <c r="J70" i="177"/>
  <c r="J71" i="177"/>
  <c r="J72" i="177"/>
  <c r="J73" i="177"/>
  <c r="J74" i="177"/>
  <c r="J75" i="177"/>
  <c r="J76" i="177"/>
  <c r="J77" i="177"/>
  <c r="J78" i="177"/>
  <c r="J79" i="177"/>
  <c r="J80" i="177"/>
  <c r="J81" i="177"/>
  <c r="J82" i="177"/>
  <c r="J83" i="177"/>
  <c r="J84" i="177"/>
  <c r="J85" i="177"/>
  <c r="J86" i="177"/>
  <c r="J87" i="177"/>
  <c r="J88" i="177"/>
  <c r="J89" i="177"/>
  <c r="J90" i="177"/>
  <c r="J91" i="177"/>
  <c r="J92" i="177"/>
  <c r="J93" i="177"/>
  <c r="J94" i="177"/>
  <c r="J95" i="177"/>
  <c r="J96" i="177"/>
  <c r="J97" i="177"/>
  <c r="J98" i="177"/>
  <c r="J99" i="177"/>
  <c r="J100" i="177"/>
  <c r="J101" i="177"/>
  <c r="J102" i="177"/>
  <c r="J103" i="177"/>
  <c r="J104" i="177"/>
  <c r="J105" i="177"/>
  <c r="J106" i="177"/>
  <c r="J107" i="177"/>
  <c r="J108" i="177"/>
  <c r="J109" i="177"/>
  <c r="J110" i="177"/>
  <c r="J111" i="177"/>
  <c r="J112" i="177"/>
  <c r="J113" i="177"/>
  <c r="J114" i="177"/>
  <c r="J115" i="177"/>
  <c r="J116" i="177"/>
  <c r="J117" i="177"/>
  <c r="J118" i="177"/>
  <c r="J119" i="177"/>
  <c r="J120" i="177"/>
  <c r="J121" i="177"/>
  <c r="I2" i="177"/>
  <c r="I3" i="177"/>
  <c r="I4" i="177"/>
  <c r="I5" i="177"/>
  <c r="I6" i="177"/>
  <c r="I7" i="177"/>
  <c r="I8" i="177"/>
  <c r="I9" i="177"/>
  <c r="I10" i="177"/>
  <c r="I11" i="177"/>
  <c r="I12" i="177"/>
  <c r="I13" i="177"/>
  <c r="I14" i="177"/>
  <c r="I15" i="177"/>
  <c r="I16" i="177"/>
  <c r="I17" i="177"/>
  <c r="I18" i="177"/>
  <c r="I19" i="177"/>
  <c r="I20" i="177"/>
  <c r="I21" i="177"/>
  <c r="I22" i="177"/>
  <c r="I23" i="177"/>
  <c r="I24" i="177"/>
  <c r="I25" i="177"/>
  <c r="I26" i="177"/>
  <c r="I27" i="177"/>
  <c r="I28" i="177"/>
  <c r="I29" i="177"/>
  <c r="I30" i="177"/>
  <c r="I31" i="177"/>
  <c r="I32" i="177"/>
  <c r="I33" i="177"/>
  <c r="I34" i="177"/>
  <c r="I35" i="177"/>
  <c r="I36" i="177"/>
  <c r="I37" i="177"/>
  <c r="I38" i="177"/>
  <c r="I39" i="177"/>
  <c r="I40" i="177"/>
  <c r="I41" i="177"/>
  <c r="I42" i="177"/>
  <c r="I43" i="177"/>
  <c r="I44" i="177"/>
  <c r="I45" i="177"/>
  <c r="I46" i="177"/>
  <c r="I47" i="177"/>
  <c r="I48" i="177"/>
  <c r="I49" i="177"/>
  <c r="I50" i="177"/>
  <c r="I51" i="177"/>
  <c r="I52" i="177"/>
  <c r="I53" i="177"/>
  <c r="I54" i="177"/>
  <c r="I55" i="177"/>
  <c r="I56" i="177"/>
  <c r="I57" i="177"/>
  <c r="I58" i="177"/>
  <c r="I59" i="177"/>
  <c r="I60" i="177"/>
  <c r="I61" i="177"/>
  <c r="I62" i="177"/>
  <c r="I63" i="177"/>
  <c r="I64" i="177"/>
  <c r="I65" i="177"/>
  <c r="I66" i="177"/>
  <c r="I67" i="177"/>
  <c r="I68" i="177"/>
  <c r="I69" i="177"/>
  <c r="I70" i="177"/>
  <c r="I71" i="177"/>
  <c r="I72" i="177"/>
  <c r="I73" i="177"/>
  <c r="I74" i="177"/>
  <c r="I75" i="177"/>
  <c r="I76" i="177"/>
  <c r="I77" i="177"/>
  <c r="I78" i="177"/>
  <c r="I79" i="177"/>
  <c r="I80" i="177"/>
  <c r="I81" i="177"/>
  <c r="I82" i="177"/>
  <c r="I83" i="177"/>
  <c r="I84" i="177"/>
  <c r="I85" i="177"/>
  <c r="I86" i="177"/>
  <c r="I87" i="177"/>
  <c r="I88" i="177"/>
  <c r="I89" i="177"/>
  <c r="I90" i="177"/>
  <c r="I91" i="177"/>
  <c r="I92" i="177"/>
  <c r="I93" i="177"/>
  <c r="I94" i="177"/>
  <c r="I95" i="177"/>
  <c r="I96" i="177"/>
  <c r="I97" i="177"/>
  <c r="I98" i="177"/>
  <c r="I99" i="177"/>
  <c r="I100" i="177"/>
  <c r="I101" i="177"/>
  <c r="I102" i="177"/>
  <c r="I103" i="177"/>
  <c r="I104" i="177"/>
  <c r="I105" i="177"/>
  <c r="I106" i="177"/>
  <c r="I107" i="177"/>
  <c r="I108" i="177"/>
  <c r="I109" i="177"/>
  <c r="I110" i="177"/>
  <c r="I111" i="177"/>
  <c r="I112" i="177"/>
  <c r="I113" i="177"/>
  <c r="I114" i="177"/>
  <c r="I115" i="177"/>
  <c r="I116" i="177"/>
  <c r="I117" i="177"/>
  <c r="I118" i="177"/>
  <c r="I119" i="177"/>
  <c r="I120" i="177"/>
  <c r="I121" i="177"/>
  <c r="H2" i="177"/>
  <c r="H3" i="177"/>
  <c r="H4" i="177"/>
  <c r="H5" i="177"/>
  <c r="H6" i="177"/>
  <c r="H7" i="177"/>
  <c r="H8" i="177"/>
  <c r="H9" i="177"/>
  <c r="H10" i="177"/>
  <c r="H11" i="177"/>
  <c r="H12" i="177"/>
  <c r="H13" i="177"/>
  <c r="H14" i="177"/>
  <c r="H15" i="177"/>
  <c r="H16" i="177"/>
  <c r="H17" i="177"/>
  <c r="H18" i="177"/>
  <c r="H19" i="177"/>
  <c r="H20" i="177"/>
  <c r="H21" i="177"/>
  <c r="H22" i="177"/>
  <c r="H23" i="177"/>
  <c r="H24" i="177"/>
  <c r="H25" i="177"/>
  <c r="H26" i="177"/>
  <c r="H27" i="177"/>
  <c r="H28" i="177"/>
  <c r="H29" i="177"/>
  <c r="H30" i="177"/>
  <c r="H31" i="177"/>
  <c r="H32" i="177"/>
  <c r="H33" i="177"/>
  <c r="H34" i="177"/>
  <c r="H35" i="177"/>
  <c r="H36" i="177"/>
  <c r="H37" i="177"/>
  <c r="H38" i="177"/>
  <c r="H39" i="177"/>
  <c r="H40" i="177"/>
  <c r="H41" i="177"/>
  <c r="H42" i="177"/>
  <c r="H43" i="177"/>
  <c r="H44" i="177"/>
  <c r="H45" i="177"/>
  <c r="H46" i="177"/>
  <c r="H47" i="177"/>
  <c r="H48" i="177"/>
  <c r="H49" i="177"/>
  <c r="H50" i="177"/>
  <c r="H51" i="177"/>
  <c r="H52" i="177"/>
  <c r="H53" i="177"/>
  <c r="H54" i="177"/>
  <c r="H55" i="177"/>
  <c r="H56" i="177"/>
  <c r="H57" i="177"/>
  <c r="H58" i="177"/>
  <c r="H59" i="177"/>
  <c r="H60" i="177"/>
  <c r="H61" i="177"/>
  <c r="H62" i="177"/>
  <c r="H63" i="177"/>
  <c r="H64" i="177"/>
  <c r="H65" i="177"/>
  <c r="H66" i="177"/>
  <c r="H67" i="177"/>
  <c r="H68" i="177"/>
  <c r="H69" i="177"/>
  <c r="H70" i="177"/>
  <c r="H71" i="177"/>
  <c r="H72" i="177"/>
  <c r="H73" i="177"/>
  <c r="H74" i="177"/>
  <c r="H75" i="177"/>
  <c r="H76" i="177"/>
  <c r="H77" i="177"/>
  <c r="H78" i="177"/>
  <c r="H79" i="177"/>
  <c r="H80" i="177"/>
  <c r="H81" i="177"/>
  <c r="H82" i="177"/>
  <c r="H83" i="177"/>
  <c r="H84" i="177"/>
  <c r="H85" i="177"/>
  <c r="H86" i="177"/>
  <c r="H87" i="177"/>
  <c r="H88" i="177"/>
  <c r="H89" i="177"/>
  <c r="H90" i="177"/>
  <c r="H91" i="177"/>
  <c r="H92" i="177"/>
  <c r="H93" i="177"/>
  <c r="H94" i="177"/>
  <c r="H95" i="177"/>
  <c r="H96" i="177"/>
  <c r="H97" i="177"/>
  <c r="H98" i="177"/>
  <c r="H99" i="177"/>
  <c r="H100" i="177"/>
  <c r="H101" i="177"/>
  <c r="H102" i="177"/>
  <c r="H103" i="177"/>
  <c r="H104" i="177"/>
  <c r="H105" i="177"/>
  <c r="H106" i="177"/>
  <c r="H107" i="177"/>
  <c r="H108" i="177"/>
  <c r="H109" i="177"/>
  <c r="H110" i="177"/>
  <c r="H111" i="177"/>
  <c r="H112" i="177"/>
  <c r="H113" i="177"/>
  <c r="H114" i="177"/>
  <c r="H115" i="177"/>
  <c r="H116" i="177"/>
  <c r="H117" i="177"/>
  <c r="H118" i="177"/>
  <c r="H119" i="177"/>
  <c r="H120" i="177"/>
  <c r="H121" i="177"/>
  <c r="G2" i="177"/>
  <c r="K2" i="177" s="1"/>
  <c r="D2" i="178" s="1"/>
  <c r="G3" i="177"/>
  <c r="K3" i="177" s="1"/>
  <c r="D3" i="178" s="1"/>
  <c r="G4" i="177"/>
  <c r="K4" i="177" s="1"/>
  <c r="D4" i="178" s="1"/>
  <c r="G5" i="177"/>
  <c r="G6" i="177"/>
  <c r="G7" i="177"/>
  <c r="K7" i="177" s="1"/>
  <c r="D7" i="178" s="1"/>
  <c r="G8" i="177"/>
  <c r="K8" i="177" s="1"/>
  <c r="D8" i="178" s="1"/>
  <c r="G9" i="177"/>
  <c r="K9" i="177" s="1"/>
  <c r="D9" i="178" s="1"/>
  <c r="G10" i="177"/>
  <c r="G11" i="177"/>
  <c r="G12" i="177"/>
  <c r="K12" i="177" s="1"/>
  <c r="D12" i="178" s="1"/>
  <c r="G13" i="177"/>
  <c r="K13" i="177" s="1"/>
  <c r="D13" i="178" s="1"/>
  <c r="G14" i="177"/>
  <c r="K14" i="177" s="1"/>
  <c r="D14" i="178" s="1"/>
  <c r="G15" i="177"/>
  <c r="K15" i="177" s="1"/>
  <c r="D15" i="178" s="1"/>
  <c r="G16" i="177"/>
  <c r="K16" i="177" s="1"/>
  <c r="D16" i="178" s="1"/>
  <c r="G17" i="177"/>
  <c r="K17" i="177" s="1"/>
  <c r="D17" i="178" s="1"/>
  <c r="G18" i="177"/>
  <c r="K18" i="177" s="1"/>
  <c r="D18" i="178" s="1"/>
  <c r="G19" i="177"/>
  <c r="K19" i="177" s="1"/>
  <c r="D19" i="178" s="1"/>
  <c r="G20" i="177"/>
  <c r="K20" i="177" s="1"/>
  <c r="D20" i="178" s="1"/>
  <c r="G21" i="177"/>
  <c r="K21" i="177" s="1"/>
  <c r="D21" i="178" s="1"/>
  <c r="G22" i="177"/>
  <c r="K22" i="177" s="1"/>
  <c r="D22" i="178" s="1"/>
  <c r="G23" i="177"/>
  <c r="K23" i="177" s="1"/>
  <c r="D23" i="178" s="1"/>
  <c r="G24" i="177"/>
  <c r="K24" i="177" s="1"/>
  <c r="D24" i="178" s="1"/>
  <c r="G25" i="177"/>
  <c r="K25" i="177" s="1"/>
  <c r="D25" i="178" s="1"/>
  <c r="G26" i="177"/>
  <c r="K26" i="177" s="1"/>
  <c r="D26" i="178" s="1"/>
  <c r="G27" i="177"/>
  <c r="K27" i="177" s="1"/>
  <c r="D27" i="178" s="1"/>
  <c r="G28" i="177"/>
  <c r="K28" i="177" s="1"/>
  <c r="D28" i="178" s="1"/>
  <c r="G29" i="177"/>
  <c r="K29" i="177" s="1"/>
  <c r="D29" i="178" s="1"/>
  <c r="G30" i="177"/>
  <c r="K30" i="177" s="1"/>
  <c r="D30" i="178" s="1"/>
  <c r="G31" i="177"/>
  <c r="K31" i="177" s="1"/>
  <c r="D31" i="178" s="1"/>
  <c r="G32" i="177"/>
  <c r="K32" i="177" s="1"/>
  <c r="D32" i="178" s="1"/>
  <c r="G33" i="177"/>
  <c r="K33" i="177" s="1"/>
  <c r="D33" i="178" s="1"/>
  <c r="G34" i="177"/>
  <c r="K34" i="177" s="1"/>
  <c r="D34" i="178" s="1"/>
  <c r="G35" i="177"/>
  <c r="K35" i="177" s="1"/>
  <c r="D35" i="178" s="1"/>
  <c r="G36" i="177"/>
  <c r="K36" i="177" s="1"/>
  <c r="D36" i="178" s="1"/>
  <c r="G37" i="177"/>
  <c r="K37" i="177" s="1"/>
  <c r="D37" i="178" s="1"/>
  <c r="G38" i="177"/>
  <c r="K38" i="177" s="1"/>
  <c r="D38" i="178" s="1"/>
  <c r="G39" i="177"/>
  <c r="K39" i="177" s="1"/>
  <c r="D39" i="178" s="1"/>
  <c r="G40" i="177"/>
  <c r="K40" i="177" s="1"/>
  <c r="D40" i="178" s="1"/>
  <c r="G41" i="177"/>
  <c r="K41" i="177" s="1"/>
  <c r="D41" i="178" s="1"/>
  <c r="G42" i="177"/>
  <c r="K42" i="177" s="1"/>
  <c r="D42" i="178" s="1"/>
  <c r="G43" i="177"/>
  <c r="K43" i="177" s="1"/>
  <c r="D43" i="178" s="1"/>
  <c r="G44" i="177"/>
  <c r="K44" i="177" s="1"/>
  <c r="D44" i="178" s="1"/>
  <c r="G45" i="177"/>
  <c r="K45" i="177" s="1"/>
  <c r="D45" i="178" s="1"/>
  <c r="G46" i="177"/>
  <c r="K46" i="177" s="1"/>
  <c r="D46" i="178" s="1"/>
  <c r="G47" i="177"/>
  <c r="K47" i="177" s="1"/>
  <c r="D47" i="178" s="1"/>
  <c r="G48" i="177"/>
  <c r="K48" i="177" s="1"/>
  <c r="D48" i="178" s="1"/>
  <c r="G49" i="177"/>
  <c r="K49" i="177" s="1"/>
  <c r="D49" i="178" s="1"/>
  <c r="G50" i="177"/>
  <c r="K50" i="177" s="1"/>
  <c r="D50" i="178" s="1"/>
  <c r="G51" i="177"/>
  <c r="K51" i="177" s="1"/>
  <c r="D51" i="178" s="1"/>
  <c r="G52" i="177"/>
  <c r="K52" i="177" s="1"/>
  <c r="D52" i="178" s="1"/>
  <c r="G53" i="177"/>
  <c r="K53" i="177" s="1"/>
  <c r="D53" i="178" s="1"/>
  <c r="G54" i="177"/>
  <c r="K54" i="177" s="1"/>
  <c r="D54" i="178" s="1"/>
  <c r="G55" i="177"/>
  <c r="K55" i="177" s="1"/>
  <c r="D55" i="178" s="1"/>
  <c r="G56" i="177"/>
  <c r="K56" i="177" s="1"/>
  <c r="D56" i="178" s="1"/>
  <c r="G57" i="177"/>
  <c r="K57" i="177" s="1"/>
  <c r="D57" i="178" s="1"/>
  <c r="G58" i="177"/>
  <c r="K58" i="177" s="1"/>
  <c r="D58" i="178" s="1"/>
  <c r="G59" i="177"/>
  <c r="K59" i="177" s="1"/>
  <c r="D59" i="178" s="1"/>
  <c r="G60" i="177"/>
  <c r="K60" i="177" s="1"/>
  <c r="D60" i="178" s="1"/>
  <c r="G61" i="177"/>
  <c r="K61" i="177" s="1"/>
  <c r="D61" i="178" s="1"/>
  <c r="G62" i="177"/>
  <c r="K62" i="177" s="1"/>
  <c r="D62" i="178" s="1"/>
  <c r="G63" i="177"/>
  <c r="K63" i="177" s="1"/>
  <c r="D63" i="178" s="1"/>
  <c r="G64" i="177"/>
  <c r="K64" i="177" s="1"/>
  <c r="D64" i="178" s="1"/>
  <c r="G65" i="177"/>
  <c r="K65" i="177" s="1"/>
  <c r="D65" i="178" s="1"/>
  <c r="G66" i="177"/>
  <c r="K66" i="177" s="1"/>
  <c r="D66" i="178" s="1"/>
  <c r="G67" i="177"/>
  <c r="K67" i="177" s="1"/>
  <c r="D67" i="178" s="1"/>
  <c r="G68" i="177"/>
  <c r="K68" i="177" s="1"/>
  <c r="D68" i="178" s="1"/>
  <c r="G69" i="177"/>
  <c r="K69" i="177" s="1"/>
  <c r="D69" i="178" s="1"/>
  <c r="G70" i="177"/>
  <c r="K70" i="177" s="1"/>
  <c r="D70" i="178" s="1"/>
  <c r="G71" i="177"/>
  <c r="K71" i="177" s="1"/>
  <c r="D71" i="178" s="1"/>
  <c r="G72" i="177"/>
  <c r="K72" i="177" s="1"/>
  <c r="D72" i="178" s="1"/>
  <c r="G73" i="177"/>
  <c r="K73" i="177" s="1"/>
  <c r="D73" i="178" s="1"/>
  <c r="G74" i="177"/>
  <c r="K74" i="177" s="1"/>
  <c r="D74" i="178" s="1"/>
  <c r="G75" i="177"/>
  <c r="K75" i="177" s="1"/>
  <c r="D75" i="178" s="1"/>
  <c r="G76" i="177"/>
  <c r="K76" i="177" s="1"/>
  <c r="D76" i="178" s="1"/>
  <c r="G77" i="177"/>
  <c r="K77" i="177" s="1"/>
  <c r="D77" i="178" s="1"/>
  <c r="G78" i="177"/>
  <c r="K78" i="177" s="1"/>
  <c r="D78" i="178" s="1"/>
  <c r="G79" i="177"/>
  <c r="K79" i="177" s="1"/>
  <c r="D79" i="178" s="1"/>
  <c r="G80" i="177"/>
  <c r="K80" i="177" s="1"/>
  <c r="D80" i="178" s="1"/>
  <c r="G81" i="177"/>
  <c r="K81" i="177" s="1"/>
  <c r="D81" i="178" s="1"/>
  <c r="G82" i="177"/>
  <c r="K82" i="177" s="1"/>
  <c r="D82" i="178" s="1"/>
  <c r="G83" i="177"/>
  <c r="K83" i="177" s="1"/>
  <c r="D83" i="178" s="1"/>
  <c r="G84" i="177"/>
  <c r="K84" i="177" s="1"/>
  <c r="D84" i="178" s="1"/>
  <c r="G85" i="177"/>
  <c r="K85" i="177" s="1"/>
  <c r="D85" i="178" s="1"/>
  <c r="G86" i="177"/>
  <c r="K86" i="177" s="1"/>
  <c r="D86" i="178" s="1"/>
  <c r="G87" i="177"/>
  <c r="K87" i="177" s="1"/>
  <c r="D87" i="178" s="1"/>
  <c r="G88" i="177"/>
  <c r="K88" i="177" s="1"/>
  <c r="D88" i="178" s="1"/>
  <c r="G89" i="177"/>
  <c r="K89" i="177" s="1"/>
  <c r="D89" i="178" s="1"/>
  <c r="G90" i="177"/>
  <c r="K90" i="177" s="1"/>
  <c r="D90" i="178" s="1"/>
  <c r="G91" i="177"/>
  <c r="K91" i="177" s="1"/>
  <c r="D91" i="178" s="1"/>
  <c r="G92" i="177"/>
  <c r="K92" i="177" s="1"/>
  <c r="D92" i="178" s="1"/>
  <c r="G93" i="177"/>
  <c r="K93" i="177" s="1"/>
  <c r="D93" i="178" s="1"/>
  <c r="G94" i="177"/>
  <c r="K94" i="177" s="1"/>
  <c r="D94" i="178" s="1"/>
  <c r="G95" i="177"/>
  <c r="K95" i="177" s="1"/>
  <c r="D95" i="178" s="1"/>
  <c r="G96" i="177"/>
  <c r="K96" i="177" s="1"/>
  <c r="D96" i="178" s="1"/>
  <c r="G97" i="177"/>
  <c r="K97" i="177" s="1"/>
  <c r="D97" i="178" s="1"/>
  <c r="G98" i="177"/>
  <c r="K98" i="177" s="1"/>
  <c r="D98" i="178" s="1"/>
  <c r="G99" i="177"/>
  <c r="K99" i="177" s="1"/>
  <c r="D99" i="178" s="1"/>
  <c r="G100" i="177"/>
  <c r="K100" i="177" s="1"/>
  <c r="D100" i="178" s="1"/>
  <c r="G101" i="177"/>
  <c r="K101" i="177" s="1"/>
  <c r="D101" i="178" s="1"/>
  <c r="G102" i="177"/>
  <c r="K102" i="177" s="1"/>
  <c r="D102" i="178" s="1"/>
  <c r="G103" i="177"/>
  <c r="K103" i="177" s="1"/>
  <c r="D103" i="178" s="1"/>
  <c r="G104" i="177"/>
  <c r="K104" i="177" s="1"/>
  <c r="D104" i="178" s="1"/>
  <c r="G105" i="177"/>
  <c r="K105" i="177" s="1"/>
  <c r="D105" i="178" s="1"/>
  <c r="G106" i="177"/>
  <c r="K106" i="177" s="1"/>
  <c r="D106" i="178" s="1"/>
  <c r="G107" i="177"/>
  <c r="K107" i="177" s="1"/>
  <c r="D107" i="178" s="1"/>
  <c r="G108" i="177"/>
  <c r="K108" i="177" s="1"/>
  <c r="D108" i="178" s="1"/>
  <c r="G109" i="177"/>
  <c r="K109" i="177" s="1"/>
  <c r="D109" i="178" s="1"/>
  <c r="G110" i="177"/>
  <c r="K110" i="177" s="1"/>
  <c r="D110" i="178" s="1"/>
  <c r="G111" i="177"/>
  <c r="K111" i="177" s="1"/>
  <c r="D111" i="178" s="1"/>
  <c r="G112" i="177"/>
  <c r="K112" i="177" s="1"/>
  <c r="D112" i="178" s="1"/>
  <c r="G113" i="177"/>
  <c r="K113" i="177" s="1"/>
  <c r="D113" i="178" s="1"/>
  <c r="G114" i="177"/>
  <c r="K114" i="177" s="1"/>
  <c r="D114" i="178" s="1"/>
  <c r="G115" i="177"/>
  <c r="K115" i="177" s="1"/>
  <c r="D115" i="178" s="1"/>
  <c r="G116" i="177"/>
  <c r="K116" i="177" s="1"/>
  <c r="D116" i="178" s="1"/>
  <c r="G117" i="177"/>
  <c r="K117" i="177" s="1"/>
  <c r="D117" i="178" s="1"/>
  <c r="G118" i="177"/>
  <c r="K118" i="177" s="1"/>
  <c r="D118" i="178" s="1"/>
  <c r="G119" i="177"/>
  <c r="K119" i="177" s="1"/>
  <c r="D119" i="178" s="1"/>
  <c r="G120" i="177"/>
  <c r="K120" i="177" s="1"/>
  <c r="D120" i="178" s="1"/>
  <c r="G121" i="177"/>
  <c r="K121" i="177" s="1"/>
  <c r="D121" i="178" s="1"/>
  <c r="D12" i="182"/>
  <c r="D7" i="182"/>
  <c r="D13" i="182"/>
  <c r="D8" i="182"/>
  <c r="D10" i="182"/>
  <c r="D9" i="182"/>
  <c r="D4" i="182"/>
  <c r="D6" i="182"/>
  <c r="D5" i="182"/>
  <c r="D11" i="182"/>
  <c r="B11" i="183" l="1"/>
  <c r="B5" i="183"/>
  <c r="B6" i="183"/>
  <c r="B4" i="183"/>
  <c r="B9" i="183"/>
  <c r="B10" i="183"/>
  <c r="B8" i="183"/>
  <c r="B13" i="183"/>
  <c r="B7" i="183"/>
  <c r="B12" i="183"/>
  <c r="K10" i="177"/>
  <c r="D10" i="178" s="1"/>
  <c r="K11" i="177"/>
  <c r="D11" i="178" s="1"/>
  <c r="K6" i="177"/>
  <c r="D6" i="178" s="1"/>
  <c r="K5" i="177"/>
  <c r="D5" i="178" s="1"/>
  <c r="E6" i="182"/>
  <c r="E10" i="182"/>
  <c r="E7" i="182"/>
  <c r="E11" i="182"/>
  <c r="E8" i="182"/>
  <c r="E12" i="182"/>
  <c r="E5" i="182"/>
  <c r="E9" i="182"/>
  <c r="E13" i="182"/>
  <c r="D12" i="179"/>
  <c r="B2" i="176"/>
  <c r="B3" i="176"/>
  <c r="B4" i="176"/>
  <c r="B5" i="176"/>
  <c r="B6" i="176"/>
  <c r="B7" i="176"/>
  <c r="B8" i="176"/>
  <c r="B9" i="176"/>
  <c r="B10" i="176"/>
  <c r="B11" i="176"/>
  <c r="B12" i="176"/>
  <c r="B13" i="176"/>
  <c r="B14" i="176"/>
  <c r="B15" i="176"/>
  <c r="B16" i="176"/>
  <c r="B17" i="176"/>
  <c r="B18" i="176"/>
  <c r="B19" i="176"/>
  <c r="B20" i="176"/>
  <c r="B21" i="176"/>
  <c r="B22" i="176"/>
  <c r="B23" i="176"/>
  <c r="B24" i="176"/>
  <c r="B25" i="176"/>
  <c r="B26" i="176"/>
  <c r="B27" i="176"/>
  <c r="B28" i="176"/>
  <c r="B29" i="176"/>
  <c r="B30" i="176"/>
  <c r="B31" i="176"/>
  <c r="B32" i="176"/>
  <c r="B33" i="176"/>
  <c r="B34" i="176"/>
  <c r="B35" i="176"/>
  <c r="B36" i="176"/>
  <c r="B37" i="176"/>
  <c r="B38" i="176"/>
  <c r="B39" i="176"/>
  <c r="B40" i="176"/>
  <c r="B41" i="176"/>
  <c r="B42" i="176"/>
  <c r="B43" i="176"/>
  <c r="B44" i="176"/>
  <c r="B45" i="176"/>
  <c r="B46" i="176"/>
  <c r="B47" i="176"/>
  <c r="B48" i="176"/>
  <c r="B49" i="176"/>
  <c r="B50" i="176"/>
  <c r="B51" i="176"/>
  <c r="B52" i="176"/>
  <c r="B53" i="176"/>
  <c r="B54" i="176"/>
  <c r="B55" i="176"/>
  <c r="B56" i="176"/>
  <c r="B57" i="176"/>
  <c r="B58" i="176"/>
  <c r="B59" i="176"/>
  <c r="B60" i="176"/>
  <c r="B61" i="176"/>
  <c r="B62" i="176"/>
  <c r="B63" i="176"/>
  <c r="B64" i="176"/>
  <c r="B65" i="176"/>
  <c r="B66" i="176"/>
  <c r="B67" i="176"/>
  <c r="B68" i="176"/>
  <c r="B69" i="176"/>
  <c r="B70" i="176"/>
  <c r="B71" i="176"/>
  <c r="B72" i="176"/>
  <c r="B73" i="176"/>
  <c r="B74" i="176"/>
  <c r="B75" i="176"/>
  <c r="B76" i="176"/>
  <c r="B77" i="176"/>
  <c r="B78" i="176"/>
  <c r="B79" i="176"/>
  <c r="B80" i="176"/>
  <c r="B81" i="176"/>
  <c r="B82" i="176"/>
  <c r="B83" i="176"/>
  <c r="B84" i="176"/>
  <c r="B85" i="176"/>
  <c r="B86" i="176"/>
  <c r="B87" i="176"/>
  <c r="B88" i="176"/>
  <c r="B89" i="176"/>
  <c r="B90" i="176"/>
  <c r="B91" i="176"/>
  <c r="B92" i="176"/>
  <c r="B93" i="176"/>
  <c r="B94" i="176"/>
  <c r="B95" i="176"/>
  <c r="B96" i="176"/>
  <c r="B97" i="176"/>
  <c r="J2" i="175"/>
  <c r="J3" i="175"/>
  <c r="J4" i="175"/>
  <c r="J5" i="175"/>
  <c r="J6" i="175"/>
  <c r="J7" i="175"/>
  <c r="J8" i="175"/>
  <c r="J9" i="175"/>
  <c r="J10" i="175"/>
  <c r="J11" i="175"/>
  <c r="J12" i="175"/>
  <c r="J13" i="175"/>
  <c r="J14" i="175"/>
  <c r="J15" i="175"/>
  <c r="J16" i="175"/>
  <c r="J17" i="175"/>
  <c r="J18" i="175"/>
  <c r="J19" i="175"/>
  <c r="J20" i="175"/>
  <c r="J21" i="175"/>
  <c r="J22" i="175"/>
  <c r="J23" i="175"/>
  <c r="J24" i="175"/>
  <c r="J25" i="175"/>
  <c r="J26" i="175"/>
  <c r="J27" i="175"/>
  <c r="J28" i="175"/>
  <c r="J29" i="175"/>
  <c r="J30" i="175"/>
  <c r="J31" i="175"/>
  <c r="J32" i="175"/>
  <c r="J33" i="175"/>
  <c r="J34" i="175"/>
  <c r="J35" i="175"/>
  <c r="J36" i="175"/>
  <c r="J37" i="175"/>
  <c r="J38" i="175"/>
  <c r="J39" i="175"/>
  <c r="J40" i="175"/>
  <c r="J41" i="175"/>
  <c r="J42" i="175"/>
  <c r="J43" i="175"/>
  <c r="J44" i="175"/>
  <c r="J45" i="175"/>
  <c r="J46" i="175"/>
  <c r="J47" i="175"/>
  <c r="J48" i="175"/>
  <c r="J49" i="175"/>
  <c r="J50" i="175"/>
  <c r="J51" i="175"/>
  <c r="J52" i="175"/>
  <c r="J53" i="175"/>
  <c r="J54" i="175"/>
  <c r="J55" i="175"/>
  <c r="J56" i="175"/>
  <c r="J57" i="175"/>
  <c r="J58" i="175"/>
  <c r="J59" i="175"/>
  <c r="J60" i="175"/>
  <c r="J61" i="175"/>
  <c r="J62" i="175"/>
  <c r="J63" i="175"/>
  <c r="J64" i="175"/>
  <c r="J65" i="175"/>
  <c r="J66" i="175"/>
  <c r="J67" i="175"/>
  <c r="J68" i="175"/>
  <c r="J69" i="175"/>
  <c r="J70" i="175"/>
  <c r="J71" i="175"/>
  <c r="J72" i="175"/>
  <c r="J73" i="175"/>
  <c r="J74" i="175"/>
  <c r="J75" i="175"/>
  <c r="J76" i="175"/>
  <c r="J77" i="175"/>
  <c r="J78" i="175"/>
  <c r="J79" i="175"/>
  <c r="J80" i="175"/>
  <c r="J81" i="175"/>
  <c r="J82" i="175"/>
  <c r="J83" i="175"/>
  <c r="J84" i="175"/>
  <c r="J85" i="175"/>
  <c r="J86" i="175"/>
  <c r="J87" i="175"/>
  <c r="J88" i="175"/>
  <c r="J89" i="175"/>
  <c r="J90" i="175"/>
  <c r="J91" i="175"/>
  <c r="J92" i="175"/>
  <c r="J93" i="175"/>
  <c r="J94" i="175"/>
  <c r="J95" i="175"/>
  <c r="J96" i="175"/>
  <c r="J97" i="175"/>
  <c r="I2" i="175"/>
  <c r="I3" i="175"/>
  <c r="I4" i="175"/>
  <c r="I5" i="175"/>
  <c r="I6" i="175"/>
  <c r="I7" i="175"/>
  <c r="I8" i="175"/>
  <c r="I9" i="175"/>
  <c r="I10" i="175"/>
  <c r="I11" i="175"/>
  <c r="I12" i="175"/>
  <c r="I13" i="175"/>
  <c r="I14" i="175"/>
  <c r="I15" i="175"/>
  <c r="I16" i="175"/>
  <c r="I17" i="175"/>
  <c r="I18" i="175"/>
  <c r="I19" i="175"/>
  <c r="I20" i="175"/>
  <c r="I21" i="175"/>
  <c r="I22" i="175"/>
  <c r="I23" i="175"/>
  <c r="I24" i="175"/>
  <c r="I25" i="175"/>
  <c r="I26" i="175"/>
  <c r="I27" i="175"/>
  <c r="I28" i="175"/>
  <c r="I29" i="175"/>
  <c r="I30" i="175"/>
  <c r="I31" i="175"/>
  <c r="I32" i="175"/>
  <c r="I33" i="175"/>
  <c r="I34" i="175"/>
  <c r="I35" i="175"/>
  <c r="I36" i="175"/>
  <c r="I37" i="175"/>
  <c r="I38" i="175"/>
  <c r="I39" i="175"/>
  <c r="I40" i="175"/>
  <c r="I41" i="175"/>
  <c r="I42" i="175"/>
  <c r="I43" i="175"/>
  <c r="I44" i="175"/>
  <c r="I45" i="175"/>
  <c r="I46" i="175"/>
  <c r="I47" i="175"/>
  <c r="I48" i="175"/>
  <c r="I49" i="175"/>
  <c r="I50" i="175"/>
  <c r="I51" i="175"/>
  <c r="I52" i="175"/>
  <c r="I53" i="175"/>
  <c r="I54" i="175"/>
  <c r="I55" i="175"/>
  <c r="I56" i="175"/>
  <c r="I57" i="175"/>
  <c r="I58" i="175"/>
  <c r="I59" i="175"/>
  <c r="I60" i="175"/>
  <c r="I61" i="175"/>
  <c r="I62" i="175"/>
  <c r="I63" i="175"/>
  <c r="I64" i="175"/>
  <c r="I65" i="175"/>
  <c r="I66" i="175"/>
  <c r="I67" i="175"/>
  <c r="I68" i="175"/>
  <c r="I69" i="175"/>
  <c r="I70" i="175"/>
  <c r="I71" i="175"/>
  <c r="I72" i="175"/>
  <c r="I73" i="175"/>
  <c r="I74" i="175"/>
  <c r="I75" i="175"/>
  <c r="I76" i="175"/>
  <c r="I77" i="175"/>
  <c r="I78" i="175"/>
  <c r="I79" i="175"/>
  <c r="I80" i="175"/>
  <c r="I81" i="175"/>
  <c r="I82" i="175"/>
  <c r="I83" i="175"/>
  <c r="I84" i="175"/>
  <c r="I85" i="175"/>
  <c r="I86" i="175"/>
  <c r="I87" i="175"/>
  <c r="I88" i="175"/>
  <c r="I89" i="175"/>
  <c r="I90" i="175"/>
  <c r="I91" i="175"/>
  <c r="I92" i="175"/>
  <c r="I93" i="175"/>
  <c r="I94" i="175"/>
  <c r="I95" i="175"/>
  <c r="I96" i="175"/>
  <c r="I97" i="175"/>
  <c r="H2" i="175"/>
  <c r="H3" i="175"/>
  <c r="H4" i="175"/>
  <c r="H5" i="175"/>
  <c r="H6" i="175"/>
  <c r="H7" i="175"/>
  <c r="H8" i="175"/>
  <c r="H9" i="175"/>
  <c r="H10" i="175"/>
  <c r="H11" i="175"/>
  <c r="H12" i="175"/>
  <c r="H13" i="175"/>
  <c r="H14" i="175"/>
  <c r="H15" i="175"/>
  <c r="H16" i="175"/>
  <c r="H17" i="175"/>
  <c r="H18" i="175"/>
  <c r="H19" i="175"/>
  <c r="H20" i="175"/>
  <c r="H21" i="175"/>
  <c r="H22" i="175"/>
  <c r="H23" i="175"/>
  <c r="H24" i="175"/>
  <c r="H25" i="175"/>
  <c r="H26" i="175"/>
  <c r="H27" i="175"/>
  <c r="H28" i="175"/>
  <c r="H29" i="175"/>
  <c r="H30" i="175"/>
  <c r="H31" i="175"/>
  <c r="H32" i="175"/>
  <c r="H33" i="175"/>
  <c r="H34" i="175"/>
  <c r="H35" i="175"/>
  <c r="H36" i="175"/>
  <c r="H37" i="175"/>
  <c r="H38" i="175"/>
  <c r="H39" i="175"/>
  <c r="H40" i="175"/>
  <c r="H41" i="175"/>
  <c r="H42" i="175"/>
  <c r="H43" i="175"/>
  <c r="H44" i="175"/>
  <c r="H45" i="175"/>
  <c r="H46" i="175"/>
  <c r="H47" i="175"/>
  <c r="H48" i="175"/>
  <c r="H49" i="175"/>
  <c r="H50" i="175"/>
  <c r="H51" i="175"/>
  <c r="H52" i="175"/>
  <c r="H53" i="175"/>
  <c r="H54" i="175"/>
  <c r="H55" i="175"/>
  <c r="H56" i="175"/>
  <c r="H57" i="175"/>
  <c r="H58" i="175"/>
  <c r="H59" i="175"/>
  <c r="H60" i="175"/>
  <c r="H61" i="175"/>
  <c r="H62" i="175"/>
  <c r="H63" i="175"/>
  <c r="H64" i="175"/>
  <c r="H65" i="175"/>
  <c r="H66" i="175"/>
  <c r="H67" i="175"/>
  <c r="H68" i="175"/>
  <c r="H69" i="175"/>
  <c r="H70" i="175"/>
  <c r="H71" i="175"/>
  <c r="H72" i="175"/>
  <c r="H73" i="175"/>
  <c r="H74" i="175"/>
  <c r="H75" i="175"/>
  <c r="H76" i="175"/>
  <c r="H77" i="175"/>
  <c r="H78" i="175"/>
  <c r="H79" i="175"/>
  <c r="H80" i="175"/>
  <c r="H81" i="175"/>
  <c r="H82" i="175"/>
  <c r="H83" i="175"/>
  <c r="H84" i="175"/>
  <c r="H85" i="175"/>
  <c r="H86" i="175"/>
  <c r="H87" i="175"/>
  <c r="H88" i="175"/>
  <c r="H89" i="175"/>
  <c r="H90" i="175"/>
  <c r="H91" i="175"/>
  <c r="H92" i="175"/>
  <c r="H93" i="175"/>
  <c r="H94" i="175"/>
  <c r="H95" i="175"/>
  <c r="H96" i="175"/>
  <c r="H97" i="175"/>
  <c r="G2" i="175"/>
  <c r="K2" i="175" s="1"/>
  <c r="D2" i="176" s="1"/>
  <c r="E2" i="176" s="1"/>
  <c r="G3" i="175"/>
  <c r="K3" i="175" s="1"/>
  <c r="D3" i="176" s="1"/>
  <c r="E3" i="176" s="1"/>
  <c r="G4" i="175"/>
  <c r="K4" i="175" s="1"/>
  <c r="D4" i="176" s="1"/>
  <c r="E4" i="176" s="1"/>
  <c r="G5" i="175"/>
  <c r="K5" i="175" s="1"/>
  <c r="D5" i="176" s="1"/>
  <c r="E5" i="176" s="1"/>
  <c r="G6" i="175"/>
  <c r="K6" i="175" s="1"/>
  <c r="D6" i="176" s="1"/>
  <c r="E6" i="176" s="1"/>
  <c r="G7" i="175"/>
  <c r="K7" i="175" s="1"/>
  <c r="D7" i="176" s="1"/>
  <c r="E7" i="176" s="1"/>
  <c r="G8" i="175"/>
  <c r="K8" i="175" s="1"/>
  <c r="D8" i="176" s="1"/>
  <c r="E8" i="176" s="1"/>
  <c r="G9" i="175"/>
  <c r="K9" i="175" s="1"/>
  <c r="D9" i="176" s="1"/>
  <c r="E9" i="176" s="1"/>
  <c r="G10" i="175"/>
  <c r="K10" i="175" s="1"/>
  <c r="D10" i="176" s="1"/>
  <c r="E10" i="176" s="1"/>
  <c r="G11" i="175"/>
  <c r="K11" i="175" s="1"/>
  <c r="D11" i="176" s="1"/>
  <c r="E11" i="176" s="1"/>
  <c r="G12" i="175"/>
  <c r="K12" i="175" s="1"/>
  <c r="D12" i="176" s="1"/>
  <c r="E12" i="176" s="1"/>
  <c r="G13" i="175"/>
  <c r="K13" i="175" s="1"/>
  <c r="D13" i="176" s="1"/>
  <c r="E13" i="176" s="1"/>
  <c r="G14" i="175"/>
  <c r="K14" i="175" s="1"/>
  <c r="D14" i="176" s="1"/>
  <c r="E14" i="176" s="1"/>
  <c r="G15" i="175"/>
  <c r="K15" i="175" s="1"/>
  <c r="D15" i="176" s="1"/>
  <c r="E15" i="176" s="1"/>
  <c r="G16" i="175"/>
  <c r="K16" i="175" s="1"/>
  <c r="D16" i="176" s="1"/>
  <c r="E16" i="176" s="1"/>
  <c r="G17" i="175"/>
  <c r="K17" i="175" s="1"/>
  <c r="D17" i="176" s="1"/>
  <c r="E17" i="176" s="1"/>
  <c r="G18" i="175"/>
  <c r="K18" i="175" s="1"/>
  <c r="D18" i="176" s="1"/>
  <c r="E18" i="176" s="1"/>
  <c r="G19" i="175"/>
  <c r="K19" i="175" s="1"/>
  <c r="D19" i="176" s="1"/>
  <c r="E19" i="176" s="1"/>
  <c r="G20" i="175"/>
  <c r="K20" i="175" s="1"/>
  <c r="D20" i="176" s="1"/>
  <c r="E20" i="176" s="1"/>
  <c r="G21" i="175"/>
  <c r="K21" i="175" s="1"/>
  <c r="D21" i="176" s="1"/>
  <c r="E21" i="176" s="1"/>
  <c r="G22" i="175"/>
  <c r="K22" i="175" s="1"/>
  <c r="D22" i="176" s="1"/>
  <c r="E22" i="176" s="1"/>
  <c r="G23" i="175"/>
  <c r="K23" i="175" s="1"/>
  <c r="D23" i="176" s="1"/>
  <c r="E23" i="176" s="1"/>
  <c r="G24" i="175"/>
  <c r="K24" i="175" s="1"/>
  <c r="D24" i="176" s="1"/>
  <c r="E24" i="176" s="1"/>
  <c r="G25" i="175"/>
  <c r="K25" i="175" s="1"/>
  <c r="D25" i="176" s="1"/>
  <c r="E25" i="176" s="1"/>
  <c r="G26" i="175"/>
  <c r="K26" i="175" s="1"/>
  <c r="D26" i="176" s="1"/>
  <c r="E26" i="176" s="1"/>
  <c r="G27" i="175"/>
  <c r="K27" i="175" s="1"/>
  <c r="D27" i="176" s="1"/>
  <c r="E27" i="176" s="1"/>
  <c r="G28" i="175"/>
  <c r="K28" i="175" s="1"/>
  <c r="D28" i="176" s="1"/>
  <c r="E28" i="176" s="1"/>
  <c r="G29" i="175"/>
  <c r="K29" i="175" s="1"/>
  <c r="D29" i="176" s="1"/>
  <c r="E29" i="176" s="1"/>
  <c r="G30" i="175"/>
  <c r="K30" i="175" s="1"/>
  <c r="D30" i="176" s="1"/>
  <c r="E30" i="176" s="1"/>
  <c r="G31" i="175"/>
  <c r="K31" i="175" s="1"/>
  <c r="D31" i="176" s="1"/>
  <c r="E31" i="176" s="1"/>
  <c r="G32" i="175"/>
  <c r="K32" i="175" s="1"/>
  <c r="D32" i="176" s="1"/>
  <c r="E32" i="176" s="1"/>
  <c r="G33" i="175"/>
  <c r="K33" i="175" s="1"/>
  <c r="D33" i="176" s="1"/>
  <c r="E33" i="176" s="1"/>
  <c r="G34" i="175"/>
  <c r="K34" i="175" s="1"/>
  <c r="D34" i="176" s="1"/>
  <c r="E34" i="176" s="1"/>
  <c r="G35" i="175"/>
  <c r="K35" i="175" s="1"/>
  <c r="D35" i="176" s="1"/>
  <c r="E35" i="176" s="1"/>
  <c r="G36" i="175"/>
  <c r="K36" i="175" s="1"/>
  <c r="D36" i="176" s="1"/>
  <c r="E36" i="176" s="1"/>
  <c r="G37" i="175"/>
  <c r="K37" i="175" s="1"/>
  <c r="D37" i="176" s="1"/>
  <c r="E37" i="176" s="1"/>
  <c r="G38" i="175"/>
  <c r="K38" i="175" s="1"/>
  <c r="D38" i="176" s="1"/>
  <c r="E38" i="176" s="1"/>
  <c r="G39" i="175"/>
  <c r="K39" i="175" s="1"/>
  <c r="D39" i="176" s="1"/>
  <c r="E39" i="176" s="1"/>
  <c r="G40" i="175"/>
  <c r="K40" i="175" s="1"/>
  <c r="D40" i="176" s="1"/>
  <c r="E40" i="176" s="1"/>
  <c r="G41" i="175"/>
  <c r="K41" i="175" s="1"/>
  <c r="D41" i="176" s="1"/>
  <c r="E41" i="176" s="1"/>
  <c r="G42" i="175"/>
  <c r="K42" i="175" s="1"/>
  <c r="D42" i="176" s="1"/>
  <c r="E42" i="176" s="1"/>
  <c r="G43" i="175"/>
  <c r="K43" i="175" s="1"/>
  <c r="D43" i="176" s="1"/>
  <c r="E43" i="176" s="1"/>
  <c r="G44" i="175"/>
  <c r="K44" i="175" s="1"/>
  <c r="D44" i="176" s="1"/>
  <c r="E44" i="176" s="1"/>
  <c r="G45" i="175"/>
  <c r="K45" i="175" s="1"/>
  <c r="D45" i="176" s="1"/>
  <c r="E45" i="176" s="1"/>
  <c r="G46" i="175"/>
  <c r="K46" i="175" s="1"/>
  <c r="D46" i="176" s="1"/>
  <c r="E46" i="176" s="1"/>
  <c r="G47" i="175"/>
  <c r="K47" i="175" s="1"/>
  <c r="D47" i="176" s="1"/>
  <c r="E47" i="176" s="1"/>
  <c r="G48" i="175"/>
  <c r="K48" i="175" s="1"/>
  <c r="D48" i="176" s="1"/>
  <c r="E48" i="176" s="1"/>
  <c r="G49" i="175"/>
  <c r="K49" i="175" s="1"/>
  <c r="D49" i="176" s="1"/>
  <c r="E49" i="176" s="1"/>
  <c r="G50" i="175"/>
  <c r="K50" i="175" s="1"/>
  <c r="D50" i="176" s="1"/>
  <c r="E50" i="176" s="1"/>
  <c r="G51" i="175"/>
  <c r="K51" i="175" s="1"/>
  <c r="D51" i="176" s="1"/>
  <c r="E51" i="176" s="1"/>
  <c r="G52" i="175"/>
  <c r="K52" i="175" s="1"/>
  <c r="D52" i="176" s="1"/>
  <c r="E52" i="176" s="1"/>
  <c r="G53" i="175"/>
  <c r="K53" i="175" s="1"/>
  <c r="D53" i="176" s="1"/>
  <c r="E53" i="176" s="1"/>
  <c r="G54" i="175"/>
  <c r="K54" i="175" s="1"/>
  <c r="D54" i="176" s="1"/>
  <c r="E54" i="176" s="1"/>
  <c r="G55" i="175"/>
  <c r="K55" i="175" s="1"/>
  <c r="D55" i="176" s="1"/>
  <c r="E55" i="176" s="1"/>
  <c r="G56" i="175"/>
  <c r="K56" i="175" s="1"/>
  <c r="D56" i="176" s="1"/>
  <c r="E56" i="176" s="1"/>
  <c r="G57" i="175"/>
  <c r="K57" i="175" s="1"/>
  <c r="D57" i="176" s="1"/>
  <c r="E57" i="176" s="1"/>
  <c r="G58" i="175"/>
  <c r="K58" i="175" s="1"/>
  <c r="D58" i="176" s="1"/>
  <c r="E58" i="176" s="1"/>
  <c r="G59" i="175"/>
  <c r="K59" i="175" s="1"/>
  <c r="D59" i="176" s="1"/>
  <c r="E59" i="176" s="1"/>
  <c r="G60" i="175"/>
  <c r="K60" i="175" s="1"/>
  <c r="D60" i="176" s="1"/>
  <c r="E60" i="176" s="1"/>
  <c r="G61" i="175"/>
  <c r="K61" i="175" s="1"/>
  <c r="D61" i="176" s="1"/>
  <c r="E61" i="176" s="1"/>
  <c r="G62" i="175"/>
  <c r="K62" i="175" s="1"/>
  <c r="D62" i="176" s="1"/>
  <c r="E62" i="176" s="1"/>
  <c r="G63" i="175"/>
  <c r="K63" i="175" s="1"/>
  <c r="D63" i="176" s="1"/>
  <c r="E63" i="176" s="1"/>
  <c r="G64" i="175"/>
  <c r="K64" i="175" s="1"/>
  <c r="D64" i="176" s="1"/>
  <c r="E64" i="176" s="1"/>
  <c r="G65" i="175"/>
  <c r="K65" i="175" s="1"/>
  <c r="D65" i="176" s="1"/>
  <c r="E65" i="176" s="1"/>
  <c r="G66" i="175"/>
  <c r="K66" i="175" s="1"/>
  <c r="D66" i="176" s="1"/>
  <c r="E66" i="176" s="1"/>
  <c r="G67" i="175"/>
  <c r="K67" i="175" s="1"/>
  <c r="D67" i="176" s="1"/>
  <c r="E67" i="176" s="1"/>
  <c r="G68" i="175"/>
  <c r="K68" i="175" s="1"/>
  <c r="D68" i="176" s="1"/>
  <c r="E68" i="176" s="1"/>
  <c r="G69" i="175"/>
  <c r="K69" i="175" s="1"/>
  <c r="D69" i="176" s="1"/>
  <c r="E69" i="176" s="1"/>
  <c r="G70" i="175"/>
  <c r="K70" i="175" s="1"/>
  <c r="D70" i="176" s="1"/>
  <c r="E70" i="176" s="1"/>
  <c r="G71" i="175"/>
  <c r="K71" i="175" s="1"/>
  <c r="D71" i="176" s="1"/>
  <c r="E71" i="176" s="1"/>
  <c r="G72" i="175"/>
  <c r="K72" i="175" s="1"/>
  <c r="D72" i="176" s="1"/>
  <c r="E72" i="176" s="1"/>
  <c r="G73" i="175"/>
  <c r="K73" i="175" s="1"/>
  <c r="D73" i="176" s="1"/>
  <c r="E73" i="176" s="1"/>
  <c r="G74" i="175"/>
  <c r="K74" i="175" s="1"/>
  <c r="D74" i="176" s="1"/>
  <c r="E74" i="176" s="1"/>
  <c r="G75" i="175"/>
  <c r="K75" i="175" s="1"/>
  <c r="D75" i="176" s="1"/>
  <c r="E75" i="176" s="1"/>
  <c r="G76" i="175"/>
  <c r="K76" i="175" s="1"/>
  <c r="D76" i="176" s="1"/>
  <c r="E76" i="176" s="1"/>
  <c r="G77" i="175"/>
  <c r="K77" i="175" s="1"/>
  <c r="D77" i="176" s="1"/>
  <c r="E77" i="176" s="1"/>
  <c r="G78" i="175"/>
  <c r="K78" i="175" s="1"/>
  <c r="D78" i="176" s="1"/>
  <c r="E78" i="176" s="1"/>
  <c r="G79" i="175"/>
  <c r="K79" i="175" s="1"/>
  <c r="D79" i="176" s="1"/>
  <c r="E79" i="176" s="1"/>
  <c r="G80" i="175"/>
  <c r="K80" i="175" s="1"/>
  <c r="D80" i="176" s="1"/>
  <c r="E80" i="176" s="1"/>
  <c r="G81" i="175"/>
  <c r="K81" i="175" s="1"/>
  <c r="D81" i="176" s="1"/>
  <c r="E81" i="176" s="1"/>
  <c r="G82" i="175"/>
  <c r="K82" i="175" s="1"/>
  <c r="D82" i="176" s="1"/>
  <c r="E82" i="176" s="1"/>
  <c r="G83" i="175"/>
  <c r="K83" i="175" s="1"/>
  <c r="D83" i="176" s="1"/>
  <c r="E83" i="176" s="1"/>
  <c r="G84" i="175"/>
  <c r="K84" i="175" s="1"/>
  <c r="D84" i="176" s="1"/>
  <c r="E84" i="176" s="1"/>
  <c r="G85" i="175"/>
  <c r="K85" i="175" s="1"/>
  <c r="D85" i="176" s="1"/>
  <c r="E85" i="176" s="1"/>
  <c r="G86" i="175"/>
  <c r="K86" i="175" s="1"/>
  <c r="D86" i="176" s="1"/>
  <c r="E86" i="176" s="1"/>
  <c r="G87" i="175"/>
  <c r="K87" i="175" s="1"/>
  <c r="D87" i="176" s="1"/>
  <c r="E87" i="176" s="1"/>
  <c r="G88" i="175"/>
  <c r="K88" i="175" s="1"/>
  <c r="D88" i="176" s="1"/>
  <c r="E88" i="176" s="1"/>
  <c r="G89" i="175"/>
  <c r="K89" i="175" s="1"/>
  <c r="D89" i="176" s="1"/>
  <c r="E89" i="176" s="1"/>
  <c r="G90" i="175"/>
  <c r="K90" i="175" s="1"/>
  <c r="D90" i="176" s="1"/>
  <c r="E90" i="176" s="1"/>
  <c r="G91" i="175"/>
  <c r="K91" i="175" s="1"/>
  <c r="D91" i="176" s="1"/>
  <c r="E91" i="176" s="1"/>
  <c r="G92" i="175"/>
  <c r="K92" i="175" s="1"/>
  <c r="D92" i="176" s="1"/>
  <c r="E92" i="176" s="1"/>
  <c r="G93" i="175"/>
  <c r="K93" i="175" s="1"/>
  <c r="D93" i="176" s="1"/>
  <c r="E93" i="176" s="1"/>
  <c r="G94" i="175"/>
  <c r="G95" i="175"/>
  <c r="K95" i="175" s="1"/>
  <c r="D95" i="176" s="1"/>
  <c r="E95" i="176" s="1"/>
  <c r="G96" i="175"/>
  <c r="K96" i="175" s="1"/>
  <c r="D96" i="176" s="1"/>
  <c r="E96" i="176" s="1"/>
  <c r="G97" i="175"/>
  <c r="K97" i="175" s="1"/>
  <c r="D97" i="176" s="1"/>
  <c r="E97" i="176" s="1"/>
  <c r="B26" i="183" l="1"/>
  <c r="D12" i="183"/>
  <c r="F12" i="183" s="1"/>
  <c r="D10" i="183"/>
  <c r="F10" i="183" s="1"/>
  <c r="B24" i="183"/>
  <c r="D5" i="183"/>
  <c r="F5" i="183" s="1"/>
  <c r="B19" i="183"/>
  <c r="D7" i="183"/>
  <c r="F7" i="183" s="1"/>
  <c r="B21" i="183"/>
  <c r="B23" i="183"/>
  <c r="D9" i="183"/>
  <c r="F9" i="183" s="1"/>
  <c r="D11" i="183"/>
  <c r="F11" i="183" s="1"/>
  <c r="B25" i="183"/>
  <c r="D13" i="183"/>
  <c r="F13" i="183" s="1"/>
  <c r="C7" i="184" s="1"/>
  <c r="B27" i="183"/>
  <c r="B18" i="183"/>
  <c r="D4" i="183"/>
  <c r="F4" i="183" s="1"/>
  <c r="B22" i="183"/>
  <c r="D8" i="183"/>
  <c r="F8" i="183" s="1"/>
  <c r="B20" i="183"/>
  <c r="D6" i="183"/>
  <c r="F6" i="183" s="1"/>
  <c r="E98" i="176"/>
  <c r="K94" i="175"/>
  <c r="D94" i="176" s="1"/>
  <c r="E94" i="176" s="1"/>
  <c r="E12" i="13"/>
  <c r="B41" i="183" l="1"/>
  <c r="D41" i="183" s="1"/>
  <c r="F41" i="183" s="1"/>
  <c r="C9" i="184" s="1"/>
  <c r="D27" i="183"/>
  <c r="F27" i="183" s="1"/>
  <c r="C8" i="184" s="1"/>
  <c r="D19" i="183"/>
  <c r="F19" i="183" s="1"/>
  <c r="B33" i="183"/>
  <c r="D33" i="183" s="1"/>
  <c r="F33" i="183" s="1"/>
  <c r="D22" i="183"/>
  <c r="F22" i="183" s="1"/>
  <c r="B36" i="183"/>
  <c r="D36" i="183" s="1"/>
  <c r="F36" i="183" s="1"/>
  <c r="B37" i="183"/>
  <c r="D37" i="183" s="1"/>
  <c r="F37" i="183" s="1"/>
  <c r="D23" i="183"/>
  <c r="F23" i="183" s="1"/>
  <c r="B40" i="183"/>
  <c r="D40" i="183" s="1"/>
  <c r="F40" i="183" s="1"/>
  <c r="D26" i="183"/>
  <c r="F26" i="183" s="1"/>
  <c r="D25" i="183"/>
  <c r="F25" i="183" s="1"/>
  <c r="B39" i="183"/>
  <c r="D39" i="183" s="1"/>
  <c r="F39" i="183" s="1"/>
  <c r="D21" i="183"/>
  <c r="F21" i="183" s="1"/>
  <c r="B35" i="183"/>
  <c r="D35" i="183" s="1"/>
  <c r="F35" i="183" s="1"/>
  <c r="B38" i="183"/>
  <c r="D38" i="183" s="1"/>
  <c r="F38" i="183" s="1"/>
  <c r="D24" i="183"/>
  <c r="F24" i="183" s="1"/>
  <c r="D20" i="183"/>
  <c r="F20" i="183" s="1"/>
  <c r="B34" i="183"/>
  <c r="D34" i="183" s="1"/>
  <c r="F34" i="183" s="1"/>
  <c r="B32" i="183"/>
  <c r="D32" i="183" s="1"/>
  <c r="F32" i="183" s="1"/>
  <c r="D18" i="183"/>
  <c r="F18" i="183" s="1"/>
  <c r="D8" i="184" l="1"/>
  <c r="E8" i="184" s="1"/>
  <c r="G8" i="184" s="1"/>
  <c r="C11" i="184"/>
  <c r="D9" i="184" l="1"/>
  <c r="E9" i="184" s="1"/>
  <c r="D10" i="184"/>
  <c r="E10" i="184" s="1"/>
  <c r="D11" i="184"/>
  <c r="D7" i="184"/>
  <c r="E7" i="184" s="1"/>
  <c r="G7" i="184" s="1"/>
  <c r="G10" i="184" l="1"/>
  <c r="E21" i="184"/>
  <c r="G21" i="184" s="1"/>
  <c r="G9" i="184"/>
  <c r="E20" i="184"/>
  <c r="G11" i="184"/>
  <c r="H11" i="184" s="1"/>
  <c r="G20" i="184" l="1"/>
  <c r="G22" i="184" s="1"/>
  <c r="H22" i="184" s="1"/>
  <c r="E22" i="184"/>
</calcChain>
</file>

<file path=xl/sharedStrings.xml><?xml version="1.0" encoding="utf-8"?>
<sst xmlns="http://schemas.openxmlformats.org/spreadsheetml/2006/main" count="161" uniqueCount="90">
  <si>
    <t>Model</t>
  </si>
  <si>
    <t>Year</t>
  </si>
  <si>
    <t>From Date</t>
  </si>
  <si>
    <t>To Date</t>
  </si>
  <si>
    <t>Actual</t>
  </si>
  <si>
    <t>Forecast</t>
  </si>
  <si>
    <t>Month</t>
  </si>
  <si>
    <t>Forecast Term</t>
  </si>
  <si>
    <t>Years</t>
  </si>
  <si>
    <t>Months</t>
  </si>
  <si>
    <t>Date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</si>
  <si>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</si>
  <si>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</si>
  <si>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</si>
  <si>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</si>
  <si>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</si>
  <si>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</si>
  <si>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</si>
  <si>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</si>
  <si>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</si>
  <si>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</si>
  <si>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</si>
  <si>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</si>
  <si>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</si>
  <si>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</si>
  <si>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</si>
  <si>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</si>
  <si>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</si>
  <si>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</si>
  <si>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Theil's U</t>
  </si>
  <si>
    <t>Const</t>
  </si>
  <si>
    <t>Predicted Value</t>
  </si>
  <si>
    <t>Absolute % Error</t>
  </si>
  <si>
    <t xml:space="preserve">Predicted Value </t>
  </si>
  <si>
    <t xml:space="preserve">Absolute % Error 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</si>
  <si>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</si>
  <si>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</si>
  <si>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</si>
  <si>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</si>
  <si>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</si>
  <si>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>WSL2</t>
  </si>
  <si>
    <t>MonthlyHDD</t>
  </si>
  <si>
    <t>MonthlyCDD</t>
  </si>
  <si>
    <t>PeakDays</t>
  </si>
  <si>
    <t>Dependent variable: WSL2</t>
  </si>
  <si>
    <t xml:space="preserve">WSL2 </t>
  </si>
  <si>
    <t>Annual Predicted vs. Actual WSL2</t>
  </si>
  <si>
    <t>Annual Actual vs. Normalized WSL2</t>
  </si>
  <si>
    <t>Model 1: OLS, using observations 2006:01-2013:12 (T = 96)</t>
  </si>
  <si>
    <t>F(3, 92)</t>
  </si>
  <si>
    <t>R1 Share</t>
  </si>
  <si>
    <t>R1 kWh</t>
  </si>
  <si>
    <t>Seasonal to RES</t>
  </si>
  <si>
    <t>Proposed R1 kWh</t>
  </si>
  <si>
    <t>Seasonal Share</t>
  </si>
  <si>
    <t>Seasonal kWh</t>
  </si>
  <si>
    <t>R2 Share</t>
  </si>
  <si>
    <t>Net R2 kWh</t>
  </si>
  <si>
    <t>LU Adjustment</t>
  </si>
  <si>
    <t>R2 kWh</t>
  </si>
  <si>
    <t>A</t>
  </si>
  <si>
    <t>B</t>
  </si>
  <si>
    <t>C = A * B</t>
  </si>
  <si>
    <t>D</t>
  </si>
  <si>
    <t>E = C + D</t>
  </si>
  <si>
    <t>Adjustment To Load Forecast</t>
  </si>
  <si>
    <t>Weather Normalized</t>
  </si>
  <si>
    <t>CDM Load Forecast Adjustment</t>
  </si>
  <si>
    <t>2015 CDM Adjusted Load Forecast</t>
  </si>
  <si>
    <t>Retail</t>
  </si>
  <si>
    <t>2015F</t>
  </si>
  <si>
    <t>kWh</t>
  </si>
  <si>
    <t>(Elenchus)</t>
  </si>
  <si>
    <t>C = A / B</t>
  </si>
  <si>
    <t>E = D * C</t>
  </si>
  <si>
    <t>F = A - E</t>
  </si>
  <si>
    <t>R1 (kWh)</t>
  </si>
  <si>
    <t>Seasonal (kWh)</t>
  </si>
  <si>
    <t>R2 (kW)</t>
  </si>
  <si>
    <t>Street Lights (kW)</t>
  </si>
  <si>
    <t>Total Customer (kWh)</t>
  </si>
  <si>
    <t>CDM Load Forecast Adjustment *</t>
  </si>
  <si>
    <t>kW</t>
  </si>
  <si>
    <t>G</t>
  </si>
  <si>
    <t>I = G / H</t>
  </si>
  <si>
    <t>J = G / A * E</t>
  </si>
  <si>
    <t>K = G - J</t>
  </si>
  <si>
    <t>Total Customer (kW)</t>
  </si>
  <si>
    <t>H</t>
  </si>
  <si>
    <t>* Note that CDM LF kW is the proportional LF kW over  LF kWh times kWH CDM LF adjustment.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</si>
</sst>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_ ;[Red]\-#,##0\ "/>
    <numFmt numFmtId="167" formatCode="_-* #,##0_-;\-* #,##0_-;_-* &quot;-&quot;??_-;_-@_-"/>
    <numFmt numFmtId="168" formatCode="_-* #,##0.000000_-;\-* #,##0.0000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4" fillId="0" borderId="0" xfId="4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4" applyNumberFormat="1" applyFont="1"/>
    <xf numFmtId="17" fontId="1" fillId="0" borderId="0" xfId="1" applyNumberFormat="1" applyFont="1" applyFill="1" applyBorder="1"/>
    <xf numFmtId="167" fontId="7" fillId="0" borderId="0" xfId="5" applyNumberFormat="1" applyFont="1" applyFill="1" applyBorder="1"/>
    <xf numFmtId="0" fontId="7" fillId="0" borderId="0" xfId="0" applyFont="1" applyFill="1" applyBorder="1"/>
    <xf numFmtId="0" fontId="1" fillId="0" borderId="0" xfId="1" applyNumberFormat="1" applyFont="1" applyFill="1" applyBorder="1"/>
    <xf numFmtId="11" fontId="0" fillId="0" borderId="0" xfId="0" applyNumberFormat="1"/>
    <xf numFmtId="168" fontId="0" fillId="0" borderId="0" xfId="5" applyNumberFormat="1" applyFont="1" applyAlignment="1">
      <alignment horizontal="center"/>
    </xf>
    <xf numFmtId="167" fontId="0" fillId="0" borderId="0" xfId="5" applyNumberFormat="1" applyFont="1"/>
    <xf numFmtId="167" fontId="0" fillId="0" borderId="0" xfId="0" applyNumberFormat="1" applyAlignment="1">
      <alignment horizontal="center"/>
    </xf>
    <xf numFmtId="167" fontId="0" fillId="0" borderId="0" xfId="0" applyNumberFormat="1"/>
    <xf numFmtId="168" fontId="4" fillId="0" borderId="0" xfId="0" applyNumberFormat="1" applyFont="1"/>
    <xf numFmtId="167" fontId="4" fillId="0" borderId="0" xfId="5" applyNumberFormat="1" applyFont="1"/>
    <xf numFmtId="167" fontId="4" fillId="0" borderId="0" xfId="0" applyNumberFormat="1" applyFont="1" applyAlignment="1">
      <alignment horizontal="center"/>
    </xf>
    <xf numFmtId="167" fontId="4" fillId="0" borderId="0" xfId="0" applyNumberFormat="1" applyFont="1"/>
    <xf numFmtId="0" fontId="8" fillId="0" borderId="0" xfId="0" applyFont="1"/>
    <xf numFmtId="9" fontId="0" fillId="0" borderId="0" xfId="4" applyFont="1" applyAlignment="1">
      <alignment horizontal="center"/>
    </xf>
    <xf numFmtId="0" fontId="0" fillId="0" borderId="0" xfId="0" applyAlignment="1">
      <alignment horizontal="center" vertical="center" wrapText="1"/>
    </xf>
    <xf numFmtId="167" fontId="0" fillId="4" borderId="0" xfId="5" applyNumberFormat="1" applyFont="1" applyFill="1"/>
    <xf numFmtId="167" fontId="0" fillId="5" borderId="0" xfId="0" applyNumberFormat="1" applyFill="1"/>
    <xf numFmtId="167" fontId="0" fillId="0" borderId="1" xfId="5" applyNumberFormat="1" applyFont="1" applyBorder="1"/>
    <xf numFmtId="0" fontId="0" fillId="0" borderId="0" xfId="0" applyAlignment="1">
      <alignment horizontal="center" vertical="center" wrapText="1"/>
    </xf>
  </cellXfs>
  <cellStyles count="7">
    <cellStyle name="Comma" xfId="5" builtinId="3"/>
    <cellStyle name="Comma 2" xfId="3"/>
    <cellStyle name="Normal" xfId="0" builtinId="0"/>
    <cellStyle name="Normal 2" xfId="1"/>
    <cellStyle name="Normal 3" xfId="6"/>
    <cellStyle name="Percent" xfId="4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WSL2</c:v>
                </c:pt>
              </c:strCache>
            </c:strRef>
          </c:tx>
          <c:marker>
            <c:symbol val="none"/>
          </c:marker>
          <c:cat>
            <c:numRef>
              <c:f>'Predicted Monthly Data Summ'!$A$2:$A$96</c:f>
              <c:numCache>
                <c:formatCode>mmm\-yy</c:formatCode>
                <c:ptCount val="95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</c:numCache>
            </c:numRef>
          </c:cat>
          <c:val>
            <c:numRef>
              <c:f>'Predicted Monthly Data Summ'!$C$2:$C$96</c:f>
              <c:numCache>
                <c:formatCode>_-* #,##0_-;\-* #,##0_-;_-* "-"??_-;_-@_-</c:formatCode>
                <c:ptCount val="95"/>
                <c:pt idx="0">
                  <c:v>16432360.530000001</c:v>
                </c:pt>
                <c:pt idx="1">
                  <c:v>15254915.93</c:v>
                </c:pt>
                <c:pt idx="2">
                  <c:v>14730427.050000001</c:v>
                </c:pt>
                <c:pt idx="3">
                  <c:v>11361311.199999999</c:v>
                </c:pt>
                <c:pt idx="4">
                  <c:v>10639715.810000001</c:v>
                </c:pt>
                <c:pt idx="5">
                  <c:v>9655562.2699999996</c:v>
                </c:pt>
                <c:pt idx="6">
                  <c:v>10846451.32</c:v>
                </c:pt>
                <c:pt idx="7">
                  <c:v>10694433.439999999</c:v>
                </c:pt>
                <c:pt idx="8">
                  <c:v>10191889.76</c:v>
                </c:pt>
                <c:pt idx="9">
                  <c:v>12347060.369999999</c:v>
                </c:pt>
                <c:pt idx="10">
                  <c:v>12995676.43</c:v>
                </c:pt>
                <c:pt idx="11">
                  <c:v>15518992.219999999</c:v>
                </c:pt>
                <c:pt idx="12">
                  <c:v>17027640.539999999</c:v>
                </c:pt>
                <c:pt idx="13">
                  <c:v>16669380.510000002</c:v>
                </c:pt>
                <c:pt idx="14">
                  <c:v>14934754.379999999</c:v>
                </c:pt>
                <c:pt idx="15">
                  <c:v>12687457.810000002</c:v>
                </c:pt>
                <c:pt idx="16">
                  <c:v>10985339.710000001</c:v>
                </c:pt>
                <c:pt idx="17">
                  <c:v>9760012.7799999993</c:v>
                </c:pt>
                <c:pt idx="18">
                  <c:v>10363539.75</c:v>
                </c:pt>
                <c:pt idx="19">
                  <c:v>10623681.955423476</c:v>
                </c:pt>
                <c:pt idx="20">
                  <c:v>9937765.4600000009</c:v>
                </c:pt>
                <c:pt idx="21">
                  <c:v>11018147.890000001</c:v>
                </c:pt>
                <c:pt idx="22">
                  <c:v>13301022.960000001</c:v>
                </c:pt>
                <c:pt idx="23">
                  <c:v>16610853.84</c:v>
                </c:pt>
                <c:pt idx="24">
                  <c:v>16747623.760000002</c:v>
                </c:pt>
                <c:pt idx="25">
                  <c:v>16220989.899999999</c:v>
                </c:pt>
                <c:pt idx="26">
                  <c:v>16185519.129999999</c:v>
                </c:pt>
                <c:pt idx="27">
                  <c:v>12384878.220000001</c:v>
                </c:pt>
                <c:pt idx="28">
                  <c:v>11570573.57</c:v>
                </c:pt>
                <c:pt idx="29">
                  <c:v>10031531.33</c:v>
                </c:pt>
                <c:pt idx="30">
                  <c:v>10603201.34</c:v>
                </c:pt>
                <c:pt idx="31">
                  <c:v>10275407.85</c:v>
                </c:pt>
                <c:pt idx="32">
                  <c:v>9957791.7799999993</c:v>
                </c:pt>
                <c:pt idx="33">
                  <c:v>11903930.970000001</c:v>
                </c:pt>
                <c:pt idx="34">
                  <c:v>13578501.350000001</c:v>
                </c:pt>
                <c:pt idx="35">
                  <c:v>18362207.48</c:v>
                </c:pt>
                <c:pt idx="36">
                  <c:v>18881349</c:v>
                </c:pt>
                <c:pt idx="37">
                  <c:v>15951302.32</c:v>
                </c:pt>
                <c:pt idx="38">
                  <c:v>15986795.57</c:v>
                </c:pt>
                <c:pt idx="39">
                  <c:v>12817613.51</c:v>
                </c:pt>
                <c:pt idx="40">
                  <c:v>11557935.369999999</c:v>
                </c:pt>
                <c:pt idx="41">
                  <c:v>10386431.49</c:v>
                </c:pt>
                <c:pt idx="42">
                  <c:v>10790837.5</c:v>
                </c:pt>
                <c:pt idx="43">
                  <c:v>11118670.27</c:v>
                </c:pt>
                <c:pt idx="44">
                  <c:v>10133781.59</c:v>
                </c:pt>
                <c:pt idx="45">
                  <c:v>13000847.74</c:v>
                </c:pt>
                <c:pt idx="46">
                  <c:v>12805137.380000001</c:v>
                </c:pt>
                <c:pt idx="47">
                  <c:v>17322151.559999999</c:v>
                </c:pt>
                <c:pt idx="48">
                  <c:v>17283128.699999999</c:v>
                </c:pt>
                <c:pt idx="49">
                  <c:v>14874695.649999999</c:v>
                </c:pt>
                <c:pt idx="50">
                  <c:v>13997010.93</c:v>
                </c:pt>
                <c:pt idx="51">
                  <c:v>10847949.960000001</c:v>
                </c:pt>
                <c:pt idx="52">
                  <c:v>10080566.119999999</c:v>
                </c:pt>
                <c:pt idx="53">
                  <c:v>9283863.4100000001</c:v>
                </c:pt>
                <c:pt idx="54">
                  <c:v>10277037.66</c:v>
                </c:pt>
                <c:pt idx="55">
                  <c:v>10298675.939999999</c:v>
                </c:pt>
                <c:pt idx="56">
                  <c:v>9789881.8000000007</c:v>
                </c:pt>
                <c:pt idx="57">
                  <c:v>10854951.359999999</c:v>
                </c:pt>
                <c:pt idx="58">
                  <c:v>12307817.600000001</c:v>
                </c:pt>
                <c:pt idx="59">
                  <c:v>16509634.079999998</c:v>
                </c:pt>
                <c:pt idx="60">
                  <c:v>18210954.41</c:v>
                </c:pt>
                <c:pt idx="61">
                  <c:v>15275983.57</c:v>
                </c:pt>
                <c:pt idx="62">
                  <c:v>14923502.969999999</c:v>
                </c:pt>
                <c:pt idx="63">
                  <c:v>12118407.5</c:v>
                </c:pt>
                <c:pt idx="64">
                  <c:v>10132000.65</c:v>
                </c:pt>
                <c:pt idx="65">
                  <c:v>9032152.8599999994</c:v>
                </c:pt>
                <c:pt idx="66">
                  <c:v>10244088.84</c:v>
                </c:pt>
                <c:pt idx="67">
                  <c:v>10453709.460000001</c:v>
                </c:pt>
                <c:pt idx="68">
                  <c:v>9912883.3800000008</c:v>
                </c:pt>
                <c:pt idx="69">
                  <c:v>10981342.77</c:v>
                </c:pt>
                <c:pt idx="70">
                  <c:v>12396977.68</c:v>
                </c:pt>
                <c:pt idx="71">
                  <c:v>15364156.579999998</c:v>
                </c:pt>
                <c:pt idx="72">
                  <c:v>16257178</c:v>
                </c:pt>
                <c:pt idx="73">
                  <c:v>14151568</c:v>
                </c:pt>
                <c:pt idx="74">
                  <c:v>13453783</c:v>
                </c:pt>
                <c:pt idx="75">
                  <c:v>11682191</c:v>
                </c:pt>
                <c:pt idx="76">
                  <c:v>10307176</c:v>
                </c:pt>
                <c:pt idx="77">
                  <c:v>9779424</c:v>
                </c:pt>
                <c:pt idx="78">
                  <c:v>10817789</c:v>
                </c:pt>
                <c:pt idx="79">
                  <c:v>10717021</c:v>
                </c:pt>
                <c:pt idx="80">
                  <c:v>10163216</c:v>
                </c:pt>
                <c:pt idx="81">
                  <c:v>11586791</c:v>
                </c:pt>
                <c:pt idx="82">
                  <c:v>13032681</c:v>
                </c:pt>
                <c:pt idx="83">
                  <c:v>15521871</c:v>
                </c:pt>
                <c:pt idx="84">
                  <c:v>16693786</c:v>
                </c:pt>
                <c:pt idx="85">
                  <c:v>15174191</c:v>
                </c:pt>
                <c:pt idx="86">
                  <c:v>14601438</c:v>
                </c:pt>
                <c:pt idx="87">
                  <c:v>13150077</c:v>
                </c:pt>
                <c:pt idx="88">
                  <c:v>10553126</c:v>
                </c:pt>
                <c:pt idx="89">
                  <c:v>9632056</c:v>
                </c:pt>
                <c:pt idx="90">
                  <c:v>10454381</c:v>
                </c:pt>
                <c:pt idx="91">
                  <c:v>10345419</c:v>
                </c:pt>
                <c:pt idx="92">
                  <c:v>10224461</c:v>
                </c:pt>
                <c:pt idx="93">
                  <c:v>12045684</c:v>
                </c:pt>
                <c:pt idx="94">
                  <c:v>14228773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Summ'!$A$2:$A$96</c:f>
              <c:numCache>
                <c:formatCode>mmm\-yy</c:formatCode>
                <c:ptCount val="95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</c:numCache>
            </c:numRef>
          </c:cat>
          <c:val>
            <c:numRef>
              <c:f>'Predicted Monthly Data Summ'!$D$2:$D$96</c:f>
              <c:numCache>
                <c:formatCode>General</c:formatCode>
                <c:ptCount val="95"/>
                <c:pt idx="0">
                  <c:v>15655835.452796314</c:v>
                </c:pt>
                <c:pt idx="1">
                  <c:v>16295060.861390691</c:v>
                </c:pt>
                <c:pt idx="2">
                  <c:v>14980229.836024901</c:v>
                </c:pt>
                <c:pt idx="3">
                  <c:v>11827081.447913662</c:v>
                </c:pt>
                <c:pt idx="4">
                  <c:v>10945388.312903095</c:v>
                </c:pt>
                <c:pt idx="5">
                  <c:v>9840511.2679419294</c:v>
                </c:pt>
                <c:pt idx="6">
                  <c:v>10506383.068298398</c:v>
                </c:pt>
                <c:pt idx="7">
                  <c:v>9746062.6505700946</c:v>
                </c:pt>
                <c:pt idx="8">
                  <c:v>10260776.904253118</c:v>
                </c:pt>
                <c:pt idx="9">
                  <c:v>12356748.531831078</c:v>
                </c:pt>
                <c:pt idx="10">
                  <c:v>13285677.749754025</c:v>
                </c:pt>
                <c:pt idx="11">
                  <c:v>14749090.716195988</c:v>
                </c:pt>
                <c:pt idx="12">
                  <c:v>16936818.696708664</c:v>
                </c:pt>
                <c:pt idx="13">
                  <c:v>17110841.964624204</c:v>
                </c:pt>
                <c:pt idx="14">
                  <c:v>15240902.528501637</c:v>
                </c:pt>
                <c:pt idx="15">
                  <c:v>12799544.228190139</c:v>
                </c:pt>
                <c:pt idx="16">
                  <c:v>11169556.575677212</c:v>
                </c:pt>
                <c:pt idx="17">
                  <c:v>10007451.231503546</c:v>
                </c:pt>
                <c:pt idx="18">
                  <c:v>10275407.958420753</c:v>
                </c:pt>
                <c:pt idx="19">
                  <c:v>9770858.1387753151</c:v>
                </c:pt>
                <c:pt idx="20">
                  <c:v>9905840.446371533</c:v>
                </c:pt>
                <c:pt idx="21">
                  <c:v>11254742.427782884</c:v>
                </c:pt>
                <c:pt idx="22">
                  <c:v>14082531.217181658</c:v>
                </c:pt>
                <c:pt idx="23">
                  <c:v>16251944.999183021</c:v>
                </c:pt>
                <c:pt idx="24">
                  <c:v>16643440.341717495</c:v>
                </c:pt>
                <c:pt idx="25">
                  <c:v>16592224.743543038</c:v>
                </c:pt>
                <c:pt idx="26">
                  <c:v>15947210.062708318</c:v>
                </c:pt>
                <c:pt idx="27">
                  <c:v>12741508.220334917</c:v>
                </c:pt>
                <c:pt idx="28">
                  <c:v>11824881.965685792</c:v>
                </c:pt>
                <c:pt idx="29">
                  <c:v>9828732.2766219564</c:v>
                </c:pt>
                <c:pt idx="30">
                  <c:v>9452180.9507381879</c:v>
                </c:pt>
                <c:pt idx="31">
                  <c:v>9084270.6766951662</c:v>
                </c:pt>
                <c:pt idx="32">
                  <c:v>10449050.35397334</c:v>
                </c:pt>
                <c:pt idx="33">
                  <c:v>12013740.623598753</c:v>
                </c:pt>
                <c:pt idx="34">
                  <c:v>13474843.126314269</c:v>
                </c:pt>
                <c:pt idx="35">
                  <c:v>17217365.40678158</c:v>
                </c:pt>
                <c:pt idx="36">
                  <c:v>18322739.337845091</c:v>
                </c:pt>
                <c:pt idx="37">
                  <c:v>15887588.009919792</c:v>
                </c:pt>
                <c:pt idx="38">
                  <c:v>15420715.068657516</c:v>
                </c:pt>
                <c:pt idx="39">
                  <c:v>12681775.186047813</c:v>
                </c:pt>
                <c:pt idx="40">
                  <c:v>11531921.31084048</c:v>
                </c:pt>
                <c:pt idx="41">
                  <c:v>10594547.061472751</c:v>
                </c:pt>
                <c:pt idx="42">
                  <c:v>9836116.124132026</c:v>
                </c:pt>
                <c:pt idx="43">
                  <c:v>10039892.250297021</c:v>
                </c:pt>
                <c:pt idx="44">
                  <c:v>9780697.298650533</c:v>
                </c:pt>
                <c:pt idx="45">
                  <c:v>12516687.054390781</c:v>
                </c:pt>
                <c:pt idx="46">
                  <c:v>12672840.049789306</c:v>
                </c:pt>
                <c:pt idx="47">
                  <c:v>16444171.484111298</c:v>
                </c:pt>
                <c:pt idx="48">
                  <c:v>16711468.849120095</c:v>
                </c:pt>
                <c:pt idx="49">
                  <c:v>15396415.860757153</c:v>
                </c:pt>
                <c:pt idx="50">
                  <c:v>13655295.329613158</c:v>
                </c:pt>
                <c:pt idx="51">
                  <c:v>11810157.557186946</c:v>
                </c:pt>
                <c:pt idx="52">
                  <c:v>10966151.579943774</c:v>
                </c:pt>
                <c:pt idx="53">
                  <c:v>9713725.5487393178</c:v>
                </c:pt>
                <c:pt idx="54">
                  <c:v>9387216.4440017492</c:v>
                </c:pt>
                <c:pt idx="55">
                  <c:v>11849722.665059749</c:v>
                </c:pt>
                <c:pt idx="56">
                  <c:v>10405806.166346986</c:v>
                </c:pt>
                <c:pt idx="57">
                  <c:v>11673878.579384595</c:v>
                </c:pt>
                <c:pt idx="58">
                  <c:v>13488203.452876963</c:v>
                </c:pt>
                <c:pt idx="59">
                  <c:v>16146061.220168658</c:v>
                </c:pt>
                <c:pt idx="60">
                  <c:v>17919052.013535365</c:v>
                </c:pt>
                <c:pt idx="61">
                  <c:v>15890427.155290674</c:v>
                </c:pt>
                <c:pt idx="62">
                  <c:v>15976769.861204589</c:v>
                </c:pt>
                <c:pt idx="63">
                  <c:v>12950965.314637195</c:v>
                </c:pt>
                <c:pt idx="64">
                  <c:v>10823207.926281076</c:v>
                </c:pt>
                <c:pt idx="65">
                  <c:v>9649525.2492217049</c:v>
                </c:pt>
                <c:pt idx="66">
                  <c:v>9680332.5101172514</c:v>
                </c:pt>
                <c:pt idx="67">
                  <c:v>9749635.634115288</c:v>
                </c:pt>
                <c:pt idx="68">
                  <c:v>10120886.366074864</c:v>
                </c:pt>
                <c:pt idx="69">
                  <c:v>11270690.496022509</c:v>
                </c:pt>
                <c:pt idx="70">
                  <c:v>13298927.094818143</c:v>
                </c:pt>
                <c:pt idx="71">
                  <c:v>15585274.518670116</c:v>
                </c:pt>
                <c:pt idx="72">
                  <c:v>16497168.864367768</c:v>
                </c:pt>
                <c:pt idx="73">
                  <c:v>15079906.642653065</c:v>
                </c:pt>
                <c:pt idx="74">
                  <c:v>13505238.325102257</c:v>
                </c:pt>
                <c:pt idx="75">
                  <c:v>12527932.654375732</c:v>
                </c:pt>
                <c:pt idx="76">
                  <c:v>11000669.071034506</c:v>
                </c:pt>
                <c:pt idx="77">
                  <c:v>10161918.974696655</c:v>
                </c:pt>
                <c:pt idx="78">
                  <c:v>10034832.389787666</c:v>
                </c:pt>
                <c:pt idx="79">
                  <c:v>10174319.073644558</c:v>
                </c:pt>
                <c:pt idx="80">
                  <c:v>10461118.114223</c:v>
                </c:pt>
                <c:pt idx="81">
                  <c:v>11973992.588406401</c:v>
                </c:pt>
                <c:pt idx="82">
                  <c:v>13753190.35415931</c:v>
                </c:pt>
                <c:pt idx="83">
                  <c:v>15376541.843160976</c:v>
                </c:pt>
                <c:pt idx="84">
                  <c:v>15783179.294340158</c:v>
                </c:pt>
                <c:pt idx="85">
                  <c:v>14570224.557830403</c:v>
                </c:pt>
                <c:pt idx="86">
                  <c:v>14921860.883673951</c:v>
                </c:pt>
                <c:pt idx="87">
                  <c:v>13117639.491227534</c:v>
                </c:pt>
                <c:pt idx="88">
                  <c:v>11279348.35433053</c:v>
                </c:pt>
                <c:pt idx="89">
                  <c:v>9681035.481097186</c:v>
                </c:pt>
                <c:pt idx="90">
                  <c:v>9976862.0446146596</c:v>
                </c:pt>
                <c:pt idx="91">
                  <c:v>10236251.590159535</c:v>
                </c:pt>
                <c:pt idx="92">
                  <c:v>9750830.7815069817</c:v>
                </c:pt>
                <c:pt idx="93">
                  <c:v>11462946.421647586</c:v>
                </c:pt>
                <c:pt idx="94">
                  <c:v>13820801.16141605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58432"/>
        <c:axId val="132276608"/>
      </c:lineChart>
      <c:dateAx>
        <c:axId val="132258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2276608"/>
        <c:crosses val="autoZero"/>
        <c:auto val="1"/>
        <c:lblOffset val="100"/>
        <c:baseTimeUnit val="months"/>
      </c:dateAx>
      <c:valAx>
        <c:axId val="132276608"/>
        <c:scaling>
          <c:orientation val="minMax"/>
          <c:max val="18881349"/>
          <c:min val="9032152.8599999994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32258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[API_Load Forecast Model_20140821_JT1_6_7.xlsx]PredictedAnnualDataSumm!PivotTable2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WSL2 </c:v>
                </c:pt>
              </c:strCache>
            </c:strRef>
          </c:tx>
          <c:marker>
            <c:symbol val="none"/>
          </c:marker>
          <c:cat>
            <c:strRef>
              <c:f>PredictedAnnualDataSumm!$A$4:$A$11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PredictedAnnualDataSumm!$B$4:$B$11</c:f>
              <c:numCache>
                <c:formatCode>#,##0_ ;[Red]\-#,##0\ </c:formatCode>
                <c:ptCount val="8"/>
                <c:pt idx="0">
                  <c:v>150668796.33000001</c:v>
                </c:pt>
                <c:pt idx="1">
                  <c:v>153919597.58542347</c:v>
                </c:pt>
                <c:pt idx="2">
                  <c:v>157822156.67999998</c:v>
                </c:pt>
                <c:pt idx="3">
                  <c:v>160752853.29999998</c:v>
                </c:pt>
                <c:pt idx="4">
                  <c:v>146405213.20999998</c:v>
                </c:pt>
                <c:pt idx="5">
                  <c:v>149046160.67000002</c:v>
                </c:pt>
                <c:pt idx="6">
                  <c:v>147470689</c:v>
                </c:pt>
                <c:pt idx="7">
                  <c:v>155660648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PredictedAnnualDataSumm!$A$4:$A$11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PredictedAnnualDataSumm!$C$4:$C$11</c:f>
              <c:numCache>
                <c:formatCode>#,##0_ ;[Red]\-#,##0\ </c:formatCode>
                <c:ptCount val="8"/>
                <c:pt idx="0">
                  <c:v>150448846.79987332</c:v>
                </c:pt>
                <c:pt idx="1">
                  <c:v>154806440.41292059</c:v>
                </c:pt>
                <c:pt idx="2">
                  <c:v>155269448.74871284</c:v>
                </c:pt>
                <c:pt idx="3">
                  <c:v>155729690.23615444</c:v>
                </c:pt>
                <c:pt idx="4">
                  <c:v>151204103.25319913</c:v>
                </c:pt>
                <c:pt idx="5">
                  <c:v>152915694.13998875</c:v>
                </c:pt>
                <c:pt idx="6">
                  <c:v>150546828.89561188</c:v>
                </c:pt>
                <c:pt idx="7">
                  <c:v>150825062.28896323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PredictedAnnualDataSumm!$A$4:$A$11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PredictedAnnualDataSumm!$D$4:$D$11</c:f>
              <c:numCache>
                <c:formatCode>0.0%</c:formatCode>
                <c:ptCount val="8"/>
                <c:pt idx="0">
                  <c:v>1.4598213796368944E-3</c:v>
                </c:pt>
                <c:pt idx="1">
                  <c:v>5.7617278202987624E-3</c:v>
                </c:pt>
                <c:pt idx="2">
                  <c:v>1.6174585273619136E-2</c:v>
                </c:pt>
                <c:pt idx="3">
                  <c:v>3.1247738131722141E-2</c:v>
                </c:pt>
                <c:pt idx="4">
                  <c:v>3.2778136365374806E-2</c:v>
                </c:pt>
                <c:pt idx="5">
                  <c:v>2.5961980185160129E-2</c:v>
                </c:pt>
                <c:pt idx="6">
                  <c:v>2.0859330870908743E-2</c:v>
                </c:pt>
                <c:pt idx="7">
                  <c:v>3.1064920859360495E-2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76000"/>
        <c:axId val="134577536"/>
      </c:lineChart>
      <c:catAx>
        <c:axId val="134576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4577536"/>
        <c:crosses val="autoZero"/>
        <c:auto val="1"/>
        <c:lblAlgn val="ctr"/>
        <c:lblOffset val="100"/>
        <c:noMultiLvlLbl val="0"/>
      </c:catAx>
      <c:valAx>
        <c:axId val="13457753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34576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[API_Load Forecast Model_20140821_JT1_6_7.xlsx]PredictedAnnualDataSumm2!PivotTable2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WSL2 </c:v>
                </c:pt>
              </c:strCache>
            </c:strRef>
          </c:tx>
          <c:marker>
            <c:symbol val="none"/>
          </c:marker>
          <c:cat>
            <c:strRef>
              <c:f>PredictedAnnualDataSumm2!$A$4:$A$11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PredictedAnnualDataSumm2!$B$4:$B$11</c:f>
              <c:numCache>
                <c:formatCode>#,##0_ ;[Red]\-#,##0\ </c:formatCode>
                <c:ptCount val="8"/>
                <c:pt idx="0">
                  <c:v>150668796.33000001</c:v>
                </c:pt>
                <c:pt idx="1">
                  <c:v>153919597.58542347</c:v>
                </c:pt>
                <c:pt idx="2">
                  <c:v>157822156.67999998</c:v>
                </c:pt>
                <c:pt idx="3">
                  <c:v>160752853.29999998</c:v>
                </c:pt>
                <c:pt idx="4">
                  <c:v>146405213.20999998</c:v>
                </c:pt>
                <c:pt idx="5">
                  <c:v>149046160.67000002</c:v>
                </c:pt>
                <c:pt idx="6">
                  <c:v>147470689</c:v>
                </c:pt>
                <c:pt idx="7">
                  <c:v>155660648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PredictedAnnualDataSumm2!$A$4:$A$11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PredictedAnnualDataSumm2!$C$4:$C$11</c:f>
              <c:numCache>
                <c:formatCode>#,##0_ ;[Red]\-#,##0\ </c:formatCode>
                <c:ptCount val="8"/>
                <c:pt idx="0">
                  <c:v>150448846.79987332</c:v>
                </c:pt>
                <c:pt idx="1">
                  <c:v>154806440.41292059</c:v>
                </c:pt>
                <c:pt idx="2">
                  <c:v>155269448.74871284</c:v>
                </c:pt>
                <c:pt idx="3">
                  <c:v>155729690.23615444</c:v>
                </c:pt>
                <c:pt idx="4">
                  <c:v>151204103.25319913</c:v>
                </c:pt>
                <c:pt idx="5">
                  <c:v>152915694.13998875</c:v>
                </c:pt>
                <c:pt idx="6">
                  <c:v>150546828.89561188</c:v>
                </c:pt>
                <c:pt idx="7">
                  <c:v>150825062.28896323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64768"/>
        <c:axId val="126466304"/>
      </c:lineChart>
      <c:catAx>
        <c:axId val="126464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66304"/>
        <c:crosses val="autoZero"/>
        <c:auto val="1"/>
        <c:lblAlgn val="ctr"/>
        <c:lblOffset val="100"/>
        <c:noMultiLvlLbl val="0"/>
      </c:catAx>
      <c:valAx>
        <c:axId val="12646630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26464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WSL2</c:v>
                </c:pt>
              </c:strCache>
            </c:strRef>
          </c:tx>
          <c:marker>
            <c:symbol val="none"/>
          </c:marker>
          <c:cat>
            <c:numRef>
              <c:f>'Normalized Monthly Data Summ'!$A$2:$A$121</c:f>
              <c:numCache>
                <c:formatCode>mmm\-yy</c:formatCode>
                <c:ptCount val="120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</c:numCache>
            </c:numRef>
          </c:cat>
          <c:val>
            <c:numRef>
              <c:f>'Normalized Monthly Data Summ'!$C$2:$C$121</c:f>
              <c:numCache>
                <c:formatCode>_-* #,##0_-;\-* #,##0_-;_-* "-"??_-;_-@_-</c:formatCode>
                <c:ptCount val="120"/>
                <c:pt idx="0">
                  <c:v>16432360.530000001</c:v>
                </c:pt>
                <c:pt idx="1">
                  <c:v>15254915.93</c:v>
                </c:pt>
                <c:pt idx="2">
                  <c:v>14730427.050000001</c:v>
                </c:pt>
                <c:pt idx="3">
                  <c:v>11361311.199999999</c:v>
                </c:pt>
                <c:pt idx="4">
                  <c:v>10639715.810000001</c:v>
                </c:pt>
                <c:pt idx="5">
                  <c:v>9655562.2699999996</c:v>
                </c:pt>
                <c:pt idx="6">
                  <c:v>10846451.32</c:v>
                </c:pt>
                <c:pt idx="7">
                  <c:v>10694433.439999999</c:v>
                </c:pt>
                <c:pt idx="8">
                  <c:v>10191889.76</c:v>
                </c:pt>
                <c:pt idx="9">
                  <c:v>12347060.369999999</c:v>
                </c:pt>
                <c:pt idx="10">
                  <c:v>12995676.43</c:v>
                </c:pt>
                <c:pt idx="11">
                  <c:v>15518992.219999999</c:v>
                </c:pt>
                <c:pt idx="12">
                  <c:v>17027640.539999999</c:v>
                </c:pt>
                <c:pt idx="13">
                  <c:v>16669380.510000002</c:v>
                </c:pt>
                <c:pt idx="14">
                  <c:v>14934754.379999999</c:v>
                </c:pt>
                <c:pt idx="15">
                  <c:v>12687457.810000002</c:v>
                </c:pt>
                <c:pt idx="16">
                  <c:v>10985339.710000001</c:v>
                </c:pt>
                <c:pt idx="17">
                  <c:v>9760012.7799999993</c:v>
                </c:pt>
                <c:pt idx="18">
                  <c:v>10363539.75</c:v>
                </c:pt>
                <c:pt idx="19">
                  <c:v>10623681.955423476</c:v>
                </c:pt>
                <c:pt idx="20">
                  <c:v>9937765.4600000009</c:v>
                </c:pt>
                <c:pt idx="21">
                  <c:v>11018147.890000001</c:v>
                </c:pt>
                <c:pt idx="22">
                  <c:v>13301022.960000001</c:v>
                </c:pt>
                <c:pt idx="23">
                  <c:v>16610853.84</c:v>
                </c:pt>
                <c:pt idx="24">
                  <c:v>16747623.760000002</c:v>
                </c:pt>
                <c:pt idx="25">
                  <c:v>16220989.899999999</c:v>
                </c:pt>
                <c:pt idx="26">
                  <c:v>16185519.129999999</c:v>
                </c:pt>
                <c:pt idx="27">
                  <c:v>12384878.220000001</c:v>
                </c:pt>
                <c:pt idx="28">
                  <c:v>11570573.57</c:v>
                </c:pt>
                <c:pt idx="29">
                  <c:v>10031531.33</c:v>
                </c:pt>
                <c:pt idx="30">
                  <c:v>10603201.34</c:v>
                </c:pt>
                <c:pt idx="31">
                  <c:v>10275407.85</c:v>
                </c:pt>
                <c:pt idx="32">
                  <c:v>9957791.7799999993</c:v>
                </c:pt>
                <c:pt idx="33">
                  <c:v>11903930.970000001</c:v>
                </c:pt>
                <c:pt idx="34">
                  <c:v>13578501.350000001</c:v>
                </c:pt>
                <c:pt idx="35">
                  <c:v>18362207.48</c:v>
                </c:pt>
                <c:pt idx="36">
                  <c:v>18881349</c:v>
                </c:pt>
                <c:pt idx="37">
                  <c:v>15951302.32</c:v>
                </c:pt>
                <c:pt idx="38">
                  <c:v>15986795.57</c:v>
                </c:pt>
                <c:pt idx="39">
                  <c:v>12817613.51</c:v>
                </c:pt>
                <c:pt idx="40">
                  <c:v>11557935.369999999</c:v>
                </c:pt>
                <c:pt idx="41">
                  <c:v>10386431.49</c:v>
                </c:pt>
                <c:pt idx="42">
                  <c:v>10790837.5</c:v>
                </c:pt>
                <c:pt idx="43">
                  <c:v>11118670.27</c:v>
                </c:pt>
                <c:pt idx="44">
                  <c:v>10133781.59</c:v>
                </c:pt>
                <c:pt idx="45">
                  <c:v>13000847.74</c:v>
                </c:pt>
                <c:pt idx="46">
                  <c:v>12805137.380000001</c:v>
                </c:pt>
                <c:pt idx="47">
                  <c:v>17322151.559999999</c:v>
                </c:pt>
                <c:pt idx="48">
                  <c:v>17283128.699999999</c:v>
                </c:pt>
                <c:pt idx="49">
                  <c:v>14874695.649999999</c:v>
                </c:pt>
                <c:pt idx="50">
                  <c:v>13997010.93</c:v>
                </c:pt>
                <c:pt idx="51">
                  <c:v>10847949.960000001</c:v>
                </c:pt>
                <c:pt idx="52">
                  <c:v>10080566.119999999</c:v>
                </c:pt>
                <c:pt idx="53">
                  <c:v>9283863.4100000001</c:v>
                </c:pt>
                <c:pt idx="54">
                  <c:v>10277037.66</c:v>
                </c:pt>
                <c:pt idx="55">
                  <c:v>10298675.939999999</c:v>
                </c:pt>
                <c:pt idx="56">
                  <c:v>9789881.8000000007</c:v>
                </c:pt>
                <c:pt idx="57">
                  <c:v>10854951.359999999</c:v>
                </c:pt>
                <c:pt idx="58">
                  <c:v>12307817.600000001</c:v>
                </c:pt>
                <c:pt idx="59">
                  <c:v>16509634.079999998</c:v>
                </c:pt>
                <c:pt idx="60">
                  <c:v>18210954.41</c:v>
                </c:pt>
                <c:pt idx="61">
                  <c:v>15275983.57</c:v>
                </c:pt>
                <c:pt idx="62">
                  <c:v>14923502.969999999</c:v>
                </c:pt>
                <c:pt idx="63">
                  <c:v>12118407.5</c:v>
                </c:pt>
                <c:pt idx="64">
                  <c:v>10132000.65</c:v>
                </c:pt>
                <c:pt idx="65">
                  <c:v>9032152.8599999994</c:v>
                </c:pt>
                <c:pt idx="66">
                  <c:v>10244088.84</c:v>
                </c:pt>
                <c:pt idx="67">
                  <c:v>10453709.460000001</c:v>
                </c:pt>
                <c:pt idx="68">
                  <c:v>9912883.3800000008</c:v>
                </c:pt>
                <c:pt idx="69">
                  <c:v>10981342.77</c:v>
                </c:pt>
                <c:pt idx="70">
                  <c:v>12396977.68</c:v>
                </c:pt>
                <c:pt idx="71">
                  <c:v>15364156.579999998</c:v>
                </c:pt>
                <c:pt idx="72">
                  <c:v>16257178</c:v>
                </c:pt>
                <c:pt idx="73">
                  <c:v>14151568</c:v>
                </c:pt>
                <c:pt idx="74">
                  <c:v>13453783</c:v>
                </c:pt>
                <c:pt idx="75">
                  <c:v>11682191</c:v>
                </c:pt>
                <c:pt idx="76">
                  <c:v>10307176</c:v>
                </c:pt>
                <c:pt idx="77">
                  <c:v>9779424</c:v>
                </c:pt>
                <c:pt idx="78">
                  <c:v>10817789</c:v>
                </c:pt>
                <c:pt idx="79">
                  <c:v>10717021</c:v>
                </c:pt>
                <c:pt idx="80">
                  <c:v>10163216</c:v>
                </c:pt>
                <c:pt idx="81">
                  <c:v>11586791</c:v>
                </c:pt>
                <c:pt idx="82">
                  <c:v>13032681</c:v>
                </c:pt>
                <c:pt idx="83">
                  <c:v>15521871</c:v>
                </c:pt>
                <c:pt idx="84">
                  <c:v>16693786</c:v>
                </c:pt>
                <c:pt idx="85">
                  <c:v>15174191</c:v>
                </c:pt>
                <c:pt idx="86">
                  <c:v>14601438</c:v>
                </c:pt>
                <c:pt idx="87">
                  <c:v>13150077</c:v>
                </c:pt>
                <c:pt idx="88">
                  <c:v>10553126</c:v>
                </c:pt>
                <c:pt idx="89">
                  <c:v>9632056</c:v>
                </c:pt>
                <c:pt idx="90">
                  <c:v>10454381</c:v>
                </c:pt>
                <c:pt idx="91">
                  <c:v>10345419</c:v>
                </c:pt>
                <c:pt idx="92">
                  <c:v>10224461</c:v>
                </c:pt>
                <c:pt idx="93">
                  <c:v>12045684</c:v>
                </c:pt>
                <c:pt idx="94">
                  <c:v>14228773</c:v>
                </c:pt>
                <c:pt idx="95">
                  <c:v>18557256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Summ'!$A$2:$A$121</c:f>
              <c:numCache>
                <c:formatCode>mmm\-yy</c:formatCode>
                <c:ptCount val="120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</c:numCache>
            </c:numRef>
          </c:cat>
          <c:val>
            <c:numRef>
              <c:f>'Normalized Monthly Data Summ'!$D$2:$D$121</c:f>
              <c:numCache>
                <c:formatCode>General</c:formatCode>
                <c:ptCount val="120"/>
                <c:pt idx="0">
                  <c:v>17490396.553281426</c:v>
                </c:pt>
                <c:pt idx="1">
                  <c:v>15979584.491596151</c:v>
                </c:pt>
                <c:pt idx="2">
                  <c:v>15496812.336256936</c:v>
                </c:pt>
                <c:pt idx="3">
                  <c:v>12562372.779882666</c:v>
                </c:pt>
                <c:pt idx="4">
                  <c:v>11355780.351213217</c:v>
                </c:pt>
                <c:pt idx="5">
                  <c:v>10210261.12373759</c:v>
                </c:pt>
                <c:pt idx="6">
                  <c:v>9780390.0186187383</c:v>
                </c:pt>
                <c:pt idx="7">
                  <c:v>10045321.17115088</c:v>
                </c:pt>
                <c:pt idx="8">
                  <c:v>10136521.928203579</c:v>
                </c:pt>
                <c:pt idx="9">
                  <c:v>11867645.425905567</c:v>
                </c:pt>
                <c:pt idx="10">
                  <c:v>13811014.281546282</c:v>
                </c:pt>
                <c:pt idx="11">
                  <c:v>15802129.734256234</c:v>
                </c:pt>
                <c:pt idx="12">
                  <c:v>17611115.722293213</c:v>
                </c:pt>
                <c:pt idx="13">
                  <c:v>15979584.491596151</c:v>
                </c:pt>
                <c:pt idx="14">
                  <c:v>15376093.16724515</c:v>
                </c:pt>
                <c:pt idx="15">
                  <c:v>12683091.948894452</c:v>
                </c:pt>
                <c:pt idx="16">
                  <c:v>11355780.351213217</c:v>
                </c:pt>
                <c:pt idx="17">
                  <c:v>10089541.954725806</c:v>
                </c:pt>
                <c:pt idx="18">
                  <c:v>9901109.187630523</c:v>
                </c:pt>
                <c:pt idx="19">
                  <c:v>10045321.17115088</c:v>
                </c:pt>
                <c:pt idx="20">
                  <c:v>10015802.759191792</c:v>
                </c:pt>
                <c:pt idx="21">
                  <c:v>11988364.594917351</c:v>
                </c:pt>
                <c:pt idx="22">
                  <c:v>13811014.281546282</c:v>
                </c:pt>
                <c:pt idx="23">
                  <c:v>15802129.734256234</c:v>
                </c:pt>
                <c:pt idx="24">
                  <c:v>17611115.722293213</c:v>
                </c:pt>
                <c:pt idx="25">
                  <c:v>15979584.491596151</c:v>
                </c:pt>
                <c:pt idx="26">
                  <c:v>15013935.660209792</c:v>
                </c:pt>
                <c:pt idx="27">
                  <c:v>13045249.45592981</c:v>
                </c:pt>
                <c:pt idx="28">
                  <c:v>11235061.18220143</c:v>
                </c:pt>
                <c:pt idx="29">
                  <c:v>10089541.954725806</c:v>
                </c:pt>
                <c:pt idx="30">
                  <c:v>10021828.35664231</c:v>
                </c:pt>
                <c:pt idx="31">
                  <c:v>9803882.8331273086</c:v>
                </c:pt>
                <c:pt idx="32">
                  <c:v>10257241.097215366</c:v>
                </c:pt>
                <c:pt idx="33">
                  <c:v>11988364.594917351</c:v>
                </c:pt>
                <c:pt idx="34">
                  <c:v>13569575.94352271</c:v>
                </c:pt>
                <c:pt idx="35">
                  <c:v>16043568.072279807</c:v>
                </c:pt>
                <c:pt idx="36">
                  <c:v>17490396.553281426</c:v>
                </c:pt>
                <c:pt idx="37">
                  <c:v>15858865.322584365</c:v>
                </c:pt>
                <c:pt idx="38">
                  <c:v>15376093.16724515</c:v>
                </c:pt>
                <c:pt idx="39">
                  <c:v>12803811.117906239</c:v>
                </c:pt>
                <c:pt idx="40">
                  <c:v>11114342.013189645</c:v>
                </c:pt>
                <c:pt idx="41">
                  <c:v>10210261.12373759</c:v>
                </c:pt>
                <c:pt idx="42">
                  <c:v>10021828.35664231</c:v>
                </c:pt>
                <c:pt idx="43">
                  <c:v>9803882.8331273086</c:v>
                </c:pt>
                <c:pt idx="44">
                  <c:v>10257241.097215366</c:v>
                </c:pt>
                <c:pt idx="45">
                  <c:v>11867645.425905567</c:v>
                </c:pt>
                <c:pt idx="46">
                  <c:v>13690295.112534497</c:v>
                </c:pt>
                <c:pt idx="47">
                  <c:v>16043568.072279807</c:v>
                </c:pt>
                <c:pt idx="48">
                  <c:v>17369677.38426964</c:v>
                </c:pt>
                <c:pt idx="49">
                  <c:v>15858865.322584365</c:v>
                </c:pt>
                <c:pt idx="50">
                  <c:v>15496812.336256936</c:v>
                </c:pt>
                <c:pt idx="51">
                  <c:v>12803811.117906239</c:v>
                </c:pt>
                <c:pt idx="52">
                  <c:v>11114342.013189645</c:v>
                </c:pt>
                <c:pt idx="53">
                  <c:v>10210261.12373759</c:v>
                </c:pt>
                <c:pt idx="54">
                  <c:v>9901109.187630523</c:v>
                </c:pt>
                <c:pt idx="55">
                  <c:v>9924602.0021390952</c:v>
                </c:pt>
                <c:pt idx="56">
                  <c:v>10257241.097215366</c:v>
                </c:pt>
                <c:pt idx="57">
                  <c:v>11746926.25689378</c:v>
                </c:pt>
                <c:pt idx="58">
                  <c:v>13811014.281546282</c:v>
                </c:pt>
                <c:pt idx="59">
                  <c:v>16043568.072279807</c:v>
                </c:pt>
                <c:pt idx="60">
                  <c:v>17369677.38426964</c:v>
                </c:pt>
                <c:pt idx="61">
                  <c:v>15858865.322584365</c:v>
                </c:pt>
                <c:pt idx="62">
                  <c:v>15496812.336256936</c:v>
                </c:pt>
                <c:pt idx="63">
                  <c:v>12683091.948894452</c:v>
                </c:pt>
                <c:pt idx="64">
                  <c:v>11235061.18220143</c:v>
                </c:pt>
                <c:pt idx="65">
                  <c:v>10210261.12373759</c:v>
                </c:pt>
                <c:pt idx="66">
                  <c:v>9780390.0186187383</c:v>
                </c:pt>
                <c:pt idx="67">
                  <c:v>10045321.17115088</c:v>
                </c:pt>
                <c:pt idx="68">
                  <c:v>10257241.097215366</c:v>
                </c:pt>
                <c:pt idx="69">
                  <c:v>11746926.25689378</c:v>
                </c:pt>
                <c:pt idx="70">
                  <c:v>13811014.281546282</c:v>
                </c:pt>
                <c:pt idx="71">
                  <c:v>15922848.903268021</c:v>
                </c:pt>
                <c:pt idx="72">
                  <c:v>17490396.553281426</c:v>
                </c:pt>
                <c:pt idx="73">
                  <c:v>15979584.491596151</c:v>
                </c:pt>
                <c:pt idx="74">
                  <c:v>15376093.16724515</c:v>
                </c:pt>
                <c:pt idx="75">
                  <c:v>12683091.948894452</c:v>
                </c:pt>
                <c:pt idx="76">
                  <c:v>11355780.351213217</c:v>
                </c:pt>
                <c:pt idx="77">
                  <c:v>10089541.954725806</c:v>
                </c:pt>
                <c:pt idx="78">
                  <c:v>9901109.187630523</c:v>
                </c:pt>
                <c:pt idx="79">
                  <c:v>10045321.17115088</c:v>
                </c:pt>
                <c:pt idx="80">
                  <c:v>10015802.759191792</c:v>
                </c:pt>
                <c:pt idx="81">
                  <c:v>11988364.594917351</c:v>
                </c:pt>
                <c:pt idx="82">
                  <c:v>13811014.281546282</c:v>
                </c:pt>
                <c:pt idx="83">
                  <c:v>15802129.734256234</c:v>
                </c:pt>
                <c:pt idx="84">
                  <c:v>17611115.722293213</c:v>
                </c:pt>
                <c:pt idx="85">
                  <c:v>15858865.322584365</c:v>
                </c:pt>
                <c:pt idx="86">
                  <c:v>15134654.829221578</c:v>
                </c:pt>
                <c:pt idx="87">
                  <c:v>12924530.286918025</c:v>
                </c:pt>
                <c:pt idx="88">
                  <c:v>11355780.351213217</c:v>
                </c:pt>
                <c:pt idx="89">
                  <c:v>9968822.7857140191</c:v>
                </c:pt>
                <c:pt idx="90">
                  <c:v>10021828.35664231</c:v>
                </c:pt>
                <c:pt idx="91">
                  <c:v>9924602.0021390952</c:v>
                </c:pt>
                <c:pt idx="92">
                  <c:v>10136521.928203579</c:v>
                </c:pt>
                <c:pt idx="93">
                  <c:v>11988364.594917351</c:v>
                </c:pt>
                <c:pt idx="94">
                  <c:v>13690295.112534497</c:v>
                </c:pt>
                <c:pt idx="95">
                  <c:v>15922848.903268021</c:v>
                </c:pt>
                <c:pt idx="96">
                  <c:v>17611115.722293213</c:v>
                </c:pt>
                <c:pt idx="97">
                  <c:v>15858865.322584365</c:v>
                </c:pt>
                <c:pt idx="98">
                  <c:v>15255373.998233363</c:v>
                </c:pt>
                <c:pt idx="99">
                  <c:v>12803811.117906239</c:v>
                </c:pt>
                <c:pt idx="100">
                  <c:v>11235061.18220143</c:v>
                </c:pt>
                <c:pt idx="101">
                  <c:v>10089541.954725806</c:v>
                </c:pt>
                <c:pt idx="102">
                  <c:v>10021828.35664231</c:v>
                </c:pt>
                <c:pt idx="103">
                  <c:v>9803882.8331273086</c:v>
                </c:pt>
                <c:pt idx="104">
                  <c:v>10257241.097215366</c:v>
                </c:pt>
                <c:pt idx="105">
                  <c:v>11988364.594917351</c:v>
                </c:pt>
                <c:pt idx="106">
                  <c:v>13569575.94352271</c:v>
                </c:pt>
                <c:pt idx="107">
                  <c:v>16043568.072279807</c:v>
                </c:pt>
                <c:pt idx="108">
                  <c:v>17490396.553281426</c:v>
                </c:pt>
                <c:pt idx="109">
                  <c:v>15858865.322584365</c:v>
                </c:pt>
                <c:pt idx="110">
                  <c:v>15376093.16724515</c:v>
                </c:pt>
                <c:pt idx="111">
                  <c:v>12803811.117906239</c:v>
                </c:pt>
                <c:pt idx="112">
                  <c:v>11114342.013189645</c:v>
                </c:pt>
                <c:pt idx="113">
                  <c:v>10210261.12373759</c:v>
                </c:pt>
                <c:pt idx="114">
                  <c:v>10021828.35664231</c:v>
                </c:pt>
                <c:pt idx="115">
                  <c:v>9803882.8331273086</c:v>
                </c:pt>
                <c:pt idx="116">
                  <c:v>10257241.097215366</c:v>
                </c:pt>
                <c:pt idx="117">
                  <c:v>11867645.425905567</c:v>
                </c:pt>
                <c:pt idx="118">
                  <c:v>13690295.112534497</c:v>
                </c:pt>
                <c:pt idx="119">
                  <c:v>16043568.072279807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91456"/>
        <c:axId val="134292992"/>
      </c:lineChart>
      <c:dateAx>
        <c:axId val="134291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4292992"/>
        <c:crosses val="autoZero"/>
        <c:auto val="1"/>
        <c:lblOffset val="100"/>
        <c:baseTimeUnit val="months"/>
      </c:dateAx>
      <c:valAx>
        <c:axId val="134292992"/>
        <c:scaling>
          <c:orientation val="minMax"/>
          <c:max val="18881349"/>
          <c:min val="9032152.8599999994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34291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[API_Load Forecast Model_20140821_JT1_6_7.xlsx]NormalizedAnnualDataSumm!PivotTable1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WSL2 </c:v>
                </c:pt>
              </c:strCache>
            </c:strRef>
          </c:tx>
          <c:marker>
            <c:symbol val="none"/>
          </c:marker>
          <c:cat>
            <c:strRef>
              <c:f>NormalizedAnnualDataSumm!$A$4:$A$13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NormalizedAnnualDataSumm!$B$4:$B$13</c:f>
              <c:numCache>
                <c:formatCode>#,##0_ ;[Red]\-#,##0\ </c:formatCode>
                <c:ptCount val="10"/>
                <c:pt idx="0">
                  <c:v>150668796.33000001</c:v>
                </c:pt>
                <c:pt idx="1">
                  <c:v>153919597.58542347</c:v>
                </c:pt>
                <c:pt idx="2">
                  <c:v>157822156.67999998</c:v>
                </c:pt>
                <c:pt idx="3">
                  <c:v>160752853.29999998</c:v>
                </c:pt>
                <c:pt idx="4">
                  <c:v>146405213.20999998</c:v>
                </c:pt>
                <c:pt idx="5">
                  <c:v>149046160.67000002</c:v>
                </c:pt>
                <c:pt idx="6">
                  <c:v>147470689</c:v>
                </c:pt>
                <c:pt idx="7">
                  <c:v>155660648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NormalizedAnnualDataSumm!$C$4:$C$13</c:f>
              <c:numCache>
                <c:formatCode>#,##0_ ;[Red]\-#,##0\ </c:formatCode>
                <c:ptCount val="10"/>
                <c:pt idx="0">
                  <c:v>154538230.19564927</c:v>
                </c:pt>
                <c:pt idx="1">
                  <c:v>154658949.36466107</c:v>
                </c:pt>
                <c:pt idx="2">
                  <c:v>154658949.36466107</c:v>
                </c:pt>
                <c:pt idx="3">
                  <c:v>154538230.19564927</c:v>
                </c:pt>
                <c:pt idx="4">
                  <c:v>154538230.19564927</c:v>
                </c:pt>
                <c:pt idx="5">
                  <c:v>154417511.02663746</c:v>
                </c:pt>
                <c:pt idx="6">
                  <c:v>154538230.19564927</c:v>
                </c:pt>
                <c:pt idx="7">
                  <c:v>154538230.19564927</c:v>
                </c:pt>
                <c:pt idx="8">
                  <c:v>154538230.19564927</c:v>
                </c:pt>
                <c:pt idx="9">
                  <c:v>154538230.19564927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16736"/>
        <c:axId val="134518272"/>
      </c:lineChart>
      <c:catAx>
        <c:axId val="13451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34518272"/>
        <c:crosses val="autoZero"/>
        <c:auto val="1"/>
        <c:lblAlgn val="ctr"/>
        <c:lblOffset val="100"/>
        <c:noMultiLvlLbl val="0"/>
      </c:catAx>
      <c:valAx>
        <c:axId val="13451827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3451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5</xdr:row>
          <xdr:rowOff>95250</xdr:rowOff>
        </xdr:from>
        <xdr:to>
          <xdr:col>11</xdr:col>
          <xdr:colOff>76200</xdr:colOff>
          <xdr:row>7</xdr:row>
          <xdr:rowOff>142875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Build Base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9</xdr:row>
          <xdr:rowOff>19050</xdr:rowOff>
        </xdr:from>
        <xdr:to>
          <xdr:col>11</xdr:col>
          <xdr:colOff>66675</xdr:colOff>
          <xdr:row>11</xdr:row>
          <xdr:rowOff>104775</xdr:rowOff>
        </xdr:to>
        <xdr:sp macro="" textlink="">
          <xdr:nvSpPr>
            <xdr:cNvPr id="13315" name="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Create Normalized 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</xdr:row>
          <xdr:rowOff>19050</xdr:rowOff>
        </xdr:from>
        <xdr:to>
          <xdr:col>10</xdr:col>
          <xdr:colOff>590550</xdr:colOff>
          <xdr:row>3</xdr:row>
          <xdr:rowOff>180975</xdr:rowOff>
        </xdr:to>
        <xdr:sp macro="" textlink="">
          <xdr:nvSpPr>
            <xdr:cNvPr id="13316" name="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Start Fresh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</xdr:row>
          <xdr:rowOff>47625</xdr:rowOff>
        </xdr:from>
        <xdr:to>
          <xdr:col>15</xdr:col>
          <xdr:colOff>114300</xdr:colOff>
          <xdr:row>5</xdr:row>
          <xdr:rowOff>180975</xdr:rowOff>
        </xdr:to>
        <xdr:sp macro="" textlink="">
          <xdr:nvSpPr>
            <xdr:cNvPr id="13318" name="Button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OLS Presentation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8</xdr:row>
          <xdr:rowOff>47625</xdr:rowOff>
        </xdr:from>
        <xdr:to>
          <xdr:col>16</xdr:col>
          <xdr:colOff>9525</xdr:colOff>
          <xdr:row>10</xdr:row>
          <xdr:rowOff>161925</xdr:rowOff>
        </xdr:to>
        <xdr:sp macro="" textlink="">
          <xdr:nvSpPr>
            <xdr:cNvPr id="13320" name="Button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Make xlsx for submission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4</xdr:row>
      <xdr:rowOff>138112</xdr:rowOff>
    </xdr:from>
    <xdr:to>
      <xdr:col>12</xdr:col>
      <xdr:colOff>285750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4</xdr:row>
      <xdr:rowOff>147637</xdr:rowOff>
    </xdr:from>
    <xdr:to>
      <xdr:col>12</xdr:col>
      <xdr:colOff>142875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4</xdr:row>
      <xdr:rowOff>147637</xdr:rowOff>
    </xdr:from>
    <xdr:to>
      <xdr:col>13</xdr:col>
      <xdr:colOff>38100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147637</xdr:rowOff>
    </xdr:from>
    <xdr:to>
      <xdr:col>11</xdr:col>
      <xdr:colOff>95250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4</xdr:row>
      <xdr:rowOff>147637</xdr:rowOff>
    </xdr:from>
    <xdr:to>
      <xdr:col>12</xdr:col>
      <xdr:colOff>523875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ARCHIVE\Load%20Forecast\Load%20Forecast%20-%20MB\Algoma\Application%20Filer\Application\Exhibit%201\EX01T06S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OPA Results"/>
      <sheetName val="2015 CDM Target"/>
      <sheetName val="2015 Load Forecast Adjustment"/>
      <sheetName val="Adjustment To Load Forecast"/>
      <sheetName val="LRAMVA Allocation"/>
      <sheetName val="Annual Summary by Class"/>
      <sheetName val="CDM Target By LDC"/>
      <sheetName val="Sheet1"/>
    </sheetNames>
    <sheetDataSet>
      <sheetData sheetId="0">
        <row r="5">
          <cell r="B5" t="str">
            <v xml:space="preserve">Algoma Power Inc.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w Frank" refreshedDate="41871.640077199074" createdVersion="4" refreshedVersion="4" minRefreshableVersion="3" recordCount="96">
  <cacheSource type="worksheet">
    <worksheetSource ref="A1:E97" sheet="Predicted Monthly Data Summ"/>
  </cacheSource>
  <cacheFields count="6">
    <cacheField name="Date" numFmtId="17">
      <sharedItems containsSemiMixedTypes="0" containsNonDate="0" containsDate="1" containsString="0" minDate="2006-01-01T00:00:00" maxDate="2013-12-02T00:00:00"/>
    </cacheField>
    <cacheField name="Year" numFmtId="0">
      <sharedItems containsSemiMixedTypes="0" containsString="0" containsNumber="1" containsInteger="1" minValue="2006" maxValue="2013" count="8">
        <n v="2006"/>
        <n v="2007"/>
        <n v="2008"/>
        <n v="2009"/>
        <n v="2010"/>
        <n v="2011"/>
        <n v="2012"/>
        <n v="2013"/>
      </sharedItems>
    </cacheField>
    <cacheField name="WSL2" numFmtId="167">
      <sharedItems containsSemiMixedTypes="0" containsString="0" containsNumber="1" minValue="9032152.8599999994" maxValue="18881349"/>
    </cacheField>
    <cacheField name="Predicted Value" numFmtId="0">
      <sharedItems containsSemiMixedTypes="0" containsString="0" containsNumber="1" minValue="9084270.6766951662" maxValue="18322739.337845091"/>
    </cacheField>
    <cacheField name="Absolute % Error" numFmtId="165">
      <sharedItems containsSemiMixedTypes="0" containsString="0" containsNumber="1" minValue="7.8465331348169726E-4" maxValue="0.15060642106773092"/>
    </cacheField>
    <cacheField name="Absolute % Error " numFmtId="0" formula=" ABS('Predicted Value'-WSL2)/WSL2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drew Frank" refreshedDate="41871.640125694445" createdVersion="4" refreshedVersion="4" minRefreshableVersion="3" recordCount="96">
  <cacheSource type="worksheet">
    <worksheetSource ref="A1:E97" sheet="Predicted Monthly Data Summ"/>
  </cacheSource>
  <cacheFields count="5">
    <cacheField name="Date" numFmtId="17">
      <sharedItems containsSemiMixedTypes="0" containsNonDate="0" containsDate="1" containsString="0" minDate="2006-01-01T00:00:00" maxDate="2013-12-02T00:00:00"/>
    </cacheField>
    <cacheField name="Year" numFmtId="0">
      <sharedItems containsSemiMixedTypes="0" containsString="0" containsNumber="1" containsInteger="1" minValue="2006" maxValue="2013" count="8">
        <n v="2006"/>
        <n v="2007"/>
        <n v="2008"/>
        <n v="2009"/>
        <n v="2010"/>
        <n v="2011"/>
        <n v="2012"/>
        <n v="2013"/>
      </sharedItems>
    </cacheField>
    <cacheField name="WSL2" numFmtId="167">
      <sharedItems containsSemiMixedTypes="0" containsString="0" containsNumber="1" minValue="9032152.8599999994" maxValue="18881349"/>
    </cacheField>
    <cacheField name="Predicted Value" numFmtId="0">
      <sharedItems containsSemiMixedTypes="0" containsString="0" containsNumber="1" minValue="9084270.6766951662" maxValue="18322739.337845091"/>
    </cacheField>
    <cacheField name="Absolute % Error" numFmtId="165">
      <sharedItems containsSemiMixedTypes="0" containsString="0" containsNumber="1" minValue="7.8465331348169726E-4" maxValue="0.150606421067730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ndrew Frank" refreshedDate="41871.649407870369" createdVersion="4" refreshedVersion="4" minRefreshableVersion="3" recordCount="120">
  <cacheSource type="worksheet">
    <worksheetSource ref="A1:D121" sheet="Normalized Monthly Data Summ"/>
  </cacheSource>
  <cacheFields count="4">
    <cacheField name="Date" numFmtId="17">
      <sharedItems containsSemiMixedTypes="0" containsNonDate="0" containsDate="1" containsString="0" minDate="2006-01-01T00:00:00" maxDate="2015-12-02T00:00:00"/>
    </cacheField>
    <cacheField name="Year" numFmtId="0">
      <sharedItems containsSemiMixedTypes="0" containsString="0" containsNumber="1" containsInteger="1" minValue="2006" maxValue="2015" count="10"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WSL2" numFmtId="167">
      <sharedItems containsString="0" containsBlank="1" containsNumber="1" minValue="9032152.8599999994" maxValue="18881349"/>
    </cacheField>
    <cacheField name="Normalized Value" numFmtId="0">
      <sharedItems containsSemiMixedTypes="0" containsString="0" containsNumber="1" minValue="9780390.0186187383" maxValue="17611115.7222932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d v="2006-01-01T00:00:00"/>
    <x v="0"/>
    <n v="16432360.530000001"/>
    <n v="15655835.452796314"/>
    <n v="4.72558446965676E-2"/>
  </r>
  <r>
    <d v="2006-02-01T00:00:00"/>
    <x v="0"/>
    <n v="15254915.93"/>
    <n v="16295060.861390691"/>
    <n v="6.8184245404143085E-2"/>
  </r>
  <r>
    <d v="2006-03-01T00:00:00"/>
    <x v="0"/>
    <n v="14730427.050000001"/>
    <n v="14980229.836024901"/>
    <n v="1.6958285403198825E-2"/>
  </r>
  <r>
    <d v="2006-04-01T00:00:00"/>
    <x v="0"/>
    <n v="11361311.199999999"/>
    <n v="11827081.447913662"/>
    <n v="4.0996170223174803E-2"/>
  </r>
  <r>
    <d v="2006-05-01T00:00:00"/>
    <x v="0"/>
    <n v="10639715.810000001"/>
    <n v="10945388.312903095"/>
    <n v="2.8729386043920519E-2"/>
  </r>
  <r>
    <d v="2006-06-01T00:00:00"/>
    <x v="0"/>
    <n v="9655562.2699999996"/>
    <n v="9840511.2679419294"/>
    <n v="1.9154658503582916E-2"/>
  </r>
  <r>
    <d v="2006-07-01T00:00:00"/>
    <x v="0"/>
    <n v="10846451.32"/>
    <n v="10506383.068298398"/>
    <n v="3.1352950533649997E-2"/>
  </r>
  <r>
    <d v="2006-08-01T00:00:00"/>
    <x v="0"/>
    <n v="10694433.439999999"/>
    <n v="9746062.6505700946"/>
    <n v="8.8678918313030791E-2"/>
  </r>
  <r>
    <d v="2006-09-01T00:00:00"/>
    <x v="0"/>
    <n v="10191889.76"/>
    <n v="10260776.904253118"/>
    <n v="6.7590158327142233E-3"/>
  </r>
  <r>
    <d v="2006-10-01T00:00:00"/>
    <x v="0"/>
    <n v="12347060.369999999"/>
    <n v="12356748.531831078"/>
    <n v="7.8465331348169726E-4"/>
  </r>
  <r>
    <d v="2006-11-01T00:00:00"/>
    <x v="0"/>
    <n v="12995676.43"/>
    <n v="13285677.749754025"/>
    <n v="2.2315215473091381E-2"/>
  </r>
  <r>
    <d v="2006-12-01T00:00:00"/>
    <x v="0"/>
    <n v="15518992.219999999"/>
    <n v="14749090.716195988"/>
    <n v="4.9610277065014946E-2"/>
  </r>
  <r>
    <d v="2007-01-01T00:00:00"/>
    <x v="1"/>
    <n v="17027640.539999999"/>
    <n v="16936818.696708664"/>
    <n v="5.3337890871012483E-3"/>
  </r>
  <r>
    <d v="2007-02-01T00:00:00"/>
    <x v="1"/>
    <n v="16669380.510000002"/>
    <n v="17110841.964624204"/>
    <n v="2.6483374973615144E-2"/>
  </r>
  <r>
    <d v="2007-03-01T00:00:00"/>
    <x v="1"/>
    <n v="14934754.379999999"/>
    <n v="15240902.528501637"/>
    <n v="2.0499041411194494E-2"/>
  </r>
  <r>
    <d v="2007-04-01T00:00:00"/>
    <x v="1"/>
    <n v="12687457.810000002"/>
    <n v="12799544.228190139"/>
    <n v="8.8344268701167437E-3"/>
  </r>
  <r>
    <d v="2007-05-01T00:00:00"/>
    <x v="1"/>
    <n v="10985339.710000001"/>
    <n v="11169556.575677212"/>
    <n v="1.6769337183948716E-2"/>
  </r>
  <r>
    <d v="2007-06-01T00:00:00"/>
    <x v="1"/>
    <n v="9760012.7799999993"/>
    <n v="10007451.231503546"/>
    <n v="2.5352267162046374E-2"/>
  </r>
  <r>
    <d v="2007-07-01T00:00:00"/>
    <x v="1"/>
    <n v="10363539.75"/>
    <n v="10275407.958420753"/>
    <n v="8.5040240791517709E-3"/>
  </r>
  <r>
    <d v="2007-08-01T00:00:00"/>
    <x v="1"/>
    <n v="10623681.955423476"/>
    <n v="9770858.1387753151"/>
    <n v="8.0275729283554795E-2"/>
  </r>
  <r>
    <d v="2007-09-01T00:00:00"/>
    <x v="1"/>
    <n v="9937765.4600000009"/>
    <n v="9905840.446371533"/>
    <n v="3.2124941725549553E-3"/>
  </r>
  <r>
    <d v="2007-10-01T00:00:00"/>
    <x v="1"/>
    <n v="11018147.890000001"/>
    <n v="11254742.427782884"/>
    <n v="2.1473167736077943E-2"/>
  </r>
  <r>
    <d v="2007-11-01T00:00:00"/>
    <x v="1"/>
    <n v="13301022.960000001"/>
    <n v="14082531.217181658"/>
    <n v="5.875550019963708E-2"/>
  </r>
  <r>
    <d v="2007-12-01T00:00:00"/>
    <x v="1"/>
    <n v="16610853.84"/>
    <n v="16251944.999183021"/>
    <n v="2.160688693513773E-2"/>
  </r>
  <r>
    <d v="2008-01-01T00:00:00"/>
    <x v="2"/>
    <n v="16747623.760000002"/>
    <n v="16643440.341717495"/>
    <n v="6.2207880816703386E-3"/>
  </r>
  <r>
    <d v="2008-02-01T00:00:00"/>
    <x v="2"/>
    <n v="16220989.899999999"/>
    <n v="16592224.743543038"/>
    <n v="2.2886078212960338E-2"/>
  </r>
  <r>
    <d v="2008-03-01T00:00:00"/>
    <x v="2"/>
    <n v="16185519.129999999"/>
    <n v="15947210.062708318"/>
    <n v="1.4723597394536009E-2"/>
  </r>
  <r>
    <d v="2008-04-01T00:00:00"/>
    <x v="2"/>
    <n v="12384878.220000001"/>
    <n v="12741508.220334917"/>
    <n v="2.8795600085837311E-2"/>
  </r>
  <r>
    <d v="2008-05-01T00:00:00"/>
    <x v="2"/>
    <n v="11570573.57"/>
    <n v="11824881.965685792"/>
    <n v="2.1978892761648286E-2"/>
  </r>
  <r>
    <d v="2008-06-01T00:00:00"/>
    <x v="2"/>
    <n v="10031531.33"/>
    <n v="9828732.2766219564"/>
    <n v="2.021616109312831E-2"/>
  </r>
  <r>
    <d v="2008-07-01T00:00:00"/>
    <x v="2"/>
    <n v="10603201.34"/>
    <n v="9452180.9507381879"/>
    <n v="0.10855404442049499"/>
  </r>
  <r>
    <d v="2008-08-01T00:00:00"/>
    <x v="2"/>
    <n v="10275407.85"/>
    <n v="9084270.6766951662"/>
    <n v="0.11592115765067501"/>
  </r>
  <r>
    <d v="2008-09-01T00:00:00"/>
    <x v="2"/>
    <n v="9957791.7799999993"/>
    <n v="10449050.35397334"/>
    <n v="4.9334087800472257E-2"/>
  </r>
  <r>
    <d v="2008-10-01T00:00:00"/>
    <x v="2"/>
    <n v="11903930.970000001"/>
    <n v="12013740.623598753"/>
    <n v="9.2246547695455823E-3"/>
  </r>
  <r>
    <d v="2008-11-01T00:00:00"/>
    <x v="2"/>
    <n v="13578501.350000001"/>
    <n v="13474843.126314269"/>
    <n v="7.6339959038065784E-3"/>
  </r>
  <r>
    <d v="2008-12-01T00:00:00"/>
    <x v="2"/>
    <n v="18362207.48"/>
    <n v="17217365.40678158"/>
    <n v="6.2347736483501497E-2"/>
  </r>
  <r>
    <d v="2009-01-01T00:00:00"/>
    <x v="3"/>
    <n v="18881349"/>
    <n v="18322739.337845091"/>
    <n v="2.9585262268861681E-2"/>
  </r>
  <r>
    <d v="2009-02-01T00:00:00"/>
    <x v="3"/>
    <n v="15951302.32"/>
    <n v="15887588.009919792"/>
    <n v="3.9943014558956637E-3"/>
  </r>
  <r>
    <d v="2009-03-01T00:00:00"/>
    <x v="3"/>
    <n v="15986795.57"/>
    <n v="15420715.068657516"/>
    <n v="3.5409253772204503E-2"/>
  </r>
  <r>
    <d v="2009-04-01T00:00:00"/>
    <x v="3"/>
    <n v="12817613.51"/>
    <n v="12681775.186047813"/>
    <n v="1.0597785917496185E-2"/>
  </r>
  <r>
    <d v="2009-05-01T00:00:00"/>
    <x v="3"/>
    <n v="11557935.369999999"/>
    <n v="11531921.31084048"/>
    <n v="2.2507531256007666E-3"/>
  </r>
  <r>
    <d v="2009-06-01T00:00:00"/>
    <x v="3"/>
    <n v="10386431.49"/>
    <n v="10594547.061472751"/>
    <n v="2.0037254534738279E-2"/>
  </r>
  <r>
    <d v="2009-07-01T00:00:00"/>
    <x v="3"/>
    <n v="10790837.5"/>
    <n v="9836116.124132026"/>
    <n v="8.8475187942360728E-2"/>
  </r>
  <r>
    <d v="2009-08-01T00:00:00"/>
    <x v="3"/>
    <n v="11118670.27"/>
    <n v="10039892.250297021"/>
    <n v="9.7024013978874696E-2"/>
  </r>
  <r>
    <d v="2009-09-01T00:00:00"/>
    <x v="3"/>
    <n v="10133781.59"/>
    <n v="9780697.298650533"/>
    <n v="3.4842303261981677E-2"/>
  </r>
  <r>
    <d v="2009-10-01T00:00:00"/>
    <x v="3"/>
    <n v="13000847.74"/>
    <n v="12516687.054390781"/>
    <n v="3.7240701167477838E-2"/>
  </r>
  <r>
    <d v="2009-11-01T00:00:00"/>
    <x v="3"/>
    <n v="12805137.380000001"/>
    <n v="12672840.049789306"/>
    <n v="1.0331582261454428E-2"/>
  </r>
  <r>
    <d v="2009-12-01T00:00:00"/>
    <x v="3"/>
    <n v="17322151.559999999"/>
    <n v="16444171.484111298"/>
    <n v="5.0685393950490341E-2"/>
  </r>
  <r>
    <d v="2010-01-01T00:00:00"/>
    <x v="4"/>
    <n v="17283128.699999999"/>
    <n v="16711468.849120095"/>
    <n v="3.3076178555558861E-2"/>
  </r>
  <r>
    <d v="2010-02-01T00:00:00"/>
    <x v="4"/>
    <n v="14874695.649999999"/>
    <n v="15396415.860757153"/>
    <n v="3.50743452527148E-2"/>
  </r>
  <r>
    <d v="2010-03-01T00:00:00"/>
    <x v="4"/>
    <n v="13997010.93"/>
    <n v="13655295.329613158"/>
    <n v="2.4413469568308841E-2"/>
  </r>
  <r>
    <d v="2010-04-01T00:00:00"/>
    <x v="4"/>
    <n v="10847949.960000001"/>
    <n v="11810157.557186946"/>
    <n v="8.86994870675957E-2"/>
  </r>
  <r>
    <d v="2010-05-01T00:00:00"/>
    <x v="4"/>
    <n v="10080566.119999999"/>
    <n v="10966151.579943774"/>
    <n v="8.7850766455145793E-2"/>
  </r>
  <r>
    <d v="2010-06-01T00:00:00"/>
    <x v="4"/>
    <n v="9283863.4100000001"/>
    <n v="9713725.5487393178"/>
    <n v="4.6302074875024218E-2"/>
  </r>
  <r>
    <d v="2010-07-01T00:00:00"/>
    <x v="4"/>
    <n v="10277037.66"/>
    <n v="9387216.4440017492"/>
    <n v="8.6583434393900136E-2"/>
  </r>
  <r>
    <d v="2010-08-01T00:00:00"/>
    <x v="4"/>
    <n v="10298675.939999999"/>
    <n v="11849722.665059749"/>
    <n v="0.15060642106773092"/>
  </r>
  <r>
    <d v="2010-09-01T00:00:00"/>
    <x v="4"/>
    <n v="9789881.8000000007"/>
    <n v="10405806.166346986"/>
    <n v="6.2914382311233322E-2"/>
  </r>
  <r>
    <d v="2010-10-01T00:00:00"/>
    <x v="4"/>
    <n v="10854951.359999999"/>
    <n v="11673878.579384595"/>
    <n v="7.5442735045530021E-2"/>
  </r>
  <r>
    <d v="2010-11-01T00:00:00"/>
    <x v="4"/>
    <n v="12307817.600000001"/>
    <n v="13488203.452876963"/>
    <n v="9.5905374229543428E-2"/>
  </r>
  <r>
    <d v="2010-12-01T00:00:00"/>
    <x v="4"/>
    <n v="16509634.079999998"/>
    <n v="16146061.220168658"/>
    <n v="2.2021860573625787E-2"/>
  </r>
  <r>
    <d v="2011-01-01T00:00:00"/>
    <x v="5"/>
    <n v="18210954.41"/>
    <n v="17919052.013535365"/>
    <n v="1.6028945539743114E-2"/>
  </r>
  <r>
    <d v="2011-02-01T00:00:00"/>
    <x v="5"/>
    <n v="15275983.57"/>
    <n v="15890427.155290674"/>
    <n v="4.0222849316057109E-2"/>
  </r>
  <r>
    <d v="2011-03-01T00:00:00"/>
    <x v="5"/>
    <n v="14923502.969999999"/>
    <n v="15976769.861204589"/>
    <n v="7.0577725170954952E-2"/>
  </r>
  <r>
    <d v="2011-04-01T00:00:00"/>
    <x v="5"/>
    <n v="12118407.5"/>
    <n v="12950965.314637195"/>
    <n v="6.870191604277999E-2"/>
  </r>
  <r>
    <d v="2011-05-01T00:00:00"/>
    <x v="5"/>
    <n v="10132000.65"/>
    <n v="10823207.926281076"/>
    <n v="6.8220216338130177E-2"/>
  </r>
  <r>
    <d v="2011-06-01T00:00:00"/>
    <x v="5"/>
    <n v="9032152.8599999994"/>
    <n v="9649525.2492217049"/>
    <n v="6.8352739240698096E-2"/>
  </r>
  <r>
    <d v="2011-07-01T00:00:00"/>
    <x v="5"/>
    <n v="10244088.84"/>
    <n v="9680332.5101172514"/>
    <n v="5.5032354627915198E-2"/>
  </r>
  <r>
    <d v="2011-08-01T00:00:00"/>
    <x v="5"/>
    <n v="10453709.460000001"/>
    <n v="9749635.634115288"/>
    <n v="6.7351577789566075E-2"/>
  </r>
  <r>
    <d v="2011-09-01T00:00:00"/>
    <x v="5"/>
    <n v="9912883.3800000008"/>
    <n v="10120886.366074864"/>
    <n v="2.0983096249727391E-2"/>
  </r>
  <r>
    <d v="2011-10-01T00:00:00"/>
    <x v="5"/>
    <n v="10981342.77"/>
    <n v="11270690.496022509"/>
    <n v="2.6349029629871928E-2"/>
  </r>
  <r>
    <d v="2011-11-01T00:00:00"/>
    <x v="5"/>
    <n v="12396977.68"/>
    <n v="13298927.094818143"/>
    <n v="7.2755589152447633E-2"/>
  </r>
  <r>
    <d v="2011-12-01T00:00:00"/>
    <x v="5"/>
    <n v="15364156.579999998"/>
    <n v="15585274.518670116"/>
    <n v="1.4391804556193702E-2"/>
  </r>
  <r>
    <d v="2012-01-01T00:00:00"/>
    <x v="6"/>
    <n v="16257178"/>
    <n v="16497168.864367768"/>
    <n v="1.4762147795131983E-2"/>
  </r>
  <r>
    <d v="2012-02-01T00:00:00"/>
    <x v="6"/>
    <n v="14151568"/>
    <n v="15079906.642653065"/>
    <n v="6.5599701930772955E-2"/>
  </r>
  <r>
    <d v="2012-03-01T00:00:00"/>
    <x v="6"/>
    <n v="13453783"/>
    <n v="13505238.325102257"/>
    <n v="3.8245990070046925E-3"/>
  </r>
  <r>
    <d v="2012-04-01T00:00:00"/>
    <x v="6"/>
    <n v="11682191"/>
    <n v="12527932.654375732"/>
    <n v="7.2395807804865708E-2"/>
  </r>
  <r>
    <d v="2012-05-01T00:00:00"/>
    <x v="6"/>
    <n v="10307176"/>
    <n v="11000669.071034506"/>
    <n v="6.72825486859355E-2"/>
  </r>
  <r>
    <d v="2012-06-01T00:00:00"/>
    <x v="6"/>
    <n v="9779424"/>
    <n v="10161918.974696655"/>
    <n v="3.911221915489653E-2"/>
  </r>
  <r>
    <d v="2012-07-01T00:00:00"/>
    <x v="6"/>
    <n v="10817789"/>
    <n v="10034832.389787666"/>
    <n v="7.2376768507162931E-2"/>
  </r>
  <r>
    <d v="2012-08-01T00:00:00"/>
    <x v="6"/>
    <n v="10717021"/>
    <n v="10174319.073644558"/>
    <n v="5.0639251929751938E-2"/>
  </r>
  <r>
    <d v="2012-09-01T00:00:00"/>
    <x v="6"/>
    <n v="10163216"/>
    <n v="10461118.114223"/>
    <n v="2.9311796012502309E-2"/>
  </r>
  <r>
    <d v="2012-10-01T00:00:00"/>
    <x v="6"/>
    <n v="11586791"/>
    <n v="11973992.588406401"/>
    <n v="3.3417500014145486E-2"/>
  </r>
  <r>
    <d v="2012-11-01T00:00:00"/>
    <x v="6"/>
    <n v="13032681"/>
    <n v="13753190.35415931"/>
    <n v="5.5284814702309559E-2"/>
  </r>
  <r>
    <d v="2012-12-01T00:00:00"/>
    <x v="6"/>
    <n v="15521871"/>
    <n v="15376541.843160976"/>
    <n v="9.3628633325856317E-3"/>
  </r>
  <r>
    <d v="2013-01-01T00:00:00"/>
    <x v="7"/>
    <n v="16693786"/>
    <n v="15783179.294340158"/>
    <n v="5.4547644594212609E-2"/>
  </r>
  <r>
    <d v="2013-02-01T00:00:00"/>
    <x v="7"/>
    <n v="15174191"/>
    <n v="14570224.557830403"/>
    <n v="3.9802216946497999E-2"/>
  </r>
  <r>
    <d v="2013-03-01T00:00:00"/>
    <x v="7"/>
    <n v="14601438"/>
    <n v="14921860.883673951"/>
    <n v="2.1944611460456911E-2"/>
  </r>
  <r>
    <d v="2013-04-01T00:00:00"/>
    <x v="7"/>
    <n v="13150077"/>
    <n v="13117639.491227534"/>
    <n v="2.4667162612406249E-3"/>
  </r>
  <r>
    <d v="2013-05-01T00:00:00"/>
    <x v="7"/>
    <n v="10553126"/>
    <n v="11279348.35433053"/>
    <n v="6.8815851751464957E-2"/>
  </r>
  <r>
    <d v="2013-06-01T00:00:00"/>
    <x v="7"/>
    <n v="9632056"/>
    <n v="9681035.481097186"/>
    <n v="5.085049453323982E-3"/>
  </r>
  <r>
    <d v="2013-07-01T00:00:00"/>
    <x v="7"/>
    <n v="10454381"/>
    <n v="9976862.0446146596"/>
    <n v="4.5676444677627527E-2"/>
  </r>
  <r>
    <d v="2013-08-01T00:00:00"/>
    <x v="7"/>
    <n v="10345419"/>
    <n v="10236251.590159535"/>
    <n v="1.0552246345987977E-2"/>
  </r>
  <r>
    <d v="2013-09-01T00:00:00"/>
    <x v="7"/>
    <n v="10224461"/>
    <n v="9750830.7815069817"/>
    <n v="4.6323245645224553E-2"/>
  </r>
  <r>
    <d v="2013-10-01T00:00:00"/>
    <x v="7"/>
    <n v="12045684"/>
    <n v="11462946.421647586"/>
    <n v="4.8377292510115161E-2"/>
  </r>
  <r>
    <d v="2013-11-01T00:00:00"/>
    <x v="7"/>
    <n v="14228773"/>
    <n v="13820801.16141605"/>
    <n v="2.8672313388086939E-2"/>
  </r>
  <r>
    <d v="2013-12-01T00:00:00"/>
    <x v="7"/>
    <n v="18557256"/>
    <n v="16224082.227118634"/>
    <n v="0.125728382088459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6">
  <r>
    <d v="2006-01-01T00:00:00"/>
    <x v="0"/>
    <n v="16432360.530000001"/>
    <n v="15655835.452796314"/>
    <n v="4.72558446965676E-2"/>
  </r>
  <r>
    <d v="2006-02-01T00:00:00"/>
    <x v="0"/>
    <n v="15254915.93"/>
    <n v="16295060.861390691"/>
    <n v="6.8184245404143085E-2"/>
  </r>
  <r>
    <d v="2006-03-01T00:00:00"/>
    <x v="0"/>
    <n v="14730427.050000001"/>
    <n v="14980229.836024901"/>
    <n v="1.6958285403198825E-2"/>
  </r>
  <r>
    <d v="2006-04-01T00:00:00"/>
    <x v="0"/>
    <n v="11361311.199999999"/>
    <n v="11827081.447913662"/>
    <n v="4.0996170223174803E-2"/>
  </r>
  <r>
    <d v="2006-05-01T00:00:00"/>
    <x v="0"/>
    <n v="10639715.810000001"/>
    <n v="10945388.312903095"/>
    <n v="2.8729386043920519E-2"/>
  </r>
  <r>
    <d v="2006-06-01T00:00:00"/>
    <x v="0"/>
    <n v="9655562.2699999996"/>
    <n v="9840511.2679419294"/>
    <n v="1.9154658503582916E-2"/>
  </r>
  <r>
    <d v="2006-07-01T00:00:00"/>
    <x v="0"/>
    <n v="10846451.32"/>
    <n v="10506383.068298398"/>
    <n v="3.1352950533649997E-2"/>
  </r>
  <r>
    <d v="2006-08-01T00:00:00"/>
    <x v="0"/>
    <n v="10694433.439999999"/>
    <n v="9746062.6505700946"/>
    <n v="8.8678918313030791E-2"/>
  </r>
  <r>
    <d v="2006-09-01T00:00:00"/>
    <x v="0"/>
    <n v="10191889.76"/>
    <n v="10260776.904253118"/>
    <n v="6.7590158327142233E-3"/>
  </r>
  <r>
    <d v="2006-10-01T00:00:00"/>
    <x v="0"/>
    <n v="12347060.369999999"/>
    <n v="12356748.531831078"/>
    <n v="7.8465331348169726E-4"/>
  </r>
  <r>
    <d v="2006-11-01T00:00:00"/>
    <x v="0"/>
    <n v="12995676.43"/>
    <n v="13285677.749754025"/>
    <n v="2.2315215473091381E-2"/>
  </r>
  <r>
    <d v="2006-12-01T00:00:00"/>
    <x v="0"/>
    <n v="15518992.219999999"/>
    <n v="14749090.716195988"/>
    <n v="4.9610277065014946E-2"/>
  </r>
  <r>
    <d v="2007-01-01T00:00:00"/>
    <x v="1"/>
    <n v="17027640.539999999"/>
    <n v="16936818.696708664"/>
    <n v="5.3337890871012483E-3"/>
  </r>
  <r>
    <d v="2007-02-01T00:00:00"/>
    <x v="1"/>
    <n v="16669380.510000002"/>
    <n v="17110841.964624204"/>
    <n v="2.6483374973615144E-2"/>
  </r>
  <r>
    <d v="2007-03-01T00:00:00"/>
    <x v="1"/>
    <n v="14934754.379999999"/>
    <n v="15240902.528501637"/>
    <n v="2.0499041411194494E-2"/>
  </r>
  <r>
    <d v="2007-04-01T00:00:00"/>
    <x v="1"/>
    <n v="12687457.810000002"/>
    <n v="12799544.228190139"/>
    <n v="8.8344268701167437E-3"/>
  </r>
  <r>
    <d v="2007-05-01T00:00:00"/>
    <x v="1"/>
    <n v="10985339.710000001"/>
    <n v="11169556.575677212"/>
    <n v="1.6769337183948716E-2"/>
  </r>
  <r>
    <d v="2007-06-01T00:00:00"/>
    <x v="1"/>
    <n v="9760012.7799999993"/>
    <n v="10007451.231503546"/>
    <n v="2.5352267162046374E-2"/>
  </r>
  <r>
    <d v="2007-07-01T00:00:00"/>
    <x v="1"/>
    <n v="10363539.75"/>
    <n v="10275407.958420753"/>
    <n v="8.5040240791517709E-3"/>
  </r>
  <r>
    <d v="2007-08-01T00:00:00"/>
    <x v="1"/>
    <n v="10623681.955423476"/>
    <n v="9770858.1387753151"/>
    <n v="8.0275729283554795E-2"/>
  </r>
  <r>
    <d v="2007-09-01T00:00:00"/>
    <x v="1"/>
    <n v="9937765.4600000009"/>
    <n v="9905840.446371533"/>
    <n v="3.2124941725549553E-3"/>
  </r>
  <r>
    <d v="2007-10-01T00:00:00"/>
    <x v="1"/>
    <n v="11018147.890000001"/>
    <n v="11254742.427782884"/>
    <n v="2.1473167736077943E-2"/>
  </r>
  <r>
    <d v="2007-11-01T00:00:00"/>
    <x v="1"/>
    <n v="13301022.960000001"/>
    <n v="14082531.217181658"/>
    <n v="5.875550019963708E-2"/>
  </r>
  <r>
    <d v="2007-12-01T00:00:00"/>
    <x v="1"/>
    <n v="16610853.84"/>
    <n v="16251944.999183021"/>
    <n v="2.160688693513773E-2"/>
  </r>
  <r>
    <d v="2008-01-01T00:00:00"/>
    <x v="2"/>
    <n v="16747623.760000002"/>
    <n v="16643440.341717495"/>
    <n v="6.2207880816703386E-3"/>
  </r>
  <r>
    <d v="2008-02-01T00:00:00"/>
    <x v="2"/>
    <n v="16220989.899999999"/>
    <n v="16592224.743543038"/>
    <n v="2.2886078212960338E-2"/>
  </r>
  <r>
    <d v="2008-03-01T00:00:00"/>
    <x v="2"/>
    <n v="16185519.129999999"/>
    <n v="15947210.062708318"/>
    <n v="1.4723597394536009E-2"/>
  </r>
  <r>
    <d v="2008-04-01T00:00:00"/>
    <x v="2"/>
    <n v="12384878.220000001"/>
    <n v="12741508.220334917"/>
    <n v="2.8795600085837311E-2"/>
  </r>
  <r>
    <d v="2008-05-01T00:00:00"/>
    <x v="2"/>
    <n v="11570573.57"/>
    <n v="11824881.965685792"/>
    <n v="2.1978892761648286E-2"/>
  </r>
  <r>
    <d v="2008-06-01T00:00:00"/>
    <x v="2"/>
    <n v="10031531.33"/>
    <n v="9828732.2766219564"/>
    <n v="2.021616109312831E-2"/>
  </r>
  <r>
    <d v="2008-07-01T00:00:00"/>
    <x v="2"/>
    <n v="10603201.34"/>
    <n v="9452180.9507381879"/>
    <n v="0.10855404442049499"/>
  </r>
  <r>
    <d v="2008-08-01T00:00:00"/>
    <x v="2"/>
    <n v="10275407.85"/>
    <n v="9084270.6766951662"/>
    <n v="0.11592115765067501"/>
  </r>
  <r>
    <d v="2008-09-01T00:00:00"/>
    <x v="2"/>
    <n v="9957791.7799999993"/>
    <n v="10449050.35397334"/>
    <n v="4.9334087800472257E-2"/>
  </r>
  <r>
    <d v="2008-10-01T00:00:00"/>
    <x v="2"/>
    <n v="11903930.970000001"/>
    <n v="12013740.623598753"/>
    <n v="9.2246547695455823E-3"/>
  </r>
  <r>
    <d v="2008-11-01T00:00:00"/>
    <x v="2"/>
    <n v="13578501.350000001"/>
    <n v="13474843.126314269"/>
    <n v="7.6339959038065784E-3"/>
  </r>
  <r>
    <d v="2008-12-01T00:00:00"/>
    <x v="2"/>
    <n v="18362207.48"/>
    <n v="17217365.40678158"/>
    <n v="6.2347736483501497E-2"/>
  </r>
  <r>
    <d v="2009-01-01T00:00:00"/>
    <x v="3"/>
    <n v="18881349"/>
    <n v="18322739.337845091"/>
    <n v="2.9585262268861681E-2"/>
  </r>
  <r>
    <d v="2009-02-01T00:00:00"/>
    <x v="3"/>
    <n v="15951302.32"/>
    <n v="15887588.009919792"/>
    <n v="3.9943014558956637E-3"/>
  </r>
  <r>
    <d v="2009-03-01T00:00:00"/>
    <x v="3"/>
    <n v="15986795.57"/>
    <n v="15420715.068657516"/>
    <n v="3.5409253772204503E-2"/>
  </r>
  <r>
    <d v="2009-04-01T00:00:00"/>
    <x v="3"/>
    <n v="12817613.51"/>
    <n v="12681775.186047813"/>
    <n v="1.0597785917496185E-2"/>
  </r>
  <r>
    <d v="2009-05-01T00:00:00"/>
    <x v="3"/>
    <n v="11557935.369999999"/>
    <n v="11531921.31084048"/>
    <n v="2.2507531256007666E-3"/>
  </r>
  <r>
    <d v="2009-06-01T00:00:00"/>
    <x v="3"/>
    <n v="10386431.49"/>
    <n v="10594547.061472751"/>
    <n v="2.0037254534738279E-2"/>
  </r>
  <r>
    <d v="2009-07-01T00:00:00"/>
    <x v="3"/>
    <n v="10790837.5"/>
    <n v="9836116.124132026"/>
    <n v="8.8475187942360728E-2"/>
  </r>
  <r>
    <d v="2009-08-01T00:00:00"/>
    <x v="3"/>
    <n v="11118670.27"/>
    <n v="10039892.250297021"/>
    <n v="9.7024013978874696E-2"/>
  </r>
  <r>
    <d v="2009-09-01T00:00:00"/>
    <x v="3"/>
    <n v="10133781.59"/>
    <n v="9780697.298650533"/>
    <n v="3.4842303261981677E-2"/>
  </r>
  <r>
    <d v="2009-10-01T00:00:00"/>
    <x v="3"/>
    <n v="13000847.74"/>
    <n v="12516687.054390781"/>
    <n v="3.7240701167477838E-2"/>
  </r>
  <r>
    <d v="2009-11-01T00:00:00"/>
    <x v="3"/>
    <n v="12805137.380000001"/>
    <n v="12672840.049789306"/>
    <n v="1.0331582261454428E-2"/>
  </r>
  <r>
    <d v="2009-12-01T00:00:00"/>
    <x v="3"/>
    <n v="17322151.559999999"/>
    <n v="16444171.484111298"/>
    <n v="5.0685393950490341E-2"/>
  </r>
  <r>
    <d v="2010-01-01T00:00:00"/>
    <x v="4"/>
    <n v="17283128.699999999"/>
    <n v="16711468.849120095"/>
    <n v="3.3076178555558861E-2"/>
  </r>
  <r>
    <d v="2010-02-01T00:00:00"/>
    <x v="4"/>
    <n v="14874695.649999999"/>
    <n v="15396415.860757153"/>
    <n v="3.50743452527148E-2"/>
  </r>
  <r>
    <d v="2010-03-01T00:00:00"/>
    <x v="4"/>
    <n v="13997010.93"/>
    <n v="13655295.329613158"/>
    <n v="2.4413469568308841E-2"/>
  </r>
  <r>
    <d v="2010-04-01T00:00:00"/>
    <x v="4"/>
    <n v="10847949.960000001"/>
    <n v="11810157.557186946"/>
    <n v="8.86994870675957E-2"/>
  </r>
  <r>
    <d v="2010-05-01T00:00:00"/>
    <x v="4"/>
    <n v="10080566.119999999"/>
    <n v="10966151.579943774"/>
    <n v="8.7850766455145793E-2"/>
  </r>
  <r>
    <d v="2010-06-01T00:00:00"/>
    <x v="4"/>
    <n v="9283863.4100000001"/>
    <n v="9713725.5487393178"/>
    <n v="4.6302074875024218E-2"/>
  </r>
  <r>
    <d v="2010-07-01T00:00:00"/>
    <x v="4"/>
    <n v="10277037.66"/>
    <n v="9387216.4440017492"/>
    <n v="8.6583434393900136E-2"/>
  </r>
  <r>
    <d v="2010-08-01T00:00:00"/>
    <x v="4"/>
    <n v="10298675.939999999"/>
    <n v="11849722.665059749"/>
    <n v="0.15060642106773092"/>
  </r>
  <r>
    <d v="2010-09-01T00:00:00"/>
    <x v="4"/>
    <n v="9789881.8000000007"/>
    <n v="10405806.166346986"/>
    <n v="6.2914382311233322E-2"/>
  </r>
  <r>
    <d v="2010-10-01T00:00:00"/>
    <x v="4"/>
    <n v="10854951.359999999"/>
    <n v="11673878.579384595"/>
    <n v="7.5442735045530021E-2"/>
  </r>
  <r>
    <d v="2010-11-01T00:00:00"/>
    <x v="4"/>
    <n v="12307817.600000001"/>
    <n v="13488203.452876963"/>
    <n v="9.5905374229543428E-2"/>
  </r>
  <r>
    <d v="2010-12-01T00:00:00"/>
    <x v="4"/>
    <n v="16509634.079999998"/>
    <n v="16146061.220168658"/>
    <n v="2.2021860573625787E-2"/>
  </r>
  <r>
    <d v="2011-01-01T00:00:00"/>
    <x v="5"/>
    <n v="18210954.41"/>
    <n v="17919052.013535365"/>
    <n v="1.6028945539743114E-2"/>
  </r>
  <r>
    <d v="2011-02-01T00:00:00"/>
    <x v="5"/>
    <n v="15275983.57"/>
    <n v="15890427.155290674"/>
    <n v="4.0222849316057109E-2"/>
  </r>
  <r>
    <d v="2011-03-01T00:00:00"/>
    <x v="5"/>
    <n v="14923502.969999999"/>
    <n v="15976769.861204589"/>
    <n v="7.0577725170954952E-2"/>
  </r>
  <r>
    <d v="2011-04-01T00:00:00"/>
    <x v="5"/>
    <n v="12118407.5"/>
    <n v="12950965.314637195"/>
    <n v="6.870191604277999E-2"/>
  </r>
  <r>
    <d v="2011-05-01T00:00:00"/>
    <x v="5"/>
    <n v="10132000.65"/>
    <n v="10823207.926281076"/>
    <n v="6.8220216338130177E-2"/>
  </r>
  <r>
    <d v="2011-06-01T00:00:00"/>
    <x v="5"/>
    <n v="9032152.8599999994"/>
    <n v="9649525.2492217049"/>
    <n v="6.8352739240698096E-2"/>
  </r>
  <r>
    <d v="2011-07-01T00:00:00"/>
    <x v="5"/>
    <n v="10244088.84"/>
    <n v="9680332.5101172514"/>
    <n v="5.5032354627915198E-2"/>
  </r>
  <r>
    <d v="2011-08-01T00:00:00"/>
    <x v="5"/>
    <n v="10453709.460000001"/>
    <n v="9749635.634115288"/>
    <n v="6.7351577789566075E-2"/>
  </r>
  <r>
    <d v="2011-09-01T00:00:00"/>
    <x v="5"/>
    <n v="9912883.3800000008"/>
    <n v="10120886.366074864"/>
    <n v="2.0983096249727391E-2"/>
  </r>
  <r>
    <d v="2011-10-01T00:00:00"/>
    <x v="5"/>
    <n v="10981342.77"/>
    <n v="11270690.496022509"/>
    <n v="2.6349029629871928E-2"/>
  </r>
  <r>
    <d v="2011-11-01T00:00:00"/>
    <x v="5"/>
    <n v="12396977.68"/>
    <n v="13298927.094818143"/>
    <n v="7.2755589152447633E-2"/>
  </r>
  <r>
    <d v="2011-12-01T00:00:00"/>
    <x v="5"/>
    <n v="15364156.579999998"/>
    <n v="15585274.518670116"/>
    <n v="1.4391804556193702E-2"/>
  </r>
  <r>
    <d v="2012-01-01T00:00:00"/>
    <x v="6"/>
    <n v="16257178"/>
    <n v="16497168.864367768"/>
    <n v="1.4762147795131983E-2"/>
  </r>
  <r>
    <d v="2012-02-01T00:00:00"/>
    <x v="6"/>
    <n v="14151568"/>
    <n v="15079906.642653065"/>
    <n v="6.5599701930772955E-2"/>
  </r>
  <r>
    <d v="2012-03-01T00:00:00"/>
    <x v="6"/>
    <n v="13453783"/>
    <n v="13505238.325102257"/>
    <n v="3.8245990070046925E-3"/>
  </r>
  <r>
    <d v="2012-04-01T00:00:00"/>
    <x v="6"/>
    <n v="11682191"/>
    <n v="12527932.654375732"/>
    <n v="7.2395807804865708E-2"/>
  </r>
  <r>
    <d v="2012-05-01T00:00:00"/>
    <x v="6"/>
    <n v="10307176"/>
    <n v="11000669.071034506"/>
    <n v="6.72825486859355E-2"/>
  </r>
  <r>
    <d v="2012-06-01T00:00:00"/>
    <x v="6"/>
    <n v="9779424"/>
    <n v="10161918.974696655"/>
    <n v="3.911221915489653E-2"/>
  </r>
  <r>
    <d v="2012-07-01T00:00:00"/>
    <x v="6"/>
    <n v="10817789"/>
    <n v="10034832.389787666"/>
    <n v="7.2376768507162931E-2"/>
  </r>
  <r>
    <d v="2012-08-01T00:00:00"/>
    <x v="6"/>
    <n v="10717021"/>
    <n v="10174319.073644558"/>
    <n v="5.0639251929751938E-2"/>
  </r>
  <r>
    <d v="2012-09-01T00:00:00"/>
    <x v="6"/>
    <n v="10163216"/>
    <n v="10461118.114223"/>
    <n v="2.9311796012502309E-2"/>
  </r>
  <r>
    <d v="2012-10-01T00:00:00"/>
    <x v="6"/>
    <n v="11586791"/>
    <n v="11973992.588406401"/>
    <n v="3.3417500014145486E-2"/>
  </r>
  <r>
    <d v="2012-11-01T00:00:00"/>
    <x v="6"/>
    <n v="13032681"/>
    <n v="13753190.35415931"/>
    <n v="5.5284814702309559E-2"/>
  </r>
  <r>
    <d v="2012-12-01T00:00:00"/>
    <x v="6"/>
    <n v="15521871"/>
    <n v="15376541.843160976"/>
    <n v="9.3628633325856317E-3"/>
  </r>
  <r>
    <d v="2013-01-01T00:00:00"/>
    <x v="7"/>
    <n v="16693786"/>
    <n v="15783179.294340158"/>
    <n v="5.4547644594212609E-2"/>
  </r>
  <r>
    <d v="2013-02-01T00:00:00"/>
    <x v="7"/>
    <n v="15174191"/>
    <n v="14570224.557830403"/>
    <n v="3.9802216946497999E-2"/>
  </r>
  <r>
    <d v="2013-03-01T00:00:00"/>
    <x v="7"/>
    <n v="14601438"/>
    <n v="14921860.883673951"/>
    <n v="2.1944611460456911E-2"/>
  </r>
  <r>
    <d v="2013-04-01T00:00:00"/>
    <x v="7"/>
    <n v="13150077"/>
    <n v="13117639.491227534"/>
    <n v="2.4667162612406249E-3"/>
  </r>
  <r>
    <d v="2013-05-01T00:00:00"/>
    <x v="7"/>
    <n v="10553126"/>
    <n v="11279348.35433053"/>
    <n v="6.8815851751464957E-2"/>
  </r>
  <r>
    <d v="2013-06-01T00:00:00"/>
    <x v="7"/>
    <n v="9632056"/>
    <n v="9681035.481097186"/>
    <n v="5.085049453323982E-3"/>
  </r>
  <r>
    <d v="2013-07-01T00:00:00"/>
    <x v="7"/>
    <n v="10454381"/>
    <n v="9976862.0446146596"/>
    <n v="4.5676444677627527E-2"/>
  </r>
  <r>
    <d v="2013-08-01T00:00:00"/>
    <x v="7"/>
    <n v="10345419"/>
    <n v="10236251.590159535"/>
    <n v="1.0552246345987977E-2"/>
  </r>
  <r>
    <d v="2013-09-01T00:00:00"/>
    <x v="7"/>
    <n v="10224461"/>
    <n v="9750830.7815069817"/>
    <n v="4.6323245645224553E-2"/>
  </r>
  <r>
    <d v="2013-10-01T00:00:00"/>
    <x v="7"/>
    <n v="12045684"/>
    <n v="11462946.421647586"/>
    <n v="4.8377292510115161E-2"/>
  </r>
  <r>
    <d v="2013-11-01T00:00:00"/>
    <x v="7"/>
    <n v="14228773"/>
    <n v="13820801.16141605"/>
    <n v="2.8672313388086939E-2"/>
  </r>
  <r>
    <d v="2013-12-01T00:00:00"/>
    <x v="7"/>
    <n v="18557256"/>
    <n v="16224082.227118634"/>
    <n v="0.1257283820884599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0">
  <r>
    <d v="2006-01-01T00:00:00"/>
    <x v="0"/>
    <n v="16432360.530000001"/>
    <n v="17490396.553281426"/>
  </r>
  <r>
    <d v="2006-02-01T00:00:00"/>
    <x v="0"/>
    <n v="15254915.93"/>
    <n v="15979584.491596151"/>
  </r>
  <r>
    <d v="2006-03-01T00:00:00"/>
    <x v="0"/>
    <n v="14730427.050000001"/>
    <n v="15496812.336256936"/>
  </r>
  <r>
    <d v="2006-04-01T00:00:00"/>
    <x v="0"/>
    <n v="11361311.199999999"/>
    <n v="12562372.779882666"/>
  </r>
  <r>
    <d v="2006-05-01T00:00:00"/>
    <x v="0"/>
    <n v="10639715.810000001"/>
    <n v="11355780.351213217"/>
  </r>
  <r>
    <d v="2006-06-01T00:00:00"/>
    <x v="0"/>
    <n v="9655562.2699999996"/>
    <n v="10210261.12373759"/>
  </r>
  <r>
    <d v="2006-07-01T00:00:00"/>
    <x v="0"/>
    <n v="10846451.32"/>
    <n v="9780390.0186187383"/>
  </r>
  <r>
    <d v="2006-08-01T00:00:00"/>
    <x v="0"/>
    <n v="10694433.439999999"/>
    <n v="10045321.17115088"/>
  </r>
  <r>
    <d v="2006-09-01T00:00:00"/>
    <x v="0"/>
    <n v="10191889.76"/>
    <n v="10136521.928203579"/>
  </r>
  <r>
    <d v="2006-10-01T00:00:00"/>
    <x v="0"/>
    <n v="12347060.369999999"/>
    <n v="11867645.425905567"/>
  </r>
  <r>
    <d v="2006-11-01T00:00:00"/>
    <x v="0"/>
    <n v="12995676.43"/>
    <n v="13811014.281546282"/>
  </r>
  <r>
    <d v="2006-12-01T00:00:00"/>
    <x v="0"/>
    <n v="15518992.219999999"/>
    <n v="15802129.734256234"/>
  </r>
  <r>
    <d v="2007-01-01T00:00:00"/>
    <x v="1"/>
    <n v="17027640.539999999"/>
    <n v="17611115.722293213"/>
  </r>
  <r>
    <d v="2007-02-01T00:00:00"/>
    <x v="1"/>
    <n v="16669380.510000002"/>
    <n v="15979584.491596151"/>
  </r>
  <r>
    <d v="2007-03-01T00:00:00"/>
    <x v="1"/>
    <n v="14934754.379999999"/>
    <n v="15376093.16724515"/>
  </r>
  <r>
    <d v="2007-04-01T00:00:00"/>
    <x v="1"/>
    <n v="12687457.810000002"/>
    <n v="12683091.948894452"/>
  </r>
  <r>
    <d v="2007-05-01T00:00:00"/>
    <x v="1"/>
    <n v="10985339.710000001"/>
    <n v="11355780.351213217"/>
  </r>
  <r>
    <d v="2007-06-01T00:00:00"/>
    <x v="1"/>
    <n v="9760012.7799999993"/>
    <n v="10089541.954725806"/>
  </r>
  <r>
    <d v="2007-07-01T00:00:00"/>
    <x v="1"/>
    <n v="10363539.75"/>
    <n v="9901109.187630523"/>
  </r>
  <r>
    <d v="2007-08-01T00:00:00"/>
    <x v="1"/>
    <n v="10623681.955423476"/>
    <n v="10045321.17115088"/>
  </r>
  <r>
    <d v="2007-09-01T00:00:00"/>
    <x v="1"/>
    <n v="9937765.4600000009"/>
    <n v="10015802.759191792"/>
  </r>
  <r>
    <d v="2007-10-01T00:00:00"/>
    <x v="1"/>
    <n v="11018147.890000001"/>
    <n v="11988364.594917351"/>
  </r>
  <r>
    <d v="2007-11-01T00:00:00"/>
    <x v="1"/>
    <n v="13301022.960000001"/>
    <n v="13811014.281546282"/>
  </r>
  <r>
    <d v="2007-12-01T00:00:00"/>
    <x v="1"/>
    <n v="16610853.84"/>
    <n v="15802129.734256234"/>
  </r>
  <r>
    <d v="2008-01-01T00:00:00"/>
    <x v="2"/>
    <n v="16747623.760000002"/>
    <n v="17611115.722293213"/>
  </r>
  <r>
    <d v="2008-02-01T00:00:00"/>
    <x v="2"/>
    <n v="16220989.899999999"/>
    <n v="15979584.491596151"/>
  </r>
  <r>
    <d v="2008-03-01T00:00:00"/>
    <x v="2"/>
    <n v="16185519.129999999"/>
    <n v="15013935.660209792"/>
  </r>
  <r>
    <d v="2008-04-01T00:00:00"/>
    <x v="2"/>
    <n v="12384878.220000001"/>
    <n v="13045249.45592981"/>
  </r>
  <r>
    <d v="2008-05-01T00:00:00"/>
    <x v="2"/>
    <n v="11570573.57"/>
    <n v="11235061.18220143"/>
  </r>
  <r>
    <d v="2008-06-01T00:00:00"/>
    <x v="2"/>
    <n v="10031531.33"/>
    <n v="10089541.954725806"/>
  </r>
  <r>
    <d v="2008-07-01T00:00:00"/>
    <x v="2"/>
    <n v="10603201.34"/>
    <n v="10021828.35664231"/>
  </r>
  <r>
    <d v="2008-08-01T00:00:00"/>
    <x v="2"/>
    <n v="10275407.85"/>
    <n v="9803882.8331273086"/>
  </r>
  <r>
    <d v="2008-09-01T00:00:00"/>
    <x v="2"/>
    <n v="9957791.7799999993"/>
    <n v="10257241.097215366"/>
  </r>
  <r>
    <d v="2008-10-01T00:00:00"/>
    <x v="2"/>
    <n v="11903930.970000001"/>
    <n v="11988364.594917351"/>
  </r>
  <r>
    <d v="2008-11-01T00:00:00"/>
    <x v="2"/>
    <n v="13578501.350000001"/>
    <n v="13569575.94352271"/>
  </r>
  <r>
    <d v="2008-12-01T00:00:00"/>
    <x v="2"/>
    <n v="18362207.48"/>
    <n v="16043568.072279807"/>
  </r>
  <r>
    <d v="2009-01-01T00:00:00"/>
    <x v="3"/>
    <n v="18881349"/>
    <n v="17490396.553281426"/>
  </r>
  <r>
    <d v="2009-02-01T00:00:00"/>
    <x v="3"/>
    <n v="15951302.32"/>
    <n v="15858865.322584365"/>
  </r>
  <r>
    <d v="2009-03-01T00:00:00"/>
    <x v="3"/>
    <n v="15986795.57"/>
    <n v="15376093.16724515"/>
  </r>
  <r>
    <d v="2009-04-01T00:00:00"/>
    <x v="3"/>
    <n v="12817613.51"/>
    <n v="12803811.117906239"/>
  </r>
  <r>
    <d v="2009-05-01T00:00:00"/>
    <x v="3"/>
    <n v="11557935.369999999"/>
    <n v="11114342.013189645"/>
  </r>
  <r>
    <d v="2009-06-01T00:00:00"/>
    <x v="3"/>
    <n v="10386431.49"/>
    <n v="10210261.12373759"/>
  </r>
  <r>
    <d v="2009-07-01T00:00:00"/>
    <x v="3"/>
    <n v="10790837.5"/>
    <n v="10021828.35664231"/>
  </r>
  <r>
    <d v="2009-08-01T00:00:00"/>
    <x v="3"/>
    <n v="11118670.27"/>
    <n v="9803882.8331273086"/>
  </r>
  <r>
    <d v="2009-09-01T00:00:00"/>
    <x v="3"/>
    <n v="10133781.59"/>
    <n v="10257241.097215366"/>
  </r>
  <r>
    <d v="2009-10-01T00:00:00"/>
    <x v="3"/>
    <n v="13000847.74"/>
    <n v="11867645.425905567"/>
  </r>
  <r>
    <d v="2009-11-01T00:00:00"/>
    <x v="3"/>
    <n v="12805137.380000001"/>
    <n v="13690295.112534497"/>
  </r>
  <r>
    <d v="2009-12-01T00:00:00"/>
    <x v="3"/>
    <n v="17322151.559999999"/>
    <n v="16043568.072279807"/>
  </r>
  <r>
    <d v="2010-01-01T00:00:00"/>
    <x v="4"/>
    <n v="17283128.699999999"/>
    <n v="17369677.38426964"/>
  </r>
  <r>
    <d v="2010-02-01T00:00:00"/>
    <x v="4"/>
    <n v="14874695.649999999"/>
    <n v="15858865.322584365"/>
  </r>
  <r>
    <d v="2010-03-01T00:00:00"/>
    <x v="4"/>
    <n v="13997010.93"/>
    <n v="15496812.336256936"/>
  </r>
  <r>
    <d v="2010-04-01T00:00:00"/>
    <x v="4"/>
    <n v="10847949.960000001"/>
    <n v="12803811.117906239"/>
  </r>
  <r>
    <d v="2010-05-01T00:00:00"/>
    <x v="4"/>
    <n v="10080566.119999999"/>
    <n v="11114342.013189645"/>
  </r>
  <r>
    <d v="2010-06-01T00:00:00"/>
    <x v="4"/>
    <n v="9283863.4100000001"/>
    <n v="10210261.12373759"/>
  </r>
  <r>
    <d v="2010-07-01T00:00:00"/>
    <x v="4"/>
    <n v="10277037.66"/>
    <n v="9901109.187630523"/>
  </r>
  <r>
    <d v="2010-08-01T00:00:00"/>
    <x v="4"/>
    <n v="10298675.939999999"/>
    <n v="9924602.0021390952"/>
  </r>
  <r>
    <d v="2010-09-01T00:00:00"/>
    <x v="4"/>
    <n v="9789881.8000000007"/>
    <n v="10257241.097215366"/>
  </r>
  <r>
    <d v="2010-10-01T00:00:00"/>
    <x v="4"/>
    <n v="10854951.359999999"/>
    <n v="11746926.25689378"/>
  </r>
  <r>
    <d v="2010-11-01T00:00:00"/>
    <x v="4"/>
    <n v="12307817.600000001"/>
    <n v="13811014.281546282"/>
  </r>
  <r>
    <d v="2010-12-01T00:00:00"/>
    <x v="4"/>
    <n v="16509634.079999998"/>
    <n v="16043568.072279807"/>
  </r>
  <r>
    <d v="2011-01-01T00:00:00"/>
    <x v="5"/>
    <n v="18210954.41"/>
    <n v="17369677.38426964"/>
  </r>
  <r>
    <d v="2011-02-01T00:00:00"/>
    <x v="5"/>
    <n v="15275983.57"/>
    <n v="15858865.322584365"/>
  </r>
  <r>
    <d v="2011-03-01T00:00:00"/>
    <x v="5"/>
    <n v="14923502.969999999"/>
    <n v="15496812.336256936"/>
  </r>
  <r>
    <d v="2011-04-01T00:00:00"/>
    <x v="5"/>
    <n v="12118407.5"/>
    <n v="12683091.948894452"/>
  </r>
  <r>
    <d v="2011-05-01T00:00:00"/>
    <x v="5"/>
    <n v="10132000.65"/>
    <n v="11235061.18220143"/>
  </r>
  <r>
    <d v="2011-06-01T00:00:00"/>
    <x v="5"/>
    <n v="9032152.8599999994"/>
    <n v="10210261.12373759"/>
  </r>
  <r>
    <d v="2011-07-01T00:00:00"/>
    <x v="5"/>
    <n v="10244088.84"/>
    <n v="9780390.0186187383"/>
  </r>
  <r>
    <d v="2011-08-01T00:00:00"/>
    <x v="5"/>
    <n v="10453709.460000001"/>
    <n v="10045321.17115088"/>
  </r>
  <r>
    <d v="2011-09-01T00:00:00"/>
    <x v="5"/>
    <n v="9912883.3800000008"/>
    <n v="10257241.097215366"/>
  </r>
  <r>
    <d v="2011-10-01T00:00:00"/>
    <x v="5"/>
    <n v="10981342.77"/>
    <n v="11746926.25689378"/>
  </r>
  <r>
    <d v="2011-11-01T00:00:00"/>
    <x v="5"/>
    <n v="12396977.68"/>
    <n v="13811014.281546282"/>
  </r>
  <r>
    <d v="2011-12-01T00:00:00"/>
    <x v="5"/>
    <n v="15364156.579999998"/>
    <n v="15922848.903268021"/>
  </r>
  <r>
    <d v="2012-01-01T00:00:00"/>
    <x v="6"/>
    <n v="16257178"/>
    <n v="17490396.553281426"/>
  </r>
  <r>
    <d v="2012-02-01T00:00:00"/>
    <x v="6"/>
    <n v="14151568"/>
    <n v="15979584.491596151"/>
  </r>
  <r>
    <d v="2012-03-01T00:00:00"/>
    <x v="6"/>
    <n v="13453783"/>
    <n v="15376093.16724515"/>
  </r>
  <r>
    <d v="2012-04-01T00:00:00"/>
    <x v="6"/>
    <n v="11682191"/>
    <n v="12683091.948894452"/>
  </r>
  <r>
    <d v="2012-05-01T00:00:00"/>
    <x v="6"/>
    <n v="10307176"/>
    <n v="11355780.351213217"/>
  </r>
  <r>
    <d v="2012-06-01T00:00:00"/>
    <x v="6"/>
    <n v="9779424"/>
    <n v="10089541.954725806"/>
  </r>
  <r>
    <d v="2012-07-01T00:00:00"/>
    <x v="6"/>
    <n v="10817789"/>
    <n v="9901109.187630523"/>
  </r>
  <r>
    <d v="2012-08-01T00:00:00"/>
    <x v="6"/>
    <n v="10717021"/>
    <n v="10045321.17115088"/>
  </r>
  <r>
    <d v="2012-09-01T00:00:00"/>
    <x v="6"/>
    <n v="10163216"/>
    <n v="10015802.759191792"/>
  </r>
  <r>
    <d v="2012-10-01T00:00:00"/>
    <x v="6"/>
    <n v="11586791"/>
    <n v="11988364.594917351"/>
  </r>
  <r>
    <d v="2012-11-01T00:00:00"/>
    <x v="6"/>
    <n v="13032681"/>
    <n v="13811014.281546282"/>
  </r>
  <r>
    <d v="2012-12-01T00:00:00"/>
    <x v="6"/>
    <n v="15521871"/>
    <n v="15802129.734256234"/>
  </r>
  <r>
    <d v="2013-01-01T00:00:00"/>
    <x v="7"/>
    <n v="16693786"/>
    <n v="17611115.722293213"/>
  </r>
  <r>
    <d v="2013-02-01T00:00:00"/>
    <x v="7"/>
    <n v="15174191"/>
    <n v="15858865.322584365"/>
  </r>
  <r>
    <d v="2013-03-01T00:00:00"/>
    <x v="7"/>
    <n v="14601438"/>
    <n v="15134654.829221578"/>
  </r>
  <r>
    <d v="2013-04-01T00:00:00"/>
    <x v="7"/>
    <n v="13150077"/>
    <n v="12924530.286918025"/>
  </r>
  <r>
    <d v="2013-05-01T00:00:00"/>
    <x v="7"/>
    <n v="10553126"/>
    <n v="11355780.351213217"/>
  </r>
  <r>
    <d v="2013-06-01T00:00:00"/>
    <x v="7"/>
    <n v="9632056"/>
    <n v="9968822.7857140191"/>
  </r>
  <r>
    <d v="2013-07-01T00:00:00"/>
    <x v="7"/>
    <n v="10454381"/>
    <n v="10021828.35664231"/>
  </r>
  <r>
    <d v="2013-08-01T00:00:00"/>
    <x v="7"/>
    <n v="10345419"/>
    <n v="9924602.0021390952"/>
  </r>
  <r>
    <d v="2013-09-01T00:00:00"/>
    <x v="7"/>
    <n v="10224461"/>
    <n v="10136521.928203579"/>
  </r>
  <r>
    <d v="2013-10-01T00:00:00"/>
    <x v="7"/>
    <n v="12045684"/>
    <n v="11988364.594917351"/>
  </r>
  <r>
    <d v="2013-11-01T00:00:00"/>
    <x v="7"/>
    <n v="14228773"/>
    <n v="13690295.112534497"/>
  </r>
  <r>
    <d v="2013-12-01T00:00:00"/>
    <x v="7"/>
    <n v="18557256"/>
    <n v="15922848.903268021"/>
  </r>
  <r>
    <d v="2014-01-01T00:00:00"/>
    <x v="8"/>
    <m/>
    <n v="17611115.722293213"/>
  </r>
  <r>
    <d v="2014-02-01T00:00:00"/>
    <x v="8"/>
    <m/>
    <n v="15858865.322584365"/>
  </r>
  <r>
    <d v="2014-03-01T00:00:00"/>
    <x v="8"/>
    <m/>
    <n v="15255373.998233363"/>
  </r>
  <r>
    <d v="2014-04-01T00:00:00"/>
    <x v="8"/>
    <m/>
    <n v="12803811.117906239"/>
  </r>
  <r>
    <d v="2014-05-01T00:00:00"/>
    <x v="8"/>
    <m/>
    <n v="11235061.18220143"/>
  </r>
  <r>
    <d v="2014-06-01T00:00:00"/>
    <x v="8"/>
    <m/>
    <n v="10089541.954725806"/>
  </r>
  <r>
    <d v="2014-07-01T00:00:00"/>
    <x v="8"/>
    <m/>
    <n v="10021828.35664231"/>
  </r>
  <r>
    <d v="2014-08-01T00:00:00"/>
    <x v="8"/>
    <m/>
    <n v="9803882.8331273086"/>
  </r>
  <r>
    <d v="2014-09-01T00:00:00"/>
    <x v="8"/>
    <m/>
    <n v="10257241.097215366"/>
  </r>
  <r>
    <d v="2014-10-01T00:00:00"/>
    <x v="8"/>
    <m/>
    <n v="11988364.594917351"/>
  </r>
  <r>
    <d v="2014-11-01T00:00:00"/>
    <x v="8"/>
    <m/>
    <n v="13569575.94352271"/>
  </r>
  <r>
    <d v="2014-12-01T00:00:00"/>
    <x v="8"/>
    <m/>
    <n v="16043568.072279807"/>
  </r>
  <r>
    <d v="2015-01-01T00:00:00"/>
    <x v="9"/>
    <m/>
    <n v="17490396.553281426"/>
  </r>
  <r>
    <d v="2015-02-01T00:00:00"/>
    <x v="9"/>
    <m/>
    <n v="15858865.322584365"/>
  </r>
  <r>
    <d v="2015-03-01T00:00:00"/>
    <x v="9"/>
    <m/>
    <n v="15376093.16724515"/>
  </r>
  <r>
    <d v="2015-04-01T00:00:00"/>
    <x v="9"/>
    <m/>
    <n v="12803811.117906239"/>
  </r>
  <r>
    <d v="2015-05-01T00:00:00"/>
    <x v="9"/>
    <m/>
    <n v="11114342.013189645"/>
  </r>
  <r>
    <d v="2015-06-01T00:00:00"/>
    <x v="9"/>
    <m/>
    <n v="10210261.12373759"/>
  </r>
  <r>
    <d v="2015-07-01T00:00:00"/>
    <x v="9"/>
    <m/>
    <n v="10021828.35664231"/>
  </r>
  <r>
    <d v="2015-08-01T00:00:00"/>
    <x v="9"/>
    <m/>
    <n v="9803882.8331273086"/>
  </r>
  <r>
    <d v="2015-09-01T00:00:00"/>
    <x v="9"/>
    <m/>
    <n v="10257241.097215366"/>
  </r>
  <r>
    <d v="2015-10-01T00:00:00"/>
    <x v="9"/>
    <m/>
    <n v="11867645.425905567"/>
  </r>
  <r>
    <d v="2015-11-01T00:00:00"/>
    <x v="9"/>
    <m/>
    <n v="13690295.112534497"/>
  </r>
  <r>
    <d v="2015-12-01T00:00:00"/>
    <x v="9"/>
    <m/>
    <n v="16043568.0722798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1" firstHeaderRow="0" firstDataRow="1" firstDataCol="1"/>
  <pivotFields count="6">
    <pivotField numFmtId="17" showAll="0" defaultSubtotal="0"/>
    <pivotField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dataField="1" numFmtId="167" showAll="0" defaultSubtotal="0"/>
    <pivotField dataField="1" showAll="0" defaultSubtotal="0"/>
    <pivotField numFmtId="165" showAll="0" defaultSubtotal="0"/>
    <pivotField dataField="1" dragToRow="0" dragToCol="0" dragToPage="0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-2"/>
  </colFields>
  <colItems count="3">
    <i>
      <x/>
    </i>
    <i i="1">
      <x v="1"/>
    </i>
    <i i="2">
      <x v="2"/>
    </i>
  </colItems>
  <dataFields count="3">
    <dataField name="WSL2 " fld="2" baseField="0" baseItem="0" numFmtId="166"/>
    <dataField name="Predicted Value " fld="3" baseField="0" baseItem="0" numFmtId="166"/>
    <dataField name="Absolute % Error 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6">
  <location ref="A3:C11" firstHeaderRow="0" firstDataRow="1" firstDataCol="1"/>
  <pivotFields count="5">
    <pivotField numFmtId="17" showAll="0" defaultSubtotal="0"/>
    <pivotField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dataField="1" numFmtId="167" showAll="0" defaultSubtotal="0"/>
    <pivotField dataField="1" showAll="0" defaultSubtotal="0"/>
    <pivotField numFmtId="165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-2"/>
  </colFields>
  <colItems count="2">
    <i>
      <x/>
    </i>
    <i i="1">
      <x v="1"/>
    </i>
  </colItems>
  <dataFields count="2">
    <dataField name="WSL2 " fld="2" baseField="0" baseItem="0" numFmtId="166"/>
    <dataField name="Predict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3" firstHeaderRow="0" firstDataRow="1" firstDataCol="1"/>
  <pivotFields count="4">
    <pivotField numFmtId="17" showAll="0" defaultSubtotal="0"/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showAll="0" defaultSubtotal="0"/>
    <pivotField dataField="1" showAll="0" defaultSubtota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dataFields count="2">
    <dataField name="WSL2 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37"/>
  <sheetViews>
    <sheetView workbookViewId="0">
      <selection activeCell="B8" sqref="B8"/>
    </sheetView>
  </sheetViews>
  <sheetFormatPr defaultRowHeight="15" x14ac:dyDescent="0.25"/>
  <cols>
    <col min="1" max="1" width="15" customWidth="1"/>
    <col min="2" max="2" width="10.5703125" bestFit="1" customWidth="1"/>
  </cols>
  <sheetData>
    <row r="1" spans="1:28" x14ac:dyDescent="0.25">
      <c r="AA1" t="s">
        <v>1</v>
      </c>
      <c r="AB1" t="s">
        <v>6</v>
      </c>
    </row>
    <row r="2" spans="1:28" x14ac:dyDescent="0.25">
      <c r="A2" t="s">
        <v>0</v>
      </c>
      <c r="B2" s="4" t="s">
        <v>40</v>
      </c>
      <c r="AA2">
        <v>1995</v>
      </c>
      <c r="AB2">
        <v>1</v>
      </c>
    </row>
    <row r="3" spans="1:28" x14ac:dyDescent="0.25">
      <c r="AA3">
        <v>1996</v>
      </c>
      <c r="AB3">
        <v>2</v>
      </c>
    </row>
    <row r="4" spans="1:28" x14ac:dyDescent="0.25">
      <c r="A4" t="s">
        <v>4</v>
      </c>
      <c r="B4" s="1" t="s">
        <v>1</v>
      </c>
      <c r="C4" s="1" t="s">
        <v>6</v>
      </c>
      <c r="AA4">
        <v>1997</v>
      </c>
      <c r="AB4">
        <v>3</v>
      </c>
    </row>
    <row r="5" spans="1:28" x14ac:dyDescent="0.25">
      <c r="A5" t="s">
        <v>2</v>
      </c>
      <c r="B5" s="3">
        <v>2006</v>
      </c>
      <c r="C5" s="3">
        <v>1</v>
      </c>
      <c r="AA5">
        <v>1998</v>
      </c>
      <c r="AB5">
        <v>4</v>
      </c>
    </row>
    <row r="6" spans="1:28" x14ac:dyDescent="0.25">
      <c r="A6" t="s">
        <v>3</v>
      </c>
      <c r="B6" s="3">
        <v>2013</v>
      </c>
      <c r="C6" s="3">
        <v>12</v>
      </c>
      <c r="AA6">
        <v>1999</v>
      </c>
      <c r="AB6">
        <v>5</v>
      </c>
    </row>
    <row r="7" spans="1:28" x14ac:dyDescent="0.25">
      <c r="AA7">
        <v>2000</v>
      </c>
      <c r="AB7">
        <v>6</v>
      </c>
    </row>
    <row r="8" spans="1:28" x14ac:dyDescent="0.25">
      <c r="A8" t="s">
        <v>7</v>
      </c>
      <c r="B8" s="2">
        <v>1</v>
      </c>
      <c r="C8" s="1" t="s">
        <v>8</v>
      </c>
      <c r="AA8">
        <v>2001</v>
      </c>
      <c r="AB8">
        <v>7</v>
      </c>
    </row>
    <row r="9" spans="1:28" x14ac:dyDescent="0.25">
      <c r="AA9">
        <v>2002</v>
      </c>
      <c r="AB9">
        <v>8</v>
      </c>
    </row>
    <row r="10" spans="1:28" x14ac:dyDescent="0.25">
      <c r="A10" t="s">
        <v>5</v>
      </c>
      <c r="B10" s="1" t="s">
        <v>1</v>
      </c>
      <c r="C10" s="1" t="s">
        <v>6</v>
      </c>
      <c r="AA10">
        <v>2003</v>
      </c>
      <c r="AB10">
        <v>9</v>
      </c>
    </row>
    <row r="11" spans="1:28" x14ac:dyDescent="0.25">
      <c r="A11" t="s">
        <v>2</v>
      </c>
      <c r="B11" s="3">
        <v>2014</v>
      </c>
      <c r="C11" s="3">
        <v>1</v>
      </c>
      <c r="E11" s="1" t="s">
        <v>9</v>
      </c>
      <c r="AA11">
        <v>2004</v>
      </c>
      <c r="AB11">
        <v>10</v>
      </c>
    </row>
    <row r="12" spans="1:28" x14ac:dyDescent="0.25">
      <c r="A12" t="s">
        <v>3</v>
      </c>
      <c r="B12" s="3">
        <v>2015</v>
      </c>
      <c r="C12" s="3">
        <v>12</v>
      </c>
      <c r="E12" s="3" t="e">
        <f ca="1">MyMonthsCount(B11,C11,B12,C12)</f>
        <v>#NAME?</v>
      </c>
      <c r="AA12">
        <v>2005</v>
      </c>
      <c r="AB12">
        <v>11</v>
      </c>
    </row>
    <row r="13" spans="1:28" x14ac:dyDescent="0.25">
      <c r="AA13">
        <v>2006</v>
      </c>
      <c r="AB13">
        <v>12</v>
      </c>
    </row>
    <row r="14" spans="1:28" x14ac:dyDescent="0.25">
      <c r="AA14">
        <v>2007</v>
      </c>
    </row>
    <row r="15" spans="1:28" x14ac:dyDescent="0.25">
      <c r="AA15">
        <v>2008</v>
      </c>
    </row>
    <row r="16" spans="1:28" x14ac:dyDescent="0.25">
      <c r="AA16">
        <v>2009</v>
      </c>
    </row>
    <row r="17" spans="27:27" x14ac:dyDescent="0.25">
      <c r="AA17">
        <v>2010</v>
      </c>
    </row>
    <row r="18" spans="27:27" x14ac:dyDescent="0.25">
      <c r="AA18">
        <v>2011</v>
      </c>
    </row>
    <row r="19" spans="27:27" x14ac:dyDescent="0.25">
      <c r="AA19">
        <v>2012</v>
      </c>
    </row>
    <row r="20" spans="27:27" x14ac:dyDescent="0.25">
      <c r="AA20">
        <v>2013</v>
      </c>
    </row>
    <row r="21" spans="27:27" x14ac:dyDescent="0.25">
      <c r="AA21">
        <v>2014</v>
      </c>
    </row>
    <row r="22" spans="27:27" x14ac:dyDescent="0.25">
      <c r="AA22">
        <v>2015</v>
      </c>
    </row>
    <row r="23" spans="27:27" x14ac:dyDescent="0.25">
      <c r="AA23">
        <v>2016</v>
      </c>
    </row>
    <row r="24" spans="27:27" x14ac:dyDescent="0.25">
      <c r="AA24">
        <v>2017</v>
      </c>
    </row>
    <row r="25" spans="27:27" x14ac:dyDescent="0.25">
      <c r="AA25">
        <v>2018</v>
      </c>
    </row>
    <row r="26" spans="27:27" x14ac:dyDescent="0.25">
      <c r="AA26">
        <v>2019</v>
      </c>
    </row>
    <row r="27" spans="27:27" x14ac:dyDescent="0.25">
      <c r="AA27">
        <v>2020</v>
      </c>
    </row>
    <row r="28" spans="27:27" x14ac:dyDescent="0.25">
      <c r="AA28">
        <v>2021</v>
      </c>
    </row>
    <row r="29" spans="27:27" x14ac:dyDescent="0.25">
      <c r="AA29">
        <v>2022</v>
      </c>
    </row>
    <row r="30" spans="27:27" x14ac:dyDescent="0.25">
      <c r="AA30">
        <v>2023</v>
      </c>
    </row>
    <row r="31" spans="27:27" x14ac:dyDescent="0.25">
      <c r="AA31">
        <v>2024</v>
      </c>
    </row>
    <row r="32" spans="27:27" x14ac:dyDescent="0.25">
      <c r="AA32">
        <v>2025</v>
      </c>
    </row>
    <row r="33" spans="27:27" x14ac:dyDescent="0.25">
      <c r="AA33">
        <v>2026</v>
      </c>
    </row>
    <row r="34" spans="27:27" x14ac:dyDescent="0.25">
      <c r="AA34">
        <v>2027</v>
      </c>
    </row>
    <row r="35" spans="27:27" x14ac:dyDescent="0.25">
      <c r="AA35">
        <v>2028</v>
      </c>
    </row>
    <row r="36" spans="27:27" x14ac:dyDescent="0.25">
      <c r="AA36">
        <v>2029</v>
      </c>
    </row>
    <row r="37" spans="27:27" x14ac:dyDescent="0.25">
      <c r="AA37">
        <v>2030</v>
      </c>
    </row>
  </sheetData>
  <dataValidations count="1">
    <dataValidation type="list" allowBlank="1" showInputMessage="1" showErrorMessage="1" sqref="B8">
      <formula1>"-1,0,1,2,3,4,5"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BuildBase">
                <anchor moveWithCells="1" sizeWithCells="1">
                  <from>
                    <xdr:col>7</xdr:col>
                    <xdr:colOff>28575</xdr:colOff>
                    <xdr:row>5</xdr:row>
                    <xdr:rowOff>95250</xdr:rowOff>
                  </from>
                  <to>
                    <xdr:col>11</xdr:col>
                    <xdr:colOff>76200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Button 3">
              <controlPr defaultSize="0" print="0" autoFill="0" autoPict="0" macro="[0]!BuildNorm">
                <anchor moveWithCells="1" sizeWithCells="1">
                  <from>
                    <xdr:col>7</xdr:col>
                    <xdr:colOff>19050</xdr:colOff>
                    <xdr:row>9</xdr:row>
                    <xdr:rowOff>19050</xdr:rowOff>
                  </from>
                  <to>
                    <xdr:col>11</xdr:col>
                    <xdr:colOff>66675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Button 4">
              <controlPr defaultSize="0" print="0" autoFill="0" autoPict="0" macro="[0]!StartFresh">
                <anchor moveWithCells="1" sizeWithCells="1">
                  <from>
                    <xdr:col>7</xdr:col>
                    <xdr:colOff>28575</xdr:colOff>
                    <xdr:row>1</xdr:row>
                    <xdr:rowOff>19050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7" name="Button 6">
              <controlPr defaultSize="0" print="0" autoFill="0" autoPict="0" macro="[0]!OLSPres">
                <anchor moveWithCells="1" sizeWithCells="1">
                  <from>
                    <xdr:col>12</xdr:col>
                    <xdr:colOff>9525</xdr:colOff>
                    <xdr:row>3</xdr:row>
                    <xdr:rowOff>47625</xdr:rowOff>
                  </from>
                  <to>
                    <xdr:col>15</xdr:col>
                    <xdr:colOff>114300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8" name="Button 8">
              <controlPr defaultSize="0" print="0" autoFill="0" autoPict="0" macro="[0]!MakeMacroLess">
                <anchor moveWithCells="1" sizeWithCells="1">
                  <from>
                    <xdr:col>12</xdr:col>
                    <xdr:colOff>180975</xdr:colOff>
                    <xdr:row>8</xdr:row>
                    <xdr:rowOff>47625</xdr:rowOff>
                  </from>
                  <to>
                    <xdr:col>16</xdr:col>
                    <xdr:colOff>9525</xdr:colOff>
                    <xdr:row>10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11.5703125" customWidth="1"/>
    <col min="3" max="3" width="17.5703125" customWidth="1"/>
  </cols>
  <sheetData>
    <row r="2" spans="1:3" x14ac:dyDescent="0.25">
      <c r="A2" s="9" t="s">
        <v>47</v>
      </c>
    </row>
    <row r="3" spans="1:3" x14ac:dyDescent="0.25">
      <c r="B3" t="s">
        <v>45</v>
      </c>
      <c r="C3" t="s">
        <v>38</v>
      </c>
    </row>
    <row r="4" spans="1:3" x14ac:dyDescent="0.25">
      <c r="A4" s="5">
        <v>2006</v>
      </c>
      <c r="B4" s="6">
        <v>150668796.33000001</v>
      </c>
      <c r="C4" s="6">
        <v>154538230.19564927</v>
      </c>
    </row>
    <row r="5" spans="1:3" x14ac:dyDescent="0.25">
      <c r="A5" s="5">
        <v>2007</v>
      </c>
      <c r="B5" s="6">
        <v>153919597.58542347</v>
      </c>
      <c r="C5" s="6">
        <v>154658949.36466107</v>
      </c>
    </row>
    <row r="6" spans="1:3" x14ac:dyDescent="0.25">
      <c r="A6" s="5">
        <v>2008</v>
      </c>
      <c r="B6" s="6">
        <v>157822156.67999998</v>
      </c>
      <c r="C6" s="6">
        <v>154658949.36466107</v>
      </c>
    </row>
    <row r="7" spans="1:3" x14ac:dyDescent="0.25">
      <c r="A7" s="5">
        <v>2009</v>
      </c>
      <c r="B7" s="6">
        <v>160752853.29999998</v>
      </c>
      <c r="C7" s="6">
        <v>154538230.19564927</v>
      </c>
    </row>
    <row r="8" spans="1:3" x14ac:dyDescent="0.25">
      <c r="A8" s="5">
        <v>2010</v>
      </c>
      <c r="B8" s="6">
        <v>146405213.20999998</v>
      </c>
      <c r="C8" s="6">
        <v>154538230.19564927</v>
      </c>
    </row>
    <row r="9" spans="1:3" x14ac:dyDescent="0.25">
      <c r="A9" s="5">
        <v>2011</v>
      </c>
      <c r="B9" s="6">
        <v>149046160.67000002</v>
      </c>
      <c r="C9" s="6">
        <v>154417511.02663746</v>
      </c>
    </row>
    <row r="10" spans="1:3" x14ac:dyDescent="0.25">
      <c r="A10" s="5">
        <v>2012</v>
      </c>
      <c r="B10" s="6">
        <v>147470689</v>
      </c>
      <c r="C10" s="6">
        <v>154538230.19564927</v>
      </c>
    </row>
    <row r="11" spans="1:3" x14ac:dyDescent="0.25">
      <c r="A11" s="5">
        <v>2013</v>
      </c>
      <c r="B11" s="6">
        <v>155660648</v>
      </c>
      <c r="C11" s="6">
        <v>154538230.19564927</v>
      </c>
    </row>
    <row r="12" spans="1:3" x14ac:dyDescent="0.25">
      <c r="A12" s="5">
        <v>2014</v>
      </c>
      <c r="B12" s="6"/>
      <c r="C12" s="6">
        <v>154538230.19564927</v>
      </c>
    </row>
    <row r="13" spans="1:3" x14ac:dyDescent="0.25">
      <c r="A13" s="5">
        <v>2015</v>
      </c>
      <c r="B13" s="6"/>
      <c r="C13" s="6">
        <v>154538230.19564927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D12" sqref="D12"/>
    </sheetView>
  </sheetViews>
  <sheetFormatPr defaultRowHeight="15" x14ac:dyDescent="0.2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9" t="s">
        <v>47</v>
      </c>
    </row>
    <row r="3" spans="1:5" x14ac:dyDescent="0.25">
      <c r="A3" s="1"/>
      <c r="B3" s="1" t="s">
        <v>45</v>
      </c>
      <c r="C3" s="1" t="s">
        <v>39</v>
      </c>
      <c r="D3" s="1" t="s">
        <v>38</v>
      </c>
      <c r="E3" s="1" t="s">
        <v>39</v>
      </c>
    </row>
    <row r="4" spans="1:5" x14ac:dyDescent="0.25">
      <c r="A4" s="1">
        <v>2006</v>
      </c>
      <c r="B4" s="11">
        <v>150668796.33000001</v>
      </c>
      <c r="C4" s="11"/>
      <c r="D4" s="11">
        <f>GETPIVOTDATA("Normalized Value ",NormalizedAnnualDataSumm!$A$3,"Year",A4)</f>
        <v>154538230.19564927</v>
      </c>
    </row>
    <row r="5" spans="1:5" x14ac:dyDescent="0.25">
      <c r="A5" s="1">
        <v>2007</v>
      </c>
      <c r="B5" s="11">
        <v>153919597.58542347</v>
      </c>
      <c r="C5" s="12">
        <f>B5/B4-1</f>
        <v>2.1575809554510883E-2</v>
      </c>
      <c r="D5" s="11">
        <f>GETPIVOTDATA("Normalized Value ",NormalizedAnnualDataSumm!$A$3,"Year",A5)</f>
        <v>154658949.36466107</v>
      </c>
      <c r="E5" s="12">
        <f>D5/D4-1</f>
        <v>7.8116055075150292E-4</v>
      </c>
    </row>
    <row r="6" spans="1:5" x14ac:dyDescent="0.25">
      <c r="A6" s="1">
        <v>2008</v>
      </c>
      <c r="B6" s="11">
        <v>157822156.67999998</v>
      </c>
      <c r="C6" s="12">
        <f t="shared" ref="C6:C11" si="0">B6/B5-1</f>
        <v>2.5354530259934061E-2</v>
      </c>
      <c r="D6" s="11">
        <f>GETPIVOTDATA("Normalized Value ",NormalizedAnnualDataSumm!$A$3,"Year",A6)</f>
        <v>154658949.36466107</v>
      </c>
      <c r="E6" s="12">
        <f t="shared" ref="E6:E13" si="1">D6/D5-1</f>
        <v>0</v>
      </c>
    </row>
    <row r="7" spans="1:5" x14ac:dyDescent="0.25">
      <c r="A7" s="1">
        <v>2009</v>
      </c>
      <c r="B7" s="11">
        <v>160752853.29999998</v>
      </c>
      <c r="C7" s="12">
        <f t="shared" si="0"/>
        <v>1.8569614569025727E-2</v>
      </c>
      <c r="D7" s="11">
        <f>GETPIVOTDATA("Normalized Value ",NormalizedAnnualDataSumm!$A$3,"Year",A7)</f>
        <v>154538230.19564927</v>
      </c>
      <c r="E7" s="12">
        <f t="shared" si="1"/>
        <v>-7.8055081524686099E-4</v>
      </c>
    </row>
    <row r="8" spans="1:5" x14ac:dyDescent="0.25">
      <c r="A8" s="1">
        <v>2010</v>
      </c>
      <c r="B8" s="11">
        <v>146405213.20999998</v>
      </c>
      <c r="C8" s="12">
        <f t="shared" si="0"/>
        <v>-8.9252786469825041E-2</v>
      </c>
      <c r="D8" s="11">
        <f>GETPIVOTDATA("Normalized Value ",NormalizedAnnualDataSumm!$A$3,"Year",A8)</f>
        <v>154538230.19564927</v>
      </c>
      <c r="E8" s="12">
        <f t="shared" si="1"/>
        <v>0</v>
      </c>
    </row>
    <row r="9" spans="1:5" x14ac:dyDescent="0.25">
      <c r="A9" s="1">
        <v>2011</v>
      </c>
      <c r="B9" s="11">
        <v>149046160.67000002</v>
      </c>
      <c r="C9" s="12">
        <f t="shared" si="0"/>
        <v>1.8038616263014617E-2</v>
      </c>
      <c r="D9" s="11">
        <f>GETPIVOTDATA("Normalized Value ",NormalizedAnnualDataSumm!$A$3,"Year",A9)</f>
        <v>154417511.02663746</v>
      </c>
      <c r="E9" s="12">
        <f t="shared" si="1"/>
        <v>-7.8116055075150292E-4</v>
      </c>
    </row>
    <row r="10" spans="1:5" x14ac:dyDescent="0.25">
      <c r="A10" s="1">
        <v>2012</v>
      </c>
      <c r="B10" s="11">
        <v>147470689</v>
      </c>
      <c r="C10" s="12">
        <f t="shared" si="0"/>
        <v>-1.0570360638059162E-2</v>
      </c>
      <c r="D10" s="11">
        <f>GETPIVOTDATA("Normalized Value ",NormalizedAnnualDataSumm!$A$3,"Year",A10)</f>
        <v>154538230.19564927</v>
      </c>
      <c r="E10" s="12">
        <f t="shared" si="1"/>
        <v>7.8177123960365691E-4</v>
      </c>
    </row>
    <row r="11" spans="1:5" x14ac:dyDescent="0.25">
      <c r="A11" s="1">
        <v>2013</v>
      </c>
      <c r="B11" s="11">
        <v>155660648</v>
      </c>
      <c r="C11" s="12">
        <f t="shared" si="0"/>
        <v>5.5536181837463339E-2</v>
      </c>
      <c r="D11" s="11">
        <f>GETPIVOTDATA("Normalized Value ",NormalizedAnnualDataSumm!$A$3,"Year",A11)</f>
        <v>154538230.19564927</v>
      </c>
      <c r="E11" s="12">
        <f t="shared" si="1"/>
        <v>0</v>
      </c>
    </row>
    <row r="12" spans="1:5" x14ac:dyDescent="0.25">
      <c r="A12" s="15">
        <v>2014</v>
      </c>
      <c r="B12" s="14"/>
      <c r="C12" s="13"/>
      <c r="D12" s="14">
        <f>GETPIVOTDATA("Normalized Value ",NormalizedAnnualDataSumm!$A$3,"Year",A12)</f>
        <v>154538230.19564927</v>
      </c>
      <c r="E12" s="13">
        <f t="shared" si="1"/>
        <v>0</v>
      </c>
    </row>
    <row r="13" spans="1:5" x14ac:dyDescent="0.25">
      <c r="A13" s="15">
        <v>2015</v>
      </c>
      <c r="B13" s="14"/>
      <c r="C13" s="13"/>
      <c r="D13" s="14">
        <f>GETPIVOTDATA("Normalized Value ",NormalizedAnnualDataSumm!$A$3,"Year",A13)</f>
        <v>154538230.19564927</v>
      </c>
      <c r="E13" s="13">
        <f t="shared" si="1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opLeftCell="A10" workbookViewId="0">
      <selection activeCell="J47" sqref="J47"/>
    </sheetView>
  </sheetViews>
  <sheetFormatPr defaultRowHeight="15" x14ac:dyDescent="0.25"/>
  <cols>
    <col min="2" max="2" width="17.5703125" bestFit="1" customWidth="1"/>
    <col min="3" max="3" width="14.42578125" bestFit="1" customWidth="1"/>
    <col min="4" max="4" width="19" bestFit="1" customWidth="1"/>
    <col min="5" max="5" width="14.85546875" bestFit="1" customWidth="1"/>
    <col min="6" max="6" width="19" bestFit="1" customWidth="1"/>
  </cols>
  <sheetData>
    <row r="2" spans="1:6" x14ac:dyDescent="0.25">
      <c r="A2" s="1" t="s">
        <v>1</v>
      </c>
      <c r="B2" s="1" t="s">
        <v>38</v>
      </c>
      <c r="C2" s="1" t="s">
        <v>50</v>
      </c>
      <c r="D2" s="1" t="s">
        <v>51</v>
      </c>
      <c r="E2" s="1" t="s">
        <v>52</v>
      </c>
      <c r="F2" s="1" t="s">
        <v>53</v>
      </c>
    </row>
    <row r="3" spans="1:6" x14ac:dyDescent="0.25">
      <c r="A3" s="1"/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</row>
    <row r="4" spans="1:6" x14ac:dyDescent="0.25">
      <c r="A4" s="1">
        <v>2006</v>
      </c>
      <c r="B4" s="11">
        <f>NormalizedAnnualDataSumm2!D4</f>
        <v>154538230.19564927</v>
      </c>
      <c r="C4" s="22">
        <f>99478516/150668796</f>
        <v>0.66024630607654156</v>
      </c>
      <c r="D4" s="23">
        <f>B4*C4</f>
        <v>102033295.63428368</v>
      </c>
      <c r="E4" s="1"/>
      <c r="F4" s="24">
        <f t="shared" ref="F4:F11" si="0">SUM(D4:E4)</f>
        <v>102033295.63428368</v>
      </c>
    </row>
    <row r="5" spans="1:6" x14ac:dyDescent="0.25">
      <c r="A5" s="1">
        <v>2007</v>
      </c>
      <c r="B5" s="11">
        <f>NormalizedAnnualDataSumm2!D5</f>
        <v>154658949.36466107</v>
      </c>
      <c r="C5" s="22">
        <f>100674579/153919598</f>
        <v>0.65407251778295317</v>
      </c>
      <c r="D5" s="23">
        <f t="shared" ref="D5:D13" si="1">B5*C5</f>
        <v>101158168.40861014</v>
      </c>
      <c r="E5" s="1"/>
      <c r="F5" s="24">
        <f t="shared" si="0"/>
        <v>101158168.40861014</v>
      </c>
    </row>
    <row r="6" spans="1:6" x14ac:dyDescent="0.25">
      <c r="A6" s="1">
        <v>2008</v>
      </c>
      <c r="B6" s="11">
        <f>NormalizedAnnualDataSumm2!D6</f>
        <v>154658949.36466107</v>
      </c>
      <c r="C6" s="22">
        <f>103691076/157822157</f>
        <v>0.65701215831183957</v>
      </c>
      <c r="D6" s="23">
        <f t="shared" si="1"/>
        <v>101612810.12431748</v>
      </c>
      <c r="E6" s="1"/>
      <c r="F6" s="24">
        <f t="shared" si="0"/>
        <v>101612810.12431748</v>
      </c>
    </row>
    <row r="7" spans="1:6" x14ac:dyDescent="0.25">
      <c r="A7" s="1">
        <v>2009</v>
      </c>
      <c r="B7" s="11">
        <f>NormalizedAnnualDataSumm2!D7</f>
        <v>154538230.19564927</v>
      </c>
      <c r="C7" s="22">
        <f>103761012/160752853</f>
        <v>0.64546917870253906</v>
      </c>
      <c r="D7" s="23">
        <f t="shared" si="1"/>
        <v>99749664.522529647</v>
      </c>
      <c r="E7" s="1"/>
      <c r="F7" s="24">
        <f t="shared" si="0"/>
        <v>99749664.522529647</v>
      </c>
    </row>
    <row r="8" spans="1:6" x14ac:dyDescent="0.25">
      <c r="A8" s="1">
        <v>2010</v>
      </c>
      <c r="B8" s="11">
        <f>NormalizedAnnualDataSumm2!D8</f>
        <v>154538230.19564927</v>
      </c>
      <c r="C8" s="22">
        <f>98515494/146405213</f>
        <v>0.67289608055144867</v>
      </c>
      <c r="D8" s="23">
        <f t="shared" si="1"/>
        <v>103988169.39400993</v>
      </c>
      <c r="E8" s="1"/>
      <c r="F8" s="24">
        <f t="shared" si="0"/>
        <v>103988169.39400993</v>
      </c>
    </row>
    <row r="9" spans="1:6" x14ac:dyDescent="0.25">
      <c r="A9" s="1">
        <v>2011</v>
      </c>
      <c r="B9" s="11">
        <f>NormalizedAnnualDataSumm2!D9</f>
        <v>154417511.02663746</v>
      </c>
      <c r="C9" s="22">
        <f>103344412/149046161</f>
        <v>0.69337184739699531</v>
      </c>
      <c r="D9" s="23">
        <f t="shared" si="1"/>
        <v>107068754.89098552</v>
      </c>
      <c r="E9" s="1"/>
      <c r="F9" s="24">
        <f t="shared" si="0"/>
        <v>107068754.89098552</v>
      </c>
    </row>
    <row r="10" spans="1:6" x14ac:dyDescent="0.25">
      <c r="A10" s="1">
        <v>2012</v>
      </c>
      <c r="B10" s="11">
        <f>NormalizedAnnualDataSumm2!D10</f>
        <v>154538230.19564927</v>
      </c>
      <c r="C10" s="22">
        <f>103512450/147470689</f>
        <v>0.70191880638734927</v>
      </c>
      <c r="D10" s="23">
        <f t="shared" si="1"/>
        <v>108473290.08014356</v>
      </c>
      <c r="E10" s="1"/>
      <c r="F10" s="24">
        <f t="shared" si="0"/>
        <v>108473290.08014356</v>
      </c>
    </row>
    <row r="11" spans="1:6" x14ac:dyDescent="0.25">
      <c r="A11" s="1">
        <v>2013</v>
      </c>
      <c r="B11" s="11">
        <f>NormalizedAnnualDataSumm2!D11</f>
        <v>154538230.19564927</v>
      </c>
      <c r="C11" s="22">
        <f>106250425/155660648</f>
        <v>0.68257730110438708</v>
      </c>
      <c r="D11" s="23">
        <f t="shared" si="1"/>
        <v>105484288.08439477</v>
      </c>
      <c r="E11" s="1"/>
      <c r="F11" s="24">
        <f t="shared" si="0"/>
        <v>105484288.08439477</v>
      </c>
    </row>
    <row r="12" spans="1:6" x14ac:dyDescent="0.25">
      <c r="A12" s="15">
        <v>2014</v>
      </c>
      <c r="B12" s="14">
        <f>NormalizedAnnualDataSumm2!D12</f>
        <v>154538230.19564927</v>
      </c>
      <c r="C12" s="26">
        <f>C11</f>
        <v>0.68257730110438708</v>
      </c>
      <c r="D12" s="27">
        <f t="shared" si="1"/>
        <v>105484288.08439477</v>
      </c>
      <c r="E12" s="27">
        <v>321000</v>
      </c>
      <c r="F12" s="28">
        <f>SUM(D12:E12)</f>
        <v>105805288.08439477</v>
      </c>
    </row>
    <row r="13" spans="1:6" x14ac:dyDescent="0.25">
      <c r="A13" s="15">
        <v>2015</v>
      </c>
      <c r="B13" s="14">
        <f>NormalizedAnnualDataSumm2!D13</f>
        <v>154538230.19564927</v>
      </c>
      <c r="C13" s="26">
        <f>C12</f>
        <v>0.68257730110438708</v>
      </c>
      <c r="D13" s="27">
        <f t="shared" si="1"/>
        <v>105484288.08439477</v>
      </c>
      <c r="E13" s="27">
        <v>642000</v>
      </c>
      <c r="F13" s="28">
        <f>SUM(D13:E13)</f>
        <v>106126288.08439477</v>
      </c>
    </row>
    <row r="16" spans="1:6" x14ac:dyDescent="0.25">
      <c r="A16" s="1" t="s">
        <v>1</v>
      </c>
      <c r="B16" s="1" t="s">
        <v>38</v>
      </c>
      <c r="C16" s="1" t="s">
        <v>54</v>
      </c>
      <c r="D16" s="1" t="s">
        <v>55</v>
      </c>
      <c r="E16" s="1" t="s">
        <v>52</v>
      </c>
      <c r="F16" s="1" t="s">
        <v>55</v>
      </c>
    </row>
    <row r="17" spans="1:6" x14ac:dyDescent="0.25">
      <c r="A17" s="1"/>
      <c r="B17" s="1" t="s">
        <v>60</v>
      </c>
      <c r="C17" s="1" t="s">
        <v>61</v>
      </c>
      <c r="D17" s="1" t="s">
        <v>62</v>
      </c>
      <c r="E17" s="1" t="s">
        <v>63</v>
      </c>
      <c r="F17" s="1" t="s">
        <v>64</v>
      </c>
    </row>
    <row r="18" spans="1:6" x14ac:dyDescent="0.25">
      <c r="A18" s="1">
        <v>2006</v>
      </c>
      <c r="B18" s="11">
        <f>B4</f>
        <v>154538230.19564927</v>
      </c>
      <c r="C18" s="22">
        <f>11746043/150668796</f>
        <v>7.7959360609744302E-2</v>
      </c>
      <c r="D18" s="23">
        <f>B18*C18</f>
        <v>12047701.615814297</v>
      </c>
      <c r="E18" s="1"/>
      <c r="F18" s="24">
        <f t="shared" ref="F18:F25" si="2">SUM(D18:E18)</f>
        <v>12047701.615814297</v>
      </c>
    </row>
    <row r="19" spans="1:6" x14ac:dyDescent="0.25">
      <c r="A19" s="1">
        <v>2007</v>
      </c>
      <c r="B19" s="11">
        <f t="shared" ref="B19:B27" si="3">B5</f>
        <v>154658949.36466107</v>
      </c>
      <c r="C19" s="22">
        <f>11665351/153919598</f>
        <v>7.5788601007131015E-2</v>
      </c>
      <c r="D19" s="23">
        <f t="shared" ref="D19:D27" si="4">B19*C19</f>
        <v>11721385.405580377</v>
      </c>
      <c r="E19" s="1"/>
      <c r="F19" s="24">
        <f t="shared" si="2"/>
        <v>11721385.405580377</v>
      </c>
    </row>
    <row r="20" spans="1:6" x14ac:dyDescent="0.25">
      <c r="A20" s="1">
        <v>2008</v>
      </c>
      <c r="B20" s="11">
        <f t="shared" si="3"/>
        <v>154658949.36466107</v>
      </c>
      <c r="C20" s="22">
        <f>11591418/157822157</f>
        <v>7.3446075128728597E-2</v>
      </c>
      <c r="D20" s="23">
        <f t="shared" si="4"/>
        <v>11359092.814367129</v>
      </c>
      <c r="E20" s="1"/>
      <c r="F20" s="24">
        <f t="shared" si="2"/>
        <v>11359092.814367129</v>
      </c>
    </row>
    <row r="21" spans="1:6" x14ac:dyDescent="0.25">
      <c r="A21" s="1">
        <v>2009</v>
      </c>
      <c r="B21" s="11">
        <f t="shared" si="3"/>
        <v>154538230.19564927</v>
      </c>
      <c r="C21" s="22">
        <f>12341792/160752853</f>
        <v>7.6774948435907389E-2</v>
      </c>
      <c r="D21" s="23">
        <f t="shared" si="4"/>
        <v>11864664.654647358</v>
      </c>
      <c r="E21" s="1"/>
      <c r="F21" s="24">
        <f t="shared" si="2"/>
        <v>11864664.654647358</v>
      </c>
    </row>
    <row r="22" spans="1:6" x14ac:dyDescent="0.25">
      <c r="A22" s="1">
        <v>2010</v>
      </c>
      <c r="B22" s="11">
        <f t="shared" si="3"/>
        <v>154538230.19564927</v>
      </c>
      <c r="C22" s="22">
        <f>11130245/146405213</f>
        <v>7.6023556620214067E-2</v>
      </c>
      <c r="D22" s="23">
        <f t="shared" si="4"/>
        <v>11748545.893266616</v>
      </c>
      <c r="E22" s="1"/>
      <c r="F22" s="24">
        <f t="shared" si="2"/>
        <v>11748545.893266616</v>
      </c>
    </row>
    <row r="23" spans="1:6" x14ac:dyDescent="0.25">
      <c r="A23" s="1">
        <v>2011</v>
      </c>
      <c r="B23" s="11">
        <f t="shared" si="3"/>
        <v>154417511.02663746</v>
      </c>
      <c r="C23" s="22">
        <f>10087145/149046161</f>
        <v>6.7677992726025329E-2</v>
      </c>
      <c r="D23" s="23">
        <f t="shared" si="4"/>
        <v>10450667.188031707</v>
      </c>
      <c r="E23" s="1"/>
      <c r="F23" s="24">
        <f t="shared" si="2"/>
        <v>10450667.188031707</v>
      </c>
    </row>
    <row r="24" spans="1:6" x14ac:dyDescent="0.25">
      <c r="A24" s="1">
        <v>2012</v>
      </c>
      <c r="B24" s="11">
        <f t="shared" si="3"/>
        <v>154538230.19564927</v>
      </c>
      <c r="C24" s="22">
        <f>10136343/147470689</f>
        <v>6.8734628343670376E-2</v>
      </c>
      <c r="D24" s="23">
        <f t="shared" si="4"/>
        <v>10622127.81738653</v>
      </c>
      <c r="E24" s="1"/>
      <c r="F24" s="24">
        <f t="shared" si="2"/>
        <v>10622127.81738653</v>
      </c>
    </row>
    <row r="25" spans="1:6" x14ac:dyDescent="0.25">
      <c r="A25" s="1">
        <v>2013</v>
      </c>
      <c r="B25" s="11">
        <f t="shared" si="3"/>
        <v>154538230.19564927</v>
      </c>
      <c r="C25" s="22">
        <f>8458860/155660648</f>
        <v>5.4341672790672181E-2</v>
      </c>
      <c r="D25" s="23">
        <f t="shared" si="4"/>
        <v>8397865.9389415476</v>
      </c>
      <c r="E25" s="1"/>
      <c r="F25" s="24">
        <f t="shared" si="2"/>
        <v>8397865.9389415476</v>
      </c>
    </row>
    <row r="26" spans="1:6" x14ac:dyDescent="0.25">
      <c r="A26" s="15">
        <v>2014</v>
      </c>
      <c r="B26" s="14">
        <f t="shared" si="3"/>
        <v>154538230.19564927</v>
      </c>
      <c r="C26" s="26">
        <f>C25</f>
        <v>5.4341672790672181E-2</v>
      </c>
      <c r="D26" s="27">
        <f t="shared" si="4"/>
        <v>8397865.9389415476</v>
      </c>
      <c r="E26" s="27">
        <v>-321000</v>
      </c>
      <c r="F26" s="28">
        <f>SUM(D26:E26)</f>
        <v>8076865.9389415476</v>
      </c>
    </row>
    <row r="27" spans="1:6" x14ac:dyDescent="0.25">
      <c r="A27" s="15">
        <v>2015</v>
      </c>
      <c r="B27" s="14">
        <f t="shared" si="3"/>
        <v>154538230.19564927</v>
      </c>
      <c r="C27" s="26">
        <f>C26</f>
        <v>5.4341672790672181E-2</v>
      </c>
      <c r="D27" s="27">
        <f t="shared" si="4"/>
        <v>8397865.9389415476</v>
      </c>
      <c r="E27" s="27">
        <v>-642000</v>
      </c>
      <c r="F27" s="28">
        <f>SUM(D27:E27)</f>
        <v>7755865.9389415476</v>
      </c>
    </row>
    <row r="30" spans="1:6" x14ac:dyDescent="0.25">
      <c r="A30" s="1" t="s">
        <v>1</v>
      </c>
      <c r="B30" s="1" t="s">
        <v>38</v>
      </c>
      <c r="C30" s="1" t="s">
        <v>56</v>
      </c>
      <c r="D30" s="1" t="s">
        <v>57</v>
      </c>
      <c r="E30" s="1" t="s">
        <v>58</v>
      </c>
      <c r="F30" s="1" t="s">
        <v>59</v>
      </c>
    </row>
    <row r="31" spans="1:6" x14ac:dyDescent="0.25">
      <c r="A31" s="1"/>
      <c r="B31" s="1" t="s">
        <v>60</v>
      </c>
      <c r="C31" s="1" t="s">
        <v>61</v>
      </c>
      <c r="D31" s="1" t="s">
        <v>62</v>
      </c>
      <c r="E31" s="1" t="s">
        <v>63</v>
      </c>
      <c r="F31" s="1" t="s">
        <v>64</v>
      </c>
    </row>
    <row r="32" spans="1:6" x14ac:dyDescent="0.25">
      <c r="A32" s="1">
        <v>2006</v>
      </c>
      <c r="B32" s="11">
        <f>B18</f>
        <v>154538230.19564927</v>
      </c>
      <c r="C32" s="22">
        <f>21993996/150668796</f>
        <v>0.14597578651919407</v>
      </c>
      <c r="D32" s="23">
        <f>B32*C32</f>
        <v>22558839.700094167</v>
      </c>
      <c r="E32" s="25">
        <v>46296103</v>
      </c>
      <c r="F32" s="25">
        <f>SUM(D32:E32)</f>
        <v>68854942.700094163</v>
      </c>
    </row>
    <row r="33" spans="1:6" x14ac:dyDescent="0.25">
      <c r="A33" s="1">
        <v>2007</v>
      </c>
      <c r="B33" s="11">
        <f t="shared" ref="B33:B41" si="5">B19</f>
        <v>154658949.36466107</v>
      </c>
      <c r="C33" s="22">
        <f>25127897/153919598</f>
        <v>0.16325339545130568</v>
      </c>
      <c r="D33" s="23">
        <f t="shared" ref="D33:D41" si="6">B33*C33</f>
        <v>25248598.620712474</v>
      </c>
      <c r="E33" s="25">
        <v>50213041</v>
      </c>
      <c r="F33" s="25">
        <f t="shared" ref="F33:F41" si="7">SUM(D33:E33)</f>
        <v>75461639.620712474</v>
      </c>
    </row>
    <row r="34" spans="1:6" x14ac:dyDescent="0.25">
      <c r="A34" s="1">
        <v>2008</v>
      </c>
      <c r="B34" s="11">
        <f t="shared" si="5"/>
        <v>154658949.36466107</v>
      </c>
      <c r="C34" s="22">
        <f>26848443/157822157</f>
        <v>0.17011833769323023</v>
      </c>
      <c r="D34" s="23">
        <f t="shared" si="6"/>
        <v>26310323.375297606</v>
      </c>
      <c r="E34" s="25">
        <v>39169209</v>
      </c>
      <c r="F34" s="25">
        <f t="shared" si="7"/>
        <v>65479532.375297606</v>
      </c>
    </row>
    <row r="35" spans="1:6" x14ac:dyDescent="0.25">
      <c r="A35" s="1">
        <v>2009</v>
      </c>
      <c r="B35" s="11">
        <f t="shared" si="5"/>
        <v>154538230.19564927</v>
      </c>
      <c r="C35" s="22">
        <f>28753392/160752853</f>
        <v>0.17886707118037898</v>
      </c>
      <c r="D35" s="23">
        <f t="shared" si="6"/>
        <v>27641800.620494988</v>
      </c>
      <c r="E35" s="25">
        <v>41178371</v>
      </c>
      <c r="F35" s="25">
        <f t="shared" si="7"/>
        <v>68820171.620494992</v>
      </c>
    </row>
    <row r="36" spans="1:6" x14ac:dyDescent="0.25">
      <c r="A36" s="1">
        <v>2010</v>
      </c>
      <c r="B36" s="11">
        <f t="shared" si="5"/>
        <v>154538230.19564927</v>
      </c>
      <c r="C36" s="22">
        <f>16888069/146405213</f>
        <v>0.11535155513895533</v>
      </c>
      <c r="D36" s="23">
        <f t="shared" si="6"/>
        <v>17826225.181490008</v>
      </c>
      <c r="E36" s="25">
        <v>54050086</v>
      </c>
      <c r="F36" s="25">
        <f t="shared" si="7"/>
        <v>71876311.181490004</v>
      </c>
    </row>
    <row r="37" spans="1:6" x14ac:dyDescent="0.25">
      <c r="A37" s="1">
        <v>2011</v>
      </c>
      <c r="B37" s="11">
        <f t="shared" si="5"/>
        <v>154417511.02663746</v>
      </c>
      <c r="C37" s="22">
        <f>15174456/149046161</f>
        <v>0.10181044515463904</v>
      </c>
      <c r="D37" s="23">
        <f t="shared" si="6"/>
        <v>15721315.537293343</v>
      </c>
      <c r="E37" s="25">
        <v>60219576</v>
      </c>
      <c r="F37" s="25">
        <f t="shared" si="7"/>
        <v>75940891.537293345</v>
      </c>
    </row>
    <row r="38" spans="1:6" x14ac:dyDescent="0.25">
      <c r="A38" s="1">
        <v>2012</v>
      </c>
      <c r="B38" s="11">
        <f t="shared" si="5"/>
        <v>154538230.19564927</v>
      </c>
      <c r="C38" s="22">
        <f>19221573/147470689</f>
        <v>0.13034165046858906</v>
      </c>
      <c r="D38" s="23">
        <f t="shared" si="6"/>
        <v>20142767.984195672</v>
      </c>
      <c r="E38" s="25">
        <v>60201504</v>
      </c>
      <c r="F38" s="25">
        <f t="shared" si="7"/>
        <v>80344271.984195679</v>
      </c>
    </row>
    <row r="39" spans="1:6" x14ac:dyDescent="0.25">
      <c r="A39" s="1">
        <v>2013</v>
      </c>
      <c r="B39" s="11">
        <f t="shared" si="5"/>
        <v>154538230.19564927</v>
      </c>
      <c r="C39" s="22">
        <f>20699014/155660648</f>
        <v>0.13297525267914856</v>
      </c>
      <c r="D39" s="23">
        <f t="shared" si="6"/>
        <v>20549760.208854888</v>
      </c>
      <c r="E39" s="25">
        <v>63001843</v>
      </c>
      <c r="F39" s="25">
        <f t="shared" si="7"/>
        <v>83551603.208854884</v>
      </c>
    </row>
    <row r="40" spans="1:6" x14ac:dyDescent="0.25">
      <c r="A40" s="15">
        <v>2014</v>
      </c>
      <c r="B40" s="14">
        <f t="shared" si="5"/>
        <v>154538230.19564927</v>
      </c>
      <c r="C40" s="26">
        <f>C39</f>
        <v>0.13297525267914856</v>
      </c>
      <c r="D40" s="27">
        <f t="shared" si="6"/>
        <v>20549760.208854888</v>
      </c>
      <c r="E40" s="29">
        <f>E39</f>
        <v>63001843</v>
      </c>
      <c r="F40" s="29">
        <f t="shared" si="7"/>
        <v>83551603.208854884</v>
      </c>
    </row>
    <row r="41" spans="1:6" x14ac:dyDescent="0.25">
      <c r="A41" s="15">
        <v>2015</v>
      </c>
      <c r="B41" s="14">
        <f t="shared" si="5"/>
        <v>154538230.19564927</v>
      </c>
      <c r="C41" s="26">
        <f>C40</f>
        <v>0.13297525267914856</v>
      </c>
      <c r="D41" s="27">
        <f t="shared" si="6"/>
        <v>20549760.208854888</v>
      </c>
      <c r="E41" s="29">
        <f>E40</f>
        <v>63001843</v>
      </c>
      <c r="F41" s="29">
        <f t="shared" si="7"/>
        <v>83551603.208854884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H24"/>
  <sheetViews>
    <sheetView showGridLines="0" topLeftCell="A7" workbookViewId="0">
      <selection activeCell="G14" sqref="G14:G16"/>
    </sheetView>
  </sheetViews>
  <sheetFormatPr defaultRowHeight="15" x14ac:dyDescent="0.25"/>
  <cols>
    <col min="2" max="2" width="22.28515625" customWidth="1"/>
    <col min="3" max="3" width="19.7109375" bestFit="1" customWidth="1"/>
    <col min="4" max="4" width="8.140625" style="31" bestFit="1" customWidth="1"/>
    <col min="5" max="5" width="14" customWidth="1"/>
    <col min="6" max="6" width="5.7109375" customWidth="1"/>
    <col min="7" max="7" width="15.140625" customWidth="1"/>
  </cols>
  <sheetData>
    <row r="1" spans="2:8" ht="26.25" x14ac:dyDescent="0.4">
      <c r="B1" s="30" t="s">
        <v>65</v>
      </c>
    </row>
    <row r="2" spans="2:8" ht="26.25" x14ac:dyDescent="0.4">
      <c r="B2" s="30" t="str">
        <f>[1]Admin!B5</f>
        <v xml:space="preserve">Algoma Power Inc.   </v>
      </c>
    </row>
    <row r="3" spans="2:8" x14ac:dyDescent="0.25">
      <c r="C3" s="1" t="s">
        <v>66</v>
      </c>
      <c r="E3" s="36" t="s">
        <v>67</v>
      </c>
      <c r="G3" s="36" t="s">
        <v>68</v>
      </c>
    </row>
    <row r="4" spans="2:8" x14ac:dyDescent="0.25">
      <c r="B4" t="s">
        <v>69</v>
      </c>
      <c r="C4" s="1" t="s">
        <v>70</v>
      </c>
      <c r="E4" s="36"/>
      <c r="G4" s="36"/>
    </row>
    <row r="5" spans="2:8" x14ac:dyDescent="0.25">
      <c r="B5" t="s">
        <v>71</v>
      </c>
      <c r="C5" s="1" t="s">
        <v>72</v>
      </c>
      <c r="E5" s="36"/>
      <c r="G5" s="36"/>
    </row>
    <row r="6" spans="2:8" x14ac:dyDescent="0.25">
      <c r="C6" s="1" t="s">
        <v>60</v>
      </c>
      <c r="D6" s="31" t="s">
        <v>73</v>
      </c>
      <c r="E6" s="32" t="s">
        <v>74</v>
      </c>
      <c r="G6" s="32" t="s">
        <v>75</v>
      </c>
    </row>
    <row r="7" spans="2:8" x14ac:dyDescent="0.25">
      <c r="B7" t="s">
        <v>76</v>
      </c>
      <c r="C7" s="33">
        <f>'Undertaking JT 1.6'!F13</f>
        <v>106126288.08439477</v>
      </c>
      <c r="D7" s="31">
        <f>C7/$C$11</f>
        <v>0.53533973402432111</v>
      </c>
      <c r="E7" s="25">
        <f>$E$11*D7</f>
        <v>334587.33376520069</v>
      </c>
      <c r="G7" s="34">
        <f>C7-E7</f>
        <v>105791700.75062957</v>
      </c>
    </row>
    <row r="8" spans="2:8" x14ac:dyDescent="0.25">
      <c r="B8" t="s">
        <v>77</v>
      </c>
      <c r="C8" s="33">
        <f>'Undertaking JT 1.6'!F27</f>
        <v>7755865.9389415476</v>
      </c>
      <c r="D8" s="31">
        <f>C8/$C$11</f>
        <v>3.9123418747854896E-2</v>
      </c>
      <c r="E8" s="25">
        <f>$E$11*D8</f>
        <v>24452.13671740931</v>
      </c>
      <c r="G8" s="34">
        <f t="shared" ref="G8:G10" si="0">C8-E8</f>
        <v>7731413.8022241388</v>
      </c>
    </row>
    <row r="9" spans="2:8" x14ac:dyDescent="0.25">
      <c r="B9" t="s">
        <v>78</v>
      </c>
      <c r="C9" s="33">
        <f>'Undertaking JT 1.6'!F41</f>
        <v>83551603.208854884</v>
      </c>
      <c r="D9" s="31">
        <f>C9/$C$11</f>
        <v>0.42146478357524925</v>
      </c>
      <c r="E9" s="25">
        <f>$E$11*D9</f>
        <v>263415.4897345308</v>
      </c>
      <c r="G9" s="34">
        <f t="shared" si="0"/>
        <v>83288187.719120353</v>
      </c>
    </row>
    <row r="10" spans="2:8" x14ac:dyDescent="0.25">
      <c r="B10" t="s">
        <v>79</v>
      </c>
      <c r="C10" s="33">
        <v>807250</v>
      </c>
      <c r="D10" s="31">
        <f>C10/$C$11</f>
        <v>4.07206365257468E-3</v>
      </c>
      <c r="E10" s="25">
        <f>$E$11*D10</f>
        <v>2545.0397828591749</v>
      </c>
      <c r="G10" s="34">
        <f t="shared" si="0"/>
        <v>804704.96021714085</v>
      </c>
    </row>
    <row r="11" spans="2:8" ht="15.75" thickBot="1" x14ac:dyDescent="0.3">
      <c r="B11" t="s">
        <v>80</v>
      </c>
      <c r="C11" s="35">
        <f>SUM(C7:C10)</f>
        <v>198241007.23219121</v>
      </c>
      <c r="D11" s="31">
        <f>C11/$C$11</f>
        <v>1</v>
      </c>
      <c r="E11" s="35">
        <v>625000</v>
      </c>
      <c r="G11" s="35">
        <f>SUM(G7:G10)</f>
        <v>197616007.23219123</v>
      </c>
      <c r="H11" s="16">
        <f>G11/C11-1</f>
        <v>-3.1527281298966425E-3</v>
      </c>
    </row>
    <row r="12" spans="2:8" x14ac:dyDescent="0.25">
      <c r="C12" s="1" t="s">
        <v>61</v>
      </c>
      <c r="E12" s="1" t="s">
        <v>63</v>
      </c>
    </row>
    <row r="14" spans="2:8" x14ac:dyDescent="0.25">
      <c r="C14" s="1" t="s">
        <v>66</v>
      </c>
      <c r="E14" s="36" t="s">
        <v>81</v>
      </c>
      <c r="G14" s="36" t="s">
        <v>68</v>
      </c>
    </row>
    <row r="15" spans="2:8" x14ac:dyDescent="0.25">
      <c r="C15" s="1" t="s">
        <v>70</v>
      </c>
      <c r="E15" s="36"/>
      <c r="G15" s="36"/>
    </row>
    <row r="16" spans="2:8" x14ac:dyDescent="0.25">
      <c r="B16" t="s">
        <v>82</v>
      </c>
      <c r="C16" s="1" t="s">
        <v>72</v>
      </c>
      <c r="E16" s="36"/>
      <c r="G16" s="36"/>
    </row>
    <row r="17" spans="2:8" x14ac:dyDescent="0.25">
      <c r="C17" s="1" t="s">
        <v>83</v>
      </c>
      <c r="D17" s="31" t="s">
        <v>84</v>
      </c>
      <c r="E17" s="32" t="s">
        <v>85</v>
      </c>
      <c r="G17" s="32" t="s">
        <v>86</v>
      </c>
    </row>
    <row r="18" spans="2:8" x14ac:dyDescent="0.25">
      <c r="B18" t="s">
        <v>76</v>
      </c>
      <c r="C18" s="33">
        <v>0</v>
      </c>
      <c r="D18" s="31">
        <f>C18/$C$22</f>
        <v>0</v>
      </c>
      <c r="E18" s="25"/>
      <c r="G18" s="34">
        <f>C18-E18</f>
        <v>0</v>
      </c>
    </row>
    <row r="19" spans="2:8" x14ac:dyDescent="0.25">
      <c r="B19" t="s">
        <v>77</v>
      </c>
      <c r="C19" s="33">
        <v>0</v>
      </c>
      <c r="D19" s="31">
        <f>C19/$C$22</f>
        <v>0</v>
      </c>
      <c r="E19" s="25"/>
      <c r="G19" s="34">
        <f t="shared" ref="G19:G21" si="1">C19-E19</f>
        <v>0</v>
      </c>
    </row>
    <row r="20" spans="2:8" x14ac:dyDescent="0.25">
      <c r="B20" t="s">
        <v>78</v>
      </c>
      <c r="C20" s="33">
        <v>199530</v>
      </c>
      <c r="D20" s="31">
        <f>C20/$C$22</f>
        <v>0.98817341693162575</v>
      </c>
      <c r="E20" s="25">
        <f>C20/C9*E9</f>
        <v>629.0638437583043</v>
      </c>
      <c r="G20" s="34">
        <f t="shared" si="1"/>
        <v>198900.93615624169</v>
      </c>
    </row>
    <row r="21" spans="2:8" x14ac:dyDescent="0.25">
      <c r="B21" t="s">
        <v>79</v>
      </c>
      <c r="C21" s="33">
        <v>2388</v>
      </c>
      <c r="D21" s="31">
        <f>C21/$C$22</f>
        <v>1.182658306837429E-2</v>
      </c>
      <c r="E21" s="25">
        <f>C21/C10*E10</f>
        <v>7.5287147741935092</v>
      </c>
      <c r="G21" s="34">
        <f t="shared" si="1"/>
        <v>2380.4712852258067</v>
      </c>
    </row>
    <row r="22" spans="2:8" ht="15.75" thickBot="1" x14ac:dyDescent="0.3">
      <c r="B22" t="s">
        <v>87</v>
      </c>
      <c r="C22" s="35">
        <f>SUM(C18:C21)</f>
        <v>201918</v>
      </c>
      <c r="D22" s="31">
        <f>C22/$C$22</f>
        <v>1</v>
      </c>
      <c r="E22" s="35">
        <f>SUM(E18:E21)</f>
        <v>636.59255853249783</v>
      </c>
      <c r="G22" s="35">
        <f>SUM(G18:G21)</f>
        <v>201281.40744146748</v>
      </c>
      <c r="H22" s="16">
        <f>G22/C22-1</f>
        <v>-3.1527281298968646E-3</v>
      </c>
    </row>
    <row r="23" spans="2:8" x14ac:dyDescent="0.25">
      <c r="C23" s="1" t="s">
        <v>88</v>
      </c>
    </row>
    <row r="24" spans="2:8" x14ac:dyDescent="0.25">
      <c r="B24" t="s">
        <v>89</v>
      </c>
    </row>
  </sheetData>
  <mergeCells count="4">
    <mergeCell ref="E3:E5"/>
    <mergeCell ref="G3:G5"/>
    <mergeCell ref="E14:E16"/>
    <mergeCell ref="G14:G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97"/>
  <sheetViews>
    <sheetView workbookViewId="0">
      <selection activeCell="C25" sqref="C25"/>
    </sheetView>
  </sheetViews>
  <sheetFormatPr defaultColWidth="10.85546875" defaultRowHeight="15" x14ac:dyDescent="0.25"/>
  <cols>
    <col min="1" max="1" width="9.140625" style="17"/>
    <col min="2" max="2" width="14.28515625" style="18" bestFit="1" customWidth="1"/>
    <col min="3" max="3" width="12.7109375" style="19" bestFit="1" customWidth="1"/>
    <col min="4" max="4" width="12.5703125" style="19" bestFit="1" customWidth="1"/>
    <col min="5" max="5" width="9.140625" style="19"/>
  </cols>
  <sheetData>
    <row r="1" spans="1:5" x14ac:dyDescent="0.25">
      <c r="A1" s="17" t="s">
        <v>10</v>
      </c>
      <c r="B1" s="18" t="s">
        <v>40</v>
      </c>
      <c r="C1" s="19" t="s">
        <v>41</v>
      </c>
      <c r="D1" s="19" t="s">
        <v>42</v>
      </c>
      <c r="E1" s="19" t="s">
        <v>43</v>
      </c>
    </row>
    <row r="2" spans="1:5" x14ac:dyDescent="0.25">
      <c r="A2" s="17">
        <v>38718</v>
      </c>
      <c r="B2" s="18">
        <v>16432360.530000001</v>
      </c>
      <c r="C2" s="19">
        <v>781.7</v>
      </c>
      <c r="D2" s="19">
        <v>0</v>
      </c>
      <c r="E2" s="19">
        <v>21</v>
      </c>
    </row>
    <row r="3" spans="1:5" x14ac:dyDescent="0.25">
      <c r="A3" s="17">
        <v>38749</v>
      </c>
      <c r="B3" s="18">
        <v>15254915.93</v>
      </c>
      <c r="C3" s="19">
        <v>862</v>
      </c>
      <c r="D3" s="19">
        <v>0</v>
      </c>
      <c r="E3" s="19">
        <v>20</v>
      </c>
    </row>
    <row r="4" spans="1:5" x14ac:dyDescent="0.25">
      <c r="A4" s="17">
        <v>38777</v>
      </c>
      <c r="B4" s="18">
        <v>14730427.050000001</v>
      </c>
      <c r="C4" s="19">
        <v>684.8</v>
      </c>
      <c r="D4" s="19">
        <v>0</v>
      </c>
      <c r="E4" s="19">
        <v>23</v>
      </c>
    </row>
    <row r="5" spans="1:5" x14ac:dyDescent="0.25">
      <c r="A5" s="17">
        <v>38808</v>
      </c>
      <c r="B5" s="18">
        <v>11361311.199999999</v>
      </c>
      <c r="C5" s="19">
        <v>415.4</v>
      </c>
      <c r="D5" s="19">
        <v>0</v>
      </c>
      <c r="E5" s="19">
        <v>18</v>
      </c>
    </row>
    <row r="6" spans="1:5" x14ac:dyDescent="0.25">
      <c r="A6" s="17">
        <v>38838</v>
      </c>
      <c r="B6" s="18">
        <v>10639715.810000001</v>
      </c>
      <c r="C6" s="19">
        <v>243.4</v>
      </c>
      <c r="D6" s="19">
        <v>3.9</v>
      </c>
      <c r="E6" s="19">
        <v>22</v>
      </c>
    </row>
    <row r="7" spans="1:5" x14ac:dyDescent="0.25">
      <c r="A7" s="17">
        <v>38869</v>
      </c>
      <c r="B7" s="18">
        <v>9655562.2699999996</v>
      </c>
      <c r="C7" s="19">
        <v>123.8</v>
      </c>
      <c r="D7" s="19">
        <v>4.3</v>
      </c>
      <c r="E7" s="19">
        <v>22</v>
      </c>
    </row>
    <row r="8" spans="1:5" x14ac:dyDescent="0.25">
      <c r="A8" s="17">
        <v>38899</v>
      </c>
      <c r="B8" s="18">
        <v>10846451.32</v>
      </c>
      <c r="C8" s="19">
        <v>52.8</v>
      </c>
      <c r="D8" s="19">
        <v>27.7</v>
      </c>
      <c r="E8" s="19">
        <v>20</v>
      </c>
    </row>
    <row r="9" spans="1:5" x14ac:dyDescent="0.25">
      <c r="A9" s="17">
        <v>38930</v>
      </c>
      <c r="B9" s="18">
        <v>10694433.439999999</v>
      </c>
      <c r="C9" s="19">
        <v>91</v>
      </c>
      <c r="D9" s="19">
        <v>7.5</v>
      </c>
      <c r="E9" s="19">
        <v>22</v>
      </c>
    </row>
    <row r="10" spans="1:5" x14ac:dyDescent="0.25">
      <c r="A10" s="17">
        <v>38961</v>
      </c>
      <c r="B10" s="18">
        <v>10191889.76</v>
      </c>
      <c r="C10" s="19">
        <v>214.4</v>
      </c>
      <c r="D10" s="19">
        <v>1.4</v>
      </c>
      <c r="E10" s="19">
        <v>20</v>
      </c>
    </row>
    <row r="11" spans="1:5" x14ac:dyDescent="0.25">
      <c r="A11" s="17">
        <v>38991</v>
      </c>
      <c r="B11" s="18">
        <v>12347060.369999999</v>
      </c>
      <c r="C11" s="19">
        <v>433.1</v>
      </c>
      <c r="D11" s="19">
        <v>0</v>
      </c>
      <c r="E11" s="19">
        <v>21</v>
      </c>
    </row>
    <row r="12" spans="1:5" x14ac:dyDescent="0.25">
      <c r="A12" s="17">
        <v>39022</v>
      </c>
      <c r="B12" s="18">
        <v>12995676.43</v>
      </c>
      <c r="C12" s="19">
        <v>518.5</v>
      </c>
      <c r="D12" s="19">
        <v>0</v>
      </c>
      <c r="E12" s="19">
        <v>22</v>
      </c>
    </row>
    <row r="13" spans="1:5" x14ac:dyDescent="0.25">
      <c r="A13" s="17">
        <v>39052</v>
      </c>
      <c r="B13" s="18">
        <v>15518992.219999999</v>
      </c>
      <c r="C13" s="19">
        <v>711.4</v>
      </c>
      <c r="D13" s="19">
        <v>0</v>
      </c>
      <c r="E13" s="19">
        <v>19</v>
      </c>
    </row>
    <row r="14" spans="1:5" x14ac:dyDescent="0.25">
      <c r="A14" s="17">
        <v>39083</v>
      </c>
      <c r="B14" s="18">
        <v>17027640.539999999</v>
      </c>
      <c r="C14" s="19">
        <v>904.3</v>
      </c>
      <c r="D14" s="19">
        <v>0</v>
      </c>
      <c r="E14" s="19">
        <v>22</v>
      </c>
    </row>
    <row r="15" spans="1:5" x14ac:dyDescent="0.25">
      <c r="A15" s="17">
        <v>39114</v>
      </c>
      <c r="B15" s="18">
        <v>16669380.510000002</v>
      </c>
      <c r="C15" s="19">
        <v>948.2</v>
      </c>
      <c r="D15" s="19">
        <v>0</v>
      </c>
      <c r="E15" s="19">
        <v>20</v>
      </c>
    </row>
    <row r="16" spans="1:5" x14ac:dyDescent="0.25">
      <c r="A16" s="17">
        <v>39142</v>
      </c>
      <c r="B16" s="18">
        <v>14934754.379999999</v>
      </c>
      <c r="C16" s="19">
        <v>725.1</v>
      </c>
      <c r="D16" s="19">
        <v>0</v>
      </c>
      <c r="E16" s="19">
        <v>22</v>
      </c>
    </row>
    <row r="17" spans="1:5" x14ac:dyDescent="0.25">
      <c r="A17" s="17">
        <v>39173</v>
      </c>
      <c r="B17" s="18">
        <v>12687457.810000002</v>
      </c>
      <c r="C17" s="19">
        <v>505.4</v>
      </c>
      <c r="D17" s="19">
        <v>0</v>
      </c>
      <c r="E17" s="19">
        <v>19</v>
      </c>
    </row>
    <row r="18" spans="1:5" x14ac:dyDescent="0.25">
      <c r="A18" s="17">
        <v>39203</v>
      </c>
      <c r="B18" s="18">
        <v>10985339.710000001</v>
      </c>
      <c r="C18" s="19">
        <v>267.8</v>
      </c>
      <c r="D18" s="19">
        <v>3.8</v>
      </c>
      <c r="E18" s="19">
        <v>22</v>
      </c>
    </row>
    <row r="19" spans="1:5" x14ac:dyDescent="0.25">
      <c r="A19" s="17">
        <v>39234</v>
      </c>
      <c r="B19" s="18">
        <v>9760012.7799999993</v>
      </c>
      <c r="C19" s="19">
        <v>116.4</v>
      </c>
      <c r="D19" s="19">
        <v>9.6</v>
      </c>
      <c r="E19" s="19">
        <v>21</v>
      </c>
    </row>
    <row r="20" spans="1:5" x14ac:dyDescent="0.25">
      <c r="A20" s="17">
        <v>39264</v>
      </c>
      <c r="B20" s="18">
        <v>10363539.75</v>
      </c>
      <c r="C20" s="19">
        <v>100.5</v>
      </c>
      <c r="D20" s="19">
        <v>15.8</v>
      </c>
      <c r="E20" s="19">
        <v>21</v>
      </c>
    </row>
    <row r="21" spans="1:5" x14ac:dyDescent="0.25">
      <c r="A21" s="17">
        <v>39295</v>
      </c>
      <c r="B21" s="18">
        <v>10623681.955423476</v>
      </c>
      <c r="C21" s="19">
        <v>70.8</v>
      </c>
      <c r="D21" s="19">
        <v>10.7</v>
      </c>
      <c r="E21" s="19">
        <v>22</v>
      </c>
    </row>
    <row r="22" spans="1:5" x14ac:dyDescent="0.25">
      <c r="A22" s="17">
        <v>39326</v>
      </c>
      <c r="B22" s="18">
        <v>9937765.4600000009</v>
      </c>
      <c r="C22" s="19">
        <v>159.69999999999999</v>
      </c>
      <c r="D22" s="19">
        <v>5.6</v>
      </c>
      <c r="E22" s="19">
        <v>19</v>
      </c>
    </row>
    <row r="23" spans="1:5" x14ac:dyDescent="0.25">
      <c r="A23" s="17">
        <v>39356</v>
      </c>
      <c r="B23" s="18">
        <v>11018147.890000001</v>
      </c>
      <c r="C23" s="19">
        <v>303.89999999999998</v>
      </c>
      <c r="D23" s="19">
        <v>0</v>
      </c>
      <c r="E23" s="19">
        <v>22</v>
      </c>
    </row>
    <row r="24" spans="1:5" x14ac:dyDescent="0.25">
      <c r="A24" s="17">
        <v>39387</v>
      </c>
      <c r="B24" s="18">
        <v>13301022.960000001</v>
      </c>
      <c r="C24" s="19">
        <v>602.70000000000005</v>
      </c>
      <c r="D24" s="19">
        <v>0</v>
      </c>
      <c r="E24" s="19">
        <v>22</v>
      </c>
    </row>
    <row r="25" spans="1:5" x14ac:dyDescent="0.25">
      <c r="A25" s="17">
        <v>39417</v>
      </c>
      <c r="B25" s="18">
        <v>16610853.84</v>
      </c>
      <c r="C25" s="19">
        <v>870.2</v>
      </c>
      <c r="D25" s="19">
        <v>0</v>
      </c>
      <c r="E25" s="19">
        <v>19</v>
      </c>
    </row>
    <row r="26" spans="1:5" x14ac:dyDescent="0.25">
      <c r="A26" s="17">
        <v>39448</v>
      </c>
      <c r="B26" s="18">
        <v>16747623.760000002</v>
      </c>
      <c r="C26" s="19">
        <v>873.3</v>
      </c>
      <c r="D26" s="19">
        <v>0</v>
      </c>
      <c r="E26" s="19">
        <v>22</v>
      </c>
    </row>
    <row r="27" spans="1:5" x14ac:dyDescent="0.25">
      <c r="A27" s="17">
        <v>39479</v>
      </c>
      <c r="B27" s="18">
        <v>16220989.899999999</v>
      </c>
      <c r="C27" s="19">
        <v>893.4</v>
      </c>
      <c r="D27" s="19">
        <v>0</v>
      </c>
      <c r="E27" s="19">
        <v>20</v>
      </c>
    </row>
    <row r="28" spans="1:5" x14ac:dyDescent="0.25">
      <c r="A28" s="17">
        <v>39508</v>
      </c>
      <c r="B28" s="18">
        <v>16185519.129999999</v>
      </c>
      <c r="C28" s="19">
        <v>838</v>
      </c>
      <c r="D28" s="19">
        <v>0</v>
      </c>
      <c r="E28" s="19">
        <v>19</v>
      </c>
    </row>
    <row r="29" spans="1:5" x14ac:dyDescent="0.25">
      <c r="A29" s="17">
        <v>39539</v>
      </c>
      <c r="B29" s="18">
        <v>12384878.220000001</v>
      </c>
      <c r="C29" s="19">
        <v>461</v>
      </c>
      <c r="D29" s="19">
        <v>0</v>
      </c>
      <c r="E29" s="19">
        <v>22</v>
      </c>
    </row>
    <row r="30" spans="1:5" x14ac:dyDescent="0.25">
      <c r="A30" s="17">
        <v>39569</v>
      </c>
      <c r="B30" s="18">
        <v>11570573.57</v>
      </c>
      <c r="C30" s="19">
        <v>376.9</v>
      </c>
      <c r="D30" s="19">
        <v>0</v>
      </c>
      <c r="E30" s="19">
        <v>21</v>
      </c>
    </row>
    <row r="31" spans="1:5" x14ac:dyDescent="0.25">
      <c r="A31" s="17">
        <v>39600</v>
      </c>
      <c r="B31" s="18">
        <v>10031531.33</v>
      </c>
      <c r="C31" s="19">
        <v>151</v>
      </c>
      <c r="D31" s="19">
        <v>2.1</v>
      </c>
      <c r="E31" s="19">
        <v>21</v>
      </c>
    </row>
    <row r="32" spans="1:5" x14ac:dyDescent="0.25">
      <c r="A32" s="17">
        <v>39630</v>
      </c>
      <c r="B32" s="18">
        <v>10603201.34</v>
      </c>
      <c r="C32" s="19">
        <v>106.3</v>
      </c>
      <c r="D32" s="19">
        <v>1</v>
      </c>
      <c r="E32" s="19">
        <v>22</v>
      </c>
    </row>
    <row r="33" spans="1:5" x14ac:dyDescent="0.25">
      <c r="A33" s="17">
        <v>39661</v>
      </c>
      <c r="B33" s="18">
        <v>10275407.85</v>
      </c>
      <c r="C33" s="19">
        <v>80.099999999999994</v>
      </c>
      <c r="D33" s="19">
        <v>2.8</v>
      </c>
      <c r="E33" s="19">
        <v>20</v>
      </c>
    </row>
    <row r="34" spans="1:5" x14ac:dyDescent="0.25">
      <c r="A34" s="17">
        <v>39692</v>
      </c>
      <c r="B34" s="18">
        <v>9957791.7799999993</v>
      </c>
      <c r="C34" s="19">
        <v>192.3</v>
      </c>
      <c r="D34" s="19">
        <v>5.5</v>
      </c>
      <c r="E34" s="19">
        <v>21</v>
      </c>
    </row>
    <row r="35" spans="1:5" x14ac:dyDescent="0.25">
      <c r="A35" s="17">
        <v>39722</v>
      </c>
      <c r="B35" s="18">
        <v>11903930.970000001</v>
      </c>
      <c r="C35" s="19">
        <v>384.1</v>
      </c>
      <c r="D35" s="19">
        <v>0</v>
      </c>
      <c r="E35" s="19">
        <v>22</v>
      </c>
    </row>
    <row r="36" spans="1:5" x14ac:dyDescent="0.25">
      <c r="A36" s="17">
        <v>39753</v>
      </c>
      <c r="B36" s="18">
        <v>13578501.350000001</v>
      </c>
      <c r="C36" s="19">
        <v>564</v>
      </c>
      <c r="D36" s="19">
        <v>0</v>
      </c>
      <c r="E36" s="19">
        <v>20</v>
      </c>
    </row>
    <row r="37" spans="1:5" x14ac:dyDescent="0.25">
      <c r="A37" s="17">
        <v>39783</v>
      </c>
      <c r="B37" s="18">
        <v>18362207.48</v>
      </c>
      <c r="C37" s="19">
        <v>946.7</v>
      </c>
      <c r="D37" s="19">
        <v>0</v>
      </c>
      <c r="E37" s="19">
        <v>21</v>
      </c>
    </row>
    <row r="38" spans="1:5" x14ac:dyDescent="0.25">
      <c r="A38" s="17">
        <v>39814</v>
      </c>
      <c r="B38" s="18">
        <v>18881349</v>
      </c>
      <c r="C38" s="19">
        <v>1063.5</v>
      </c>
      <c r="D38" s="19">
        <v>0</v>
      </c>
      <c r="E38" s="19">
        <v>21</v>
      </c>
    </row>
    <row r="39" spans="1:5" x14ac:dyDescent="0.25">
      <c r="A39" s="17">
        <v>39845</v>
      </c>
      <c r="B39" s="18">
        <v>15951302.32</v>
      </c>
      <c r="C39" s="19">
        <v>831.7</v>
      </c>
      <c r="D39" s="19">
        <v>0</v>
      </c>
      <c r="E39" s="19">
        <v>19</v>
      </c>
    </row>
    <row r="40" spans="1:5" x14ac:dyDescent="0.25">
      <c r="A40" s="17">
        <v>39873</v>
      </c>
      <c r="B40" s="18">
        <v>15986795.57</v>
      </c>
      <c r="C40" s="19">
        <v>744.1</v>
      </c>
      <c r="D40" s="19">
        <v>0</v>
      </c>
      <c r="E40" s="19">
        <v>22</v>
      </c>
    </row>
    <row r="41" spans="1:5" x14ac:dyDescent="0.25">
      <c r="A41" s="17">
        <v>39904</v>
      </c>
      <c r="B41" s="18">
        <v>12817613.51</v>
      </c>
      <c r="C41" s="19">
        <v>480.2</v>
      </c>
      <c r="D41" s="19">
        <v>0</v>
      </c>
      <c r="E41" s="19">
        <v>20</v>
      </c>
    </row>
    <row r="42" spans="1:5" x14ac:dyDescent="0.25">
      <c r="A42" s="17">
        <v>39934</v>
      </c>
      <c r="B42" s="18">
        <v>11557935.369999999</v>
      </c>
      <c r="C42" s="19">
        <v>358.7</v>
      </c>
      <c r="D42" s="19">
        <v>0</v>
      </c>
      <c r="E42" s="19">
        <v>20</v>
      </c>
    </row>
    <row r="43" spans="1:5" x14ac:dyDescent="0.25">
      <c r="A43" s="17">
        <v>39965</v>
      </c>
      <c r="B43" s="18">
        <v>10386431.49</v>
      </c>
      <c r="C43" s="19">
        <v>188.5</v>
      </c>
      <c r="D43" s="19">
        <v>6.4</v>
      </c>
      <c r="E43" s="19">
        <v>22</v>
      </c>
    </row>
    <row r="44" spans="1:5" x14ac:dyDescent="0.25">
      <c r="A44" s="17">
        <v>39995</v>
      </c>
      <c r="B44" s="18">
        <v>10790837.5</v>
      </c>
      <c r="C44" s="19">
        <v>154</v>
      </c>
      <c r="D44" s="19">
        <v>0</v>
      </c>
      <c r="E44" s="19">
        <v>22</v>
      </c>
    </row>
    <row r="45" spans="1:5" x14ac:dyDescent="0.25">
      <c r="A45" s="17">
        <v>40026</v>
      </c>
      <c r="B45" s="18">
        <v>11118670.27</v>
      </c>
      <c r="C45" s="19">
        <v>122.6</v>
      </c>
      <c r="D45" s="19">
        <v>11</v>
      </c>
      <c r="E45" s="19">
        <v>20</v>
      </c>
    </row>
    <row r="46" spans="1:5" x14ac:dyDescent="0.25">
      <c r="A46" s="17">
        <v>40057</v>
      </c>
      <c r="B46" s="18">
        <v>10133781.59</v>
      </c>
      <c r="C46" s="19">
        <v>160.9</v>
      </c>
      <c r="D46" s="19">
        <v>0</v>
      </c>
      <c r="E46" s="19">
        <v>21</v>
      </c>
    </row>
    <row r="47" spans="1:5" x14ac:dyDescent="0.25">
      <c r="A47" s="17">
        <v>40087</v>
      </c>
      <c r="B47" s="18">
        <v>13000847.74</v>
      </c>
      <c r="C47" s="19">
        <v>450</v>
      </c>
      <c r="D47" s="19">
        <v>0</v>
      </c>
      <c r="E47" s="19">
        <v>21</v>
      </c>
    </row>
    <row r="48" spans="1:5" x14ac:dyDescent="0.25">
      <c r="A48" s="17">
        <v>40118</v>
      </c>
      <c r="B48" s="18">
        <v>12805137.380000001</v>
      </c>
      <c r="C48" s="19">
        <v>466.5</v>
      </c>
      <c r="D48" s="19">
        <v>0</v>
      </c>
      <c r="E48" s="19">
        <v>21</v>
      </c>
    </row>
    <row r="49" spans="1:5" x14ac:dyDescent="0.25">
      <c r="A49" s="17">
        <v>40148</v>
      </c>
      <c r="B49" s="18">
        <v>17322151.559999999</v>
      </c>
      <c r="C49" s="19">
        <v>865</v>
      </c>
      <c r="D49" s="19">
        <v>0</v>
      </c>
      <c r="E49" s="19">
        <v>21</v>
      </c>
    </row>
    <row r="50" spans="1:5" x14ac:dyDescent="0.25">
      <c r="A50" s="17">
        <v>40179</v>
      </c>
      <c r="B50" s="18">
        <v>17283128.699999999</v>
      </c>
      <c r="C50" s="19">
        <v>906</v>
      </c>
      <c r="D50" s="19">
        <v>0</v>
      </c>
      <c r="E50" s="19">
        <v>20</v>
      </c>
    </row>
    <row r="51" spans="1:5" x14ac:dyDescent="0.25">
      <c r="A51" s="17">
        <v>40210</v>
      </c>
      <c r="B51" s="18">
        <v>14874695.649999999</v>
      </c>
      <c r="C51" s="19">
        <v>779.8</v>
      </c>
      <c r="D51" s="19">
        <v>0</v>
      </c>
      <c r="E51" s="19">
        <v>19</v>
      </c>
    </row>
    <row r="52" spans="1:5" x14ac:dyDescent="0.25">
      <c r="A52" s="17">
        <v>40238</v>
      </c>
      <c r="B52" s="18">
        <v>13997010.93</v>
      </c>
      <c r="C52" s="19">
        <v>544.79999999999995</v>
      </c>
      <c r="D52" s="19">
        <v>0</v>
      </c>
      <c r="E52" s="19">
        <v>23</v>
      </c>
    </row>
    <row r="53" spans="1:5" x14ac:dyDescent="0.25">
      <c r="A53" s="17">
        <v>40269</v>
      </c>
      <c r="B53" s="18">
        <v>10847949.960000001</v>
      </c>
      <c r="C53" s="19">
        <v>388.1</v>
      </c>
      <c r="D53" s="19">
        <v>0</v>
      </c>
      <c r="E53" s="19">
        <v>20</v>
      </c>
    </row>
    <row r="54" spans="1:5" x14ac:dyDescent="0.25">
      <c r="A54" s="17">
        <v>40299</v>
      </c>
      <c r="B54" s="18">
        <v>10080566.119999999</v>
      </c>
      <c r="C54" s="19">
        <v>221.9</v>
      </c>
      <c r="D54" s="19">
        <v>10.8</v>
      </c>
      <c r="E54" s="19">
        <v>20</v>
      </c>
    </row>
    <row r="55" spans="1:5" x14ac:dyDescent="0.25">
      <c r="A55" s="17">
        <v>40330</v>
      </c>
      <c r="B55" s="18">
        <v>9283863.4100000001</v>
      </c>
      <c r="C55" s="19">
        <v>121.1</v>
      </c>
      <c r="D55" s="19">
        <v>2.8</v>
      </c>
      <c r="E55" s="19">
        <v>22</v>
      </c>
    </row>
    <row r="56" spans="1:5" x14ac:dyDescent="0.25">
      <c r="A56" s="17">
        <v>40360</v>
      </c>
      <c r="B56" s="18">
        <v>10277037.66</v>
      </c>
      <c r="C56" s="19">
        <v>36.6</v>
      </c>
      <c r="D56" s="19">
        <v>11.6</v>
      </c>
      <c r="E56" s="19">
        <v>21</v>
      </c>
    </row>
    <row r="57" spans="1:5" x14ac:dyDescent="0.25">
      <c r="A57" s="17">
        <v>40391</v>
      </c>
      <c r="B57" s="18">
        <v>10298675.939999999</v>
      </c>
      <c r="C57" s="19">
        <v>52.2</v>
      </c>
      <c r="D57" s="19">
        <v>45.9</v>
      </c>
      <c r="E57" s="19">
        <v>21</v>
      </c>
    </row>
    <row r="58" spans="1:5" x14ac:dyDescent="0.25">
      <c r="A58" s="17">
        <v>40422</v>
      </c>
      <c r="B58" s="18">
        <v>9789881.8000000007</v>
      </c>
      <c r="C58" s="19">
        <v>224.1</v>
      </c>
      <c r="D58" s="19">
        <v>0.4</v>
      </c>
      <c r="E58" s="19">
        <v>21</v>
      </c>
    </row>
    <row r="59" spans="1:5" x14ac:dyDescent="0.25">
      <c r="A59" s="17">
        <v>40452</v>
      </c>
      <c r="B59" s="18">
        <v>10854951.359999999</v>
      </c>
      <c r="C59" s="19">
        <v>373.7</v>
      </c>
      <c r="D59" s="19">
        <v>0</v>
      </c>
      <c r="E59" s="19">
        <v>20</v>
      </c>
    </row>
    <row r="60" spans="1:5" x14ac:dyDescent="0.25">
      <c r="A60" s="17">
        <v>40483</v>
      </c>
      <c r="B60" s="18">
        <v>12307817.600000001</v>
      </c>
      <c r="C60" s="19">
        <v>539.9</v>
      </c>
      <c r="D60" s="19">
        <v>0</v>
      </c>
      <c r="E60" s="19">
        <v>22</v>
      </c>
    </row>
    <row r="61" spans="1:5" x14ac:dyDescent="0.25">
      <c r="A61" s="17">
        <v>40513</v>
      </c>
      <c r="B61" s="18">
        <v>16509634.079999998</v>
      </c>
      <c r="C61" s="19">
        <v>833.5</v>
      </c>
      <c r="D61" s="19">
        <v>0</v>
      </c>
      <c r="E61" s="19">
        <v>21</v>
      </c>
    </row>
    <row r="62" spans="1:5" x14ac:dyDescent="0.25">
      <c r="A62" s="17">
        <v>40544</v>
      </c>
      <c r="B62" s="18">
        <v>18210954.41</v>
      </c>
      <c r="C62" s="19">
        <v>1033.5999999999999</v>
      </c>
      <c r="D62" s="19">
        <v>0</v>
      </c>
      <c r="E62" s="19">
        <v>20</v>
      </c>
    </row>
    <row r="63" spans="1:5" x14ac:dyDescent="0.25">
      <c r="A63" s="17">
        <v>40575</v>
      </c>
      <c r="B63" s="18">
        <v>15275983.57</v>
      </c>
      <c r="C63" s="19">
        <v>832</v>
      </c>
      <c r="D63" s="19">
        <v>0</v>
      </c>
      <c r="E63" s="19">
        <v>19</v>
      </c>
    </row>
    <row r="64" spans="1:5" x14ac:dyDescent="0.25">
      <c r="A64" s="17">
        <v>40603</v>
      </c>
      <c r="B64" s="18">
        <v>14923502.969999999</v>
      </c>
      <c r="C64" s="19">
        <v>790.1</v>
      </c>
      <c r="D64" s="19">
        <v>0</v>
      </c>
      <c r="E64" s="19">
        <v>23</v>
      </c>
    </row>
    <row r="65" spans="1:5" x14ac:dyDescent="0.25">
      <c r="A65" s="17">
        <v>40634</v>
      </c>
      <c r="B65" s="18">
        <v>12118407.5</v>
      </c>
      <c r="C65" s="19">
        <v>521.4</v>
      </c>
      <c r="D65" s="19">
        <v>0</v>
      </c>
      <c r="E65" s="19">
        <v>19</v>
      </c>
    </row>
    <row r="66" spans="1:5" x14ac:dyDescent="0.25">
      <c r="A66" s="17">
        <v>40664</v>
      </c>
      <c r="B66" s="18">
        <v>10132000.65</v>
      </c>
      <c r="C66" s="19">
        <v>262.5</v>
      </c>
      <c r="D66" s="19">
        <v>1.2</v>
      </c>
      <c r="E66" s="19">
        <v>21</v>
      </c>
    </row>
    <row r="67" spans="1:5" x14ac:dyDescent="0.25">
      <c r="A67" s="17">
        <v>40695</v>
      </c>
      <c r="B67" s="18">
        <v>9032152.8599999994</v>
      </c>
      <c r="C67" s="19">
        <v>124.3</v>
      </c>
      <c r="D67" s="19">
        <v>1.4</v>
      </c>
      <c r="E67" s="19">
        <v>22</v>
      </c>
    </row>
    <row r="68" spans="1:5" x14ac:dyDescent="0.25">
      <c r="A68" s="17">
        <v>40725</v>
      </c>
      <c r="B68" s="18">
        <v>10244088.84</v>
      </c>
      <c r="C68" s="19">
        <v>62.5</v>
      </c>
      <c r="D68" s="19">
        <v>14.1</v>
      </c>
      <c r="E68" s="19">
        <v>20</v>
      </c>
    </row>
    <row r="69" spans="1:5" x14ac:dyDescent="0.25">
      <c r="A69" s="17">
        <v>40756</v>
      </c>
      <c r="B69" s="18">
        <v>10453709.460000001</v>
      </c>
      <c r="C69" s="19">
        <v>60</v>
      </c>
      <c r="D69" s="19">
        <v>11.9</v>
      </c>
      <c r="E69" s="19">
        <v>22</v>
      </c>
    </row>
    <row r="70" spans="1:5" x14ac:dyDescent="0.25">
      <c r="A70" s="17">
        <v>40787</v>
      </c>
      <c r="B70" s="18">
        <v>9912883.3800000008</v>
      </c>
      <c r="C70" s="19">
        <v>172.6</v>
      </c>
      <c r="D70" s="19">
        <v>3.4</v>
      </c>
      <c r="E70" s="19">
        <v>21</v>
      </c>
    </row>
    <row r="71" spans="1:5" x14ac:dyDescent="0.25">
      <c r="A71" s="17">
        <v>40817</v>
      </c>
      <c r="B71" s="18">
        <v>10981342.77</v>
      </c>
      <c r="C71" s="19">
        <v>320.39999999999998</v>
      </c>
      <c r="D71" s="19">
        <v>1.5</v>
      </c>
      <c r="E71" s="19">
        <v>20</v>
      </c>
    </row>
    <row r="72" spans="1:5" x14ac:dyDescent="0.25">
      <c r="A72" s="17">
        <v>40848</v>
      </c>
      <c r="B72" s="18">
        <v>12396977.68</v>
      </c>
      <c r="C72" s="19">
        <v>519.9</v>
      </c>
      <c r="D72" s="19">
        <v>0</v>
      </c>
      <c r="E72" s="19">
        <v>22</v>
      </c>
    </row>
    <row r="73" spans="1:5" x14ac:dyDescent="0.25">
      <c r="A73" s="17">
        <v>40878</v>
      </c>
      <c r="B73" s="18">
        <v>15364156.579999998</v>
      </c>
      <c r="C73" s="19">
        <v>787</v>
      </c>
      <c r="D73" s="19">
        <v>0</v>
      </c>
      <c r="E73" s="19">
        <v>20</v>
      </c>
    </row>
    <row r="74" spans="1:5" x14ac:dyDescent="0.25">
      <c r="A74" s="17">
        <v>40909</v>
      </c>
      <c r="B74" s="18">
        <v>16257178</v>
      </c>
      <c r="C74" s="19">
        <v>870.6</v>
      </c>
      <c r="D74" s="19">
        <v>0</v>
      </c>
      <c r="E74" s="19">
        <v>21</v>
      </c>
    </row>
    <row r="75" spans="1:5" x14ac:dyDescent="0.25">
      <c r="A75" s="17">
        <v>40940</v>
      </c>
      <c r="B75" s="18">
        <v>14151568</v>
      </c>
      <c r="C75" s="19">
        <v>733.6</v>
      </c>
      <c r="D75" s="19">
        <v>0</v>
      </c>
      <c r="E75" s="19">
        <v>20</v>
      </c>
    </row>
    <row r="76" spans="1:5" x14ac:dyDescent="0.25">
      <c r="A76" s="17">
        <v>40969</v>
      </c>
      <c r="B76" s="18">
        <v>13453783</v>
      </c>
      <c r="C76" s="19">
        <v>541.70000000000005</v>
      </c>
      <c r="D76" s="19">
        <v>0</v>
      </c>
      <c r="E76" s="19">
        <v>22</v>
      </c>
    </row>
    <row r="77" spans="1:5" x14ac:dyDescent="0.25">
      <c r="A77" s="17">
        <v>41000</v>
      </c>
      <c r="B77" s="18">
        <v>11682191</v>
      </c>
      <c r="C77" s="19">
        <v>476.7</v>
      </c>
      <c r="D77" s="19">
        <v>0</v>
      </c>
      <c r="E77" s="19">
        <v>19</v>
      </c>
    </row>
    <row r="78" spans="1:5" x14ac:dyDescent="0.25">
      <c r="A78" s="17">
        <v>41030</v>
      </c>
      <c r="B78" s="18">
        <v>10307176</v>
      </c>
      <c r="C78" s="19">
        <v>230.7</v>
      </c>
      <c r="D78" s="19">
        <v>6.5</v>
      </c>
      <c r="E78" s="19">
        <v>22</v>
      </c>
    </row>
    <row r="79" spans="1:5" x14ac:dyDescent="0.25">
      <c r="A79" s="17">
        <v>41061</v>
      </c>
      <c r="B79" s="18">
        <v>9779424</v>
      </c>
      <c r="C79" s="19">
        <v>93.5</v>
      </c>
      <c r="D79" s="19">
        <v>15.1</v>
      </c>
      <c r="E79" s="19">
        <v>21</v>
      </c>
    </row>
    <row r="80" spans="1:5" x14ac:dyDescent="0.25">
      <c r="A80" s="17">
        <v>41091</v>
      </c>
      <c r="B80" s="18">
        <v>10817789</v>
      </c>
      <c r="C80" s="19">
        <v>27.3</v>
      </c>
      <c r="D80" s="19">
        <v>22.5</v>
      </c>
      <c r="E80" s="19">
        <v>21</v>
      </c>
    </row>
    <row r="81" spans="1:5" x14ac:dyDescent="0.25">
      <c r="A81" s="17">
        <v>41122</v>
      </c>
      <c r="B81" s="18">
        <v>10717021</v>
      </c>
      <c r="C81" s="19">
        <v>62.8</v>
      </c>
      <c r="D81" s="19">
        <v>17.8</v>
      </c>
      <c r="E81" s="19">
        <v>22</v>
      </c>
    </row>
    <row r="82" spans="1:5" x14ac:dyDescent="0.25">
      <c r="A82" s="17">
        <v>41153</v>
      </c>
      <c r="B82" s="18">
        <v>10163216</v>
      </c>
      <c r="C82" s="19">
        <v>219.8</v>
      </c>
      <c r="D82" s="19">
        <v>5.4</v>
      </c>
      <c r="E82" s="19">
        <v>19</v>
      </c>
    </row>
    <row r="83" spans="1:5" x14ac:dyDescent="0.25">
      <c r="A83" s="17">
        <v>41183</v>
      </c>
      <c r="B83" s="18">
        <v>11586791</v>
      </c>
      <c r="C83" s="19">
        <v>379.9</v>
      </c>
      <c r="D83" s="19">
        <v>0</v>
      </c>
      <c r="E83" s="19">
        <v>22</v>
      </c>
    </row>
    <row r="84" spans="1:5" x14ac:dyDescent="0.25">
      <c r="A84" s="17">
        <v>41214</v>
      </c>
      <c r="B84" s="18">
        <v>13032681</v>
      </c>
      <c r="C84" s="19">
        <v>567.9</v>
      </c>
      <c r="D84" s="19">
        <v>0</v>
      </c>
      <c r="E84" s="19">
        <v>22</v>
      </c>
    </row>
    <row r="85" spans="1:5" x14ac:dyDescent="0.25">
      <c r="A85" s="17">
        <v>41244</v>
      </c>
      <c r="B85" s="18">
        <v>15521871</v>
      </c>
      <c r="C85" s="19">
        <v>777.7</v>
      </c>
      <c r="D85" s="19">
        <v>0</v>
      </c>
      <c r="E85" s="19">
        <v>19</v>
      </c>
    </row>
    <row r="86" spans="1:5" x14ac:dyDescent="0.25">
      <c r="A86" s="17">
        <v>41275</v>
      </c>
      <c r="B86" s="18">
        <v>16693786</v>
      </c>
      <c r="C86" s="19">
        <v>782.4</v>
      </c>
      <c r="D86" s="19">
        <v>0</v>
      </c>
      <c r="E86" s="19">
        <v>22</v>
      </c>
    </row>
    <row r="87" spans="1:5" x14ac:dyDescent="0.25">
      <c r="A87" s="17">
        <v>41306</v>
      </c>
      <c r="B87" s="18">
        <v>15174191</v>
      </c>
      <c r="C87" s="19">
        <v>692.5</v>
      </c>
      <c r="D87" s="19">
        <v>0</v>
      </c>
      <c r="E87" s="19">
        <v>19</v>
      </c>
    </row>
    <row r="88" spans="1:5" x14ac:dyDescent="0.25">
      <c r="A88" s="17">
        <v>41334</v>
      </c>
      <c r="B88" s="18">
        <v>14601438</v>
      </c>
      <c r="C88" s="19">
        <v>716.9</v>
      </c>
      <c r="D88" s="19">
        <v>0</v>
      </c>
      <c r="E88" s="19">
        <v>20</v>
      </c>
    </row>
    <row r="89" spans="1:5" x14ac:dyDescent="0.25">
      <c r="A89" s="17">
        <v>41365</v>
      </c>
      <c r="B89" s="18">
        <v>13150077</v>
      </c>
      <c r="C89" s="19">
        <v>513.5</v>
      </c>
      <c r="D89" s="19">
        <v>0</v>
      </c>
      <c r="E89" s="19">
        <v>21</v>
      </c>
    </row>
    <row r="90" spans="1:5" x14ac:dyDescent="0.25">
      <c r="A90" s="17">
        <v>41395</v>
      </c>
      <c r="B90" s="18">
        <v>10553126</v>
      </c>
      <c r="C90" s="19">
        <v>306.5</v>
      </c>
      <c r="D90" s="19">
        <v>0</v>
      </c>
      <c r="E90" s="19">
        <v>22</v>
      </c>
    </row>
    <row r="91" spans="1:5" x14ac:dyDescent="0.25">
      <c r="A91" s="17">
        <v>41426</v>
      </c>
      <c r="B91" s="18">
        <v>9632056</v>
      </c>
      <c r="C91" s="19">
        <v>134.6</v>
      </c>
      <c r="D91" s="19">
        <v>4</v>
      </c>
      <c r="E91" s="19">
        <v>20</v>
      </c>
    </row>
    <row r="92" spans="1:5" x14ac:dyDescent="0.25">
      <c r="A92" s="17">
        <v>41456</v>
      </c>
      <c r="B92" s="18">
        <v>10454381</v>
      </c>
      <c r="C92" s="19">
        <v>72.599999999999994</v>
      </c>
      <c r="D92" s="19">
        <v>13.5</v>
      </c>
      <c r="E92" s="19">
        <v>22</v>
      </c>
    </row>
    <row r="93" spans="1:5" x14ac:dyDescent="0.25">
      <c r="A93" s="17">
        <v>41487</v>
      </c>
      <c r="B93" s="18">
        <v>10345419</v>
      </c>
      <c r="C93" s="19">
        <v>82.1</v>
      </c>
      <c r="D93" s="19">
        <v>17.8</v>
      </c>
      <c r="E93" s="19">
        <v>21</v>
      </c>
    </row>
    <row r="94" spans="1:5" x14ac:dyDescent="0.25">
      <c r="A94" s="17">
        <v>41518</v>
      </c>
      <c r="B94" s="18">
        <v>10224461</v>
      </c>
      <c r="C94" s="19">
        <v>170.5</v>
      </c>
      <c r="D94" s="19">
        <v>0</v>
      </c>
      <c r="E94" s="19">
        <v>20</v>
      </c>
    </row>
    <row r="95" spans="1:5" x14ac:dyDescent="0.25">
      <c r="A95" s="17">
        <v>41548</v>
      </c>
      <c r="B95" s="18">
        <v>12045684</v>
      </c>
      <c r="C95" s="19">
        <v>325.89999999999998</v>
      </c>
      <c r="D95" s="19">
        <v>0</v>
      </c>
      <c r="E95" s="19">
        <v>22</v>
      </c>
    </row>
    <row r="96" spans="1:5" x14ac:dyDescent="0.25">
      <c r="A96" s="17">
        <v>41579</v>
      </c>
      <c r="B96" s="18">
        <v>14228773</v>
      </c>
      <c r="C96" s="19">
        <v>587.79999999999995</v>
      </c>
      <c r="D96" s="19">
        <v>0</v>
      </c>
      <c r="E96" s="19">
        <v>21</v>
      </c>
    </row>
    <row r="97" spans="1:5" x14ac:dyDescent="0.25">
      <c r="A97" s="17">
        <v>41609</v>
      </c>
      <c r="B97" s="18">
        <v>18557256</v>
      </c>
      <c r="C97" s="19">
        <v>854.5</v>
      </c>
      <c r="D97" s="19">
        <v>0</v>
      </c>
      <c r="E97" s="19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7"/>
  <sheetViews>
    <sheetView tabSelected="1" workbookViewId="0">
      <selection activeCell="A38" sqref="A38"/>
    </sheetView>
  </sheetViews>
  <sheetFormatPr defaultRowHeight="15" x14ac:dyDescent="0.25"/>
  <cols>
    <col min="1" max="1" width="53.42578125" bestFit="1" customWidth="1"/>
    <col min="2" max="2" width="12.7109375" bestFit="1" customWidth="1"/>
    <col min="3" max="3" width="18.7109375" bestFit="1" customWidth="1"/>
  </cols>
  <sheetData>
    <row r="1" spans="1:5" x14ac:dyDescent="0.25">
      <c r="A1" t="s">
        <v>48</v>
      </c>
    </row>
    <row r="2" spans="1:5" x14ac:dyDescent="0.25">
      <c r="A2" t="s">
        <v>44</v>
      </c>
    </row>
    <row r="4" spans="1:5" x14ac:dyDescent="0.25">
      <c r="B4" t="s">
        <v>11</v>
      </c>
      <c r="C4" t="s">
        <v>12</v>
      </c>
      <c r="D4" t="s">
        <v>13</v>
      </c>
      <c r="E4" t="s">
        <v>14</v>
      </c>
    </row>
    <row r="5" spans="1:5" x14ac:dyDescent="0.25">
      <c r="A5" t="s">
        <v>15</v>
      </c>
      <c r="B5">
        <v>5722866.4488198198</v>
      </c>
      <c r="C5">
        <v>1298652.9855124601</v>
      </c>
      <c r="D5">
        <v>4.4067711025678999</v>
      </c>
      <c r="E5" s="21">
        <v>2.8349375674740999E-5</v>
      </c>
    </row>
    <row r="6" spans="1:5" x14ac:dyDescent="0.25">
      <c r="A6" t="s">
        <v>41</v>
      </c>
      <c r="B6">
        <v>9463.8179029410094</v>
      </c>
      <c r="C6">
        <v>277.946790437728</v>
      </c>
      <c r="D6">
        <v>34.0490274704622</v>
      </c>
      <c r="E6" s="21">
        <v>6.1676108908678699E-54</v>
      </c>
    </row>
    <row r="7" spans="1:5" x14ac:dyDescent="0.25">
      <c r="A7" t="s">
        <v>42</v>
      </c>
      <c r="B7">
        <v>67488.940576446694</v>
      </c>
      <c r="C7">
        <v>11551.2986919164</v>
      </c>
      <c r="D7">
        <v>5.8425413779383497</v>
      </c>
      <c r="E7" s="21">
        <v>7.7047314960203195E-8</v>
      </c>
    </row>
    <row r="8" spans="1:5" x14ac:dyDescent="0.25">
      <c r="A8" t="s">
        <v>43</v>
      </c>
      <c r="B8">
        <v>120719.169011786</v>
      </c>
      <c r="C8">
        <v>60430.361437550098</v>
      </c>
      <c r="D8">
        <v>1.99765757046711</v>
      </c>
      <c r="E8">
        <v>4.8707306910070601E-2</v>
      </c>
    </row>
    <row r="10" spans="1:5" x14ac:dyDescent="0.25">
      <c r="A10" t="s">
        <v>16</v>
      </c>
      <c r="B10">
        <v>12726522.0289107</v>
      </c>
      <c r="C10" t="s">
        <v>17</v>
      </c>
      <c r="D10">
        <v>2668002.0394094102</v>
      </c>
    </row>
    <row r="11" spans="1:5" x14ac:dyDescent="0.25">
      <c r="A11" t="s">
        <v>18</v>
      </c>
      <c r="B11">
        <v>39906760148893.703</v>
      </c>
      <c r="C11" t="s">
        <v>19</v>
      </c>
      <c r="D11">
        <v>658611.51831196598</v>
      </c>
    </row>
    <row r="12" spans="1:5" x14ac:dyDescent="0.25">
      <c r="A12" t="s">
        <v>20</v>
      </c>
      <c r="B12">
        <v>0.94098661165185604</v>
      </c>
      <c r="C12" t="s">
        <v>21</v>
      </c>
      <c r="D12">
        <v>0.93906226203180798</v>
      </c>
    </row>
    <row r="13" spans="1:5" x14ac:dyDescent="0.25">
      <c r="A13" t="s">
        <v>49</v>
      </c>
      <c r="B13">
        <v>488.98942367255398</v>
      </c>
      <c r="C13" t="s">
        <v>22</v>
      </c>
      <c r="D13" s="21">
        <v>2.17848968288285E-56</v>
      </c>
    </row>
    <row r="14" spans="1:5" x14ac:dyDescent="0.25">
      <c r="A14" t="s">
        <v>23</v>
      </c>
      <c r="B14">
        <v>-1420.37259492985</v>
      </c>
      <c r="C14" t="s">
        <v>24</v>
      </c>
      <c r="D14">
        <v>2848.7451898597101</v>
      </c>
    </row>
    <row r="15" spans="1:5" x14ac:dyDescent="0.25">
      <c r="A15" t="s">
        <v>25</v>
      </c>
      <c r="B15">
        <v>2859.0025826255801</v>
      </c>
      <c r="C15" t="s">
        <v>26</v>
      </c>
      <c r="D15">
        <v>2852.89139561927</v>
      </c>
    </row>
    <row r="16" spans="1:5" x14ac:dyDescent="0.25">
      <c r="A16" t="s">
        <v>27</v>
      </c>
      <c r="B16">
        <v>0.31709393739325897</v>
      </c>
      <c r="C16" t="s">
        <v>28</v>
      </c>
      <c r="D16">
        <v>1.30080152052818</v>
      </c>
    </row>
    <row r="17" spans="1:2" x14ac:dyDescent="0.25">
      <c r="A17" t="s">
        <v>29</v>
      </c>
      <c r="B17">
        <v>0.39437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97"/>
  <sheetViews>
    <sheetView workbookViewId="0">
      <selection activeCell="K4" sqref="K4"/>
    </sheetView>
  </sheetViews>
  <sheetFormatPr defaultColWidth="10.85546875" defaultRowHeight="15" x14ac:dyDescent="0.25"/>
  <cols>
    <col min="1" max="1" width="10.85546875" style="17"/>
    <col min="2" max="2" width="14.28515625" style="18" bestFit="1" customWidth="1"/>
    <col min="3" max="3" width="12.7109375" style="19" bestFit="1" customWidth="1"/>
    <col min="4" max="4" width="12.5703125" style="19" bestFit="1" customWidth="1"/>
    <col min="5" max="5" width="10.85546875" style="19"/>
  </cols>
  <sheetData>
    <row r="1" spans="1:11" x14ac:dyDescent="0.25">
      <c r="A1" s="17" t="s">
        <v>10</v>
      </c>
      <c r="B1" s="18" t="s">
        <v>40</v>
      </c>
      <c r="C1" s="19" t="s">
        <v>41</v>
      </c>
      <c r="D1" s="19" t="s">
        <v>42</v>
      </c>
      <c r="E1" s="19" t="s">
        <v>43</v>
      </c>
      <c r="G1" t="s">
        <v>30</v>
      </c>
      <c r="H1" s="19" t="s">
        <v>41</v>
      </c>
      <c r="I1" s="19" t="s">
        <v>42</v>
      </c>
      <c r="J1" s="19" t="s">
        <v>43</v>
      </c>
      <c r="K1" t="s">
        <v>31</v>
      </c>
    </row>
    <row r="2" spans="1:11" x14ac:dyDescent="0.25">
      <c r="A2" s="17">
        <v>38718</v>
      </c>
      <c r="B2" s="18">
        <v>16432360.530000001</v>
      </c>
      <c r="C2" s="19">
        <v>781.7</v>
      </c>
      <c r="D2" s="19">
        <v>0</v>
      </c>
      <c r="E2" s="19">
        <v>21</v>
      </c>
      <c r="G2">
        <f t="shared" ref="G2:G33" si="0">const</f>
        <v>5722866.4488198198</v>
      </c>
      <c r="H2">
        <f t="shared" ref="H2:H33" si="1">MonthlyHDD*C2</f>
        <v>7397866.4547289871</v>
      </c>
      <c r="I2">
        <f t="shared" ref="I2:I33" si="2">MonthlyCDD*D2</f>
        <v>0</v>
      </c>
      <c r="J2">
        <f t="shared" ref="J2:J33" si="3">PeakDays*E2</f>
        <v>2535102.5492475061</v>
      </c>
      <c r="K2">
        <f t="shared" ref="K2:K33" si="4">SUM(G2:J2)</f>
        <v>15655835.452796314</v>
      </c>
    </row>
    <row r="3" spans="1:11" x14ac:dyDescent="0.25">
      <c r="A3" s="17">
        <v>38749</v>
      </c>
      <c r="B3" s="18">
        <v>15254915.93</v>
      </c>
      <c r="C3" s="19">
        <v>862</v>
      </c>
      <c r="D3" s="19">
        <v>0</v>
      </c>
      <c r="E3" s="19">
        <v>20</v>
      </c>
      <c r="G3">
        <f t="shared" si="0"/>
        <v>5722866.4488198198</v>
      </c>
      <c r="H3">
        <f t="shared" si="1"/>
        <v>8157811.0323351501</v>
      </c>
      <c r="I3">
        <f t="shared" si="2"/>
        <v>0</v>
      </c>
      <c r="J3">
        <f t="shared" si="3"/>
        <v>2414383.38023572</v>
      </c>
      <c r="K3">
        <f t="shared" si="4"/>
        <v>16295060.861390691</v>
      </c>
    </row>
    <row r="4" spans="1:11" x14ac:dyDescent="0.25">
      <c r="A4" s="17">
        <v>38777</v>
      </c>
      <c r="B4" s="18">
        <v>14730427.050000001</v>
      </c>
      <c r="C4" s="19">
        <v>684.8</v>
      </c>
      <c r="D4" s="19">
        <v>0</v>
      </c>
      <c r="E4" s="19">
        <v>23</v>
      </c>
      <c r="G4">
        <f t="shared" si="0"/>
        <v>5722866.4488198198</v>
      </c>
      <c r="H4">
        <f t="shared" si="1"/>
        <v>6480822.4999340028</v>
      </c>
      <c r="I4">
        <f t="shared" si="2"/>
        <v>0</v>
      </c>
      <c r="J4">
        <f t="shared" si="3"/>
        <v>2776540.8872710778</v>
      </c>
      <c r="K4">
        <f t="shared" si="4"/>
        <v>14980229.836024901</v>
      </c>
    </row>
    <row r="5" spans="1:11" x14ac:dyDescent="0.25">
      <c r="A5" s="17">
        <v>38808</v>
      </c>
      <c r="B5" s="18">
        <v>11361311.199999999</v>
      </c>
      <c r="C5" s="19">
        <v>415.4</v>
      </c>
      <c r="D5" s="19">
        <v>0</v>
      </c>
      <c r="E5" s="19">
        <v>18</v>
      </c>
      <c r="G5">
        <f t="shared" si="0"/>
        <v>5722866.4488198198</v>
      </c>
      <c r="H5">
        <f t="shared" si="1"/>
        <v>3931269.956881695</v>
      </c>
      <c r="I5">
        <f t="shared" si="2"/>
        <v>0</v>
      </c>
      <c r="J5">
        <f t="shared" si="3"/>
        <v>2172945.0422121482</v>
      </c>
      <c r="K5">
        <f t="shared" si="4"/>
        <v>11827081.447913662</v>
      </c>
    </row>
    <row r="6" spans="1:11" x14ac:dyDescent="0.25">
      <c r="A6" s="17">
        <v>38838</v>
      </c>
      <c r="B6" s="18">
        <v>10639715.810000001</v>
      </c>
      <c r="C6" s="19">
        <v>243.4</v>
      </c>
      <c r="D6" s="19">
        <v>3.9</v>
      </c>
      <c r="E6" s="19">
        <v>22</v>
      </c>
      <c r="G6">
        <f t="shared" si="0"/>
        <v>5722866.4488198198</v>
      </c>
      <c r="H6">
        <f t="shared" si="1"/>
        <v>2303493.2775758416</v>
      </c>
      <c r="I6">
        <f t="shared" si="2"/>
        <v>263206.86824814213</v>
      </c>
      <c r="J6">
        <f t="shared" si="3"/>
        <v>2655821.7182592917</v>
      </c>
      <c r="K6">
        <f t="shared" si="4"/>
        <v>10945388.312903095</v>
      </c>
    </row>
    <row r="7" spans="1:11" x14ac:dyDescent="0.25">
      <c r="A7" s="17">
        <v>38869</v>
      </c>
      <c r="B7" s="18">
        <v>9655562.2699999996</v>
      </c>
      <c r="C7" s="19">
        <v>123.8</v>
      </c>
      <c r="D7" s="19">
        <v>4.3</v>
      </c>
      <c r="E7" s="19">
        <v>22</v>
      </c>
      <c r="G7">
        <f t="shared" si="0"/>
        <v>5722866.4488198198</v>
      </c>
      <c r="H7">
        <f t="shared" si="1"/>
        <v>1171620.6563840969</v>
      </c>
      <c r="I7">
        <f t="shared" si="2"/>
        <v>290202.44447872078</v>
      </c>
      <c r="J7">
        <f t="shared" si="3"/>
        <v>2655821.7182592917</v>
      </c>
      <c r="K7">
        <f t="shared" si="4"/>
        <v>9840511.2679419294</v>
      </c>
    </row>
    <row r="8" spans="1:11" x14ac:dyDescent="0.25">
      <c r="A8" s="17">
        <v>38899</v>
      </c>
      <c r="B8" s="18">
        <v>10846451.32</v>
      </c>
      <c r="C8" s="19">
        <v>52.8</v>
      </c>
      <c r="D8" s="19">
        <v>27.7</v>
      </c>
      <c r="E8" s="19">
        <v>20</v>
      </c>
      <c r="G8">
        <f t="shared" si="0"/>
        <v>5722866.4488198198</v>
      </c>
      <c r="H8">
        <f t="shared" si="1"/>
        <v>499689.5852752853</v>
      </c>
      <c r="I8">
        <f t="shared" si="2"/>
        <v>1869443.6539675733</v>
      </c>
      <c r="J8">
        <f t="shared" si="3"/>
        <v>2414383.38023572</v>
      </c>
      <c r="K8">
        <f t="shared" si="4"/>
        <v>10506383.068298398</v>
      </c>
    </row>
    <row r="9" spans="1:11" x14ac:dyDescent="0.25">
      <c r="A9" s="17">
        <v>38930</v>
      </c>
      <c r="B9" s="18">
        <v>10694433.439999999</v>
      </c>
      <c r="C9" s="19">
        <v>91</v>
      </c>
      <c r="D9" s="19">
        <v>7.5</v>
      </c>
      <c r="E9" s="19">
        <v>22</v>
      </c>
      <c r="G9">
        <f t="shared" si="0"/>
        <v>5722866.4488198198</v>
      </c>
      <c r="H9">
        <f t="shared" si="1"/>
        <v>861207.4291676319</v>
      </c>
      <c r="I9">
        <f t="shared" si="2"/>
        <v>506167.0543233502</v>
      </c>
      <c r="J9">
        <f t="shared" si="3"/>
        <v>2655821.7182592917</v>
      </c>
      <c r="K9">
        <f t="shared" si="4"/>
        <v>9746062.6505700946</v>
      </c>
    </row>
    <row r="10" spans="1:11" x14ac:dyDescent="0.25">
      <c r="A10" s="17">
        <v>38961</v>
      </c>
      <c r="B10" s="18">
        <v>10191889.76</v>
      </c>
      <c r="C10" s="19">
        <v>214.4</v>
      </c>
      <c r="D10" s="19">
        <v>1.4</v>
      </c>
      <c r="E10" s="19">
        <v>20</v>
      </c>
      <c r="G10">
        <f t="shared" si="0"/>
        <v>5722866.4488198198</v>
      </c>
      <c r="H10">
        <f t="shared" si="1"/>
        <v>2029042.5583905524</v>
      </c>
      <c r="I10">
        <f t="shared" si="2"/>
        <v>94484.516807025371</v>
      </c>
      <c r="J10">
        <f t="shared" si="3"/>
        <v>2414383.38023572</v>
      </c>
      <c r="K10">
        <f t="shared" si="4"/>
        <v>10260776.904253118</v>
      </c>
    </row>
    <row r="11" spans="1:11" x14ac:dyDescent="0.25">
      <c r="A11" s="17">
        <v>38991</v>
      </c>
      <c r="B11" s="18">
        <v>12347060.369999999</v>
      </c>
      <c r="C11" s="19">
        <v>433.1</v>
      </c>
      <c r="D11" s="19">
        <v>0</v>
      </c>
      <c r="E11" s="19">
        <v>21</v>
      </c>
      <c r="G11">
        <f t="shared" si="0"/>
        <v>5722866.4488198198</v>
      </c>
      <c r="H11">
        <f t="shared" si="1"/>
        <v>4098779.5337637514</v>
      </c>
      <c r="I11">
        <f t="shared" si="2"/>
        <v>0</v>
      </c>
      <c r="J11">
        <f t="shared" si="3"/>
        <v>2535102.5492475061</v>
      </c>
      <c r="K11">
        <f t="shared" si="4"/>
        <v>12356748.531831078</v>
      </c>
    </row>
    <row r="12" spans="1:11" x14ac:dyDescent="0.25">
      <c r="A12" s="17">
        <v>39022</v>
      </c>
      <c r="B12" s="18">
        <v>12995676.43</v>
      </c>
      <c r="C12" s="19">
        <v>518.5</v>
      </c>
      <c r="D12" s="19">
        <v>0</v>
      </c>
      <c r="E12" s="19">
        <v>22</v>
      </c>
      <c r="G12">
        <f t="shared" si="0"/>
        <v>5722866.4488198198</v>
      </c>
      <c r="H12">
        <f t="shared" si="1"/>
        <v>4906989.5826749131</v>
      </c>
      <c r="I12">
        <f t="shared" si="2"/>
        <v>0</v>
      </c>
      <c r="J12">
        <f t="shared" si="3"/>
        <v>2655821.7182592917</v>
      </c>
      <c r="K12">
        <f t="shared" si="4"/>
        <v>13285677.749754025</v>
      </c>
    </row>
    <row r="13" spans="1:11" x14ac:dyDescent="0.25">
      <c r="A13" s="17">
        <v>39052</v>
      </c>
      <c r="B13" s="18">
        <v>15518992.219999999</v>
      </c>
      <c r="C13" s="19">
        <v>711.4</v>
      </c>
      <c r="D13" s="19">
        <v>0</v>
      </c>
      <c r="E13" s="19">
        <v>19</v>
      </c>
      <c r="G13">
        <f t="shared" si="0"/>
        <v>5722866.4488198198</v>
      </c>
      <c r="H13">
        <f t="shared" si="1"/>
        <v>6732560.0561522339</v>
      </c>
      <c r="I13">
        <f t="shared" si="2"/>
        <v>0</v>
      </c>
      <c r="J13">
        <f t="shared" si="3"/>
        <v>2293664.2112239338</v>
      </c>
      <c r="K13">
        <f t="shared" si="4"/>
        <v>14749090.716195988</v>
      </c>
    </row>
    <row r="14" spans="1:11" x14ac:dyDescent="0.25">
      <c r="A14" s="17">
        <v>39083</v>
      </c>
      <c r="B14" s="18">
        <v>17027640.539999999</v>
      </c>
      <c r="C14" s="19">
        <v>904.3</v>
      </c>
      <c r="D14" s="19">
        <v>0</v>
      </c>
      <c r="E14" s="19">
        <v>22</v>
      </c>
      <c r="G14">
        <f t="shared" si="0"/>
        <v>5722866.4488198198</v>
      </c>
      <c r="H14">
        <f t="shared" si="1"/>
        <v>8558130.5296295546</v>
      </c>
      <c r="I14">
        <f t="shared" si="2"/>
        <v>0</v>
      </c>
      <c r="J14">
        <f t="shared" si="3"/>
        <v>2655821.7182592917</v>
      </c>
      <c r="K14">
        <f t="shared" si="4"/>
        <v>16936818.696708664</v>
      </c>
    </row>
    <row r="15" spans="1:11" x14ac:dyDescent="0.25">
      <c r="A15" s="17">
        <v>39114</v>
      </c>
      <c r="B15" s="18">
        <v>16669380.510000002</v>
      </c>
      <c r="C15" s="19">
        <v>948.2</v>
      </c>
      <c r="D15" s="19">
        <v>0</v>
      </c>
      <c r="E15" s="19">
        <v>20</v>
      </c>
      <c r="G15">
        <f t="shared" si="0"/>
        <v>5722866.4488198198</v>
      </c>
      <c r="H15">
        <f t="shared" si="1"/>
        <v>8973592.1355686653</v>
      </c>
      <c r="I15">
        <f t="shared" si="2"/>
        <v>0</v>
      </c>
      <c r="J15">
        <f t="shared" si="3"/>
        <v>2414383.38023572</v>
      </c>
      <c r="K15">
        <f t="shared" si="4"/>
        <v>17110841.964624204</v>
      </c>
    </row>
    <row r="16" spans="1:11" x14ac:dyDescent="0.25">
      <c r="A16" s="17">
        <v>39142</v>
      </c>
      <c r="B16" s="18">
        <v>14934754.379999999</v>
      </c>
      <c r="C16" s="19">
        <v>725.1</v>
      </c>
      <c r="D16" s="19">
        <v>0</v>
      </c>
      <c r="E16" s="19">
        <v>22</v>
      </c>
      <c r="G16">
        <f t="shared" si="0"/>
        <v>5722866.4488198198</v>
      </c>
      <c r="H16">
        <f t="shared" si="1"/>
        <v>6862214.3614225257</v>
      </c>
      <c r="I16">
        <f t="shared" si="2"/>
        <v>0</v>
      </c>
      <c r="J16">
        <f t="shared" si="3"/>
        <v>2655821.7182592917</v>
      </c>
      <c r="K16">
        <f t="shared" si="4"/>
        <v>15240902.528501637</v>
      </c>
    </row>
    <row r="17" spans="1:11" x14ac:dyDescent="0.25">
      <c r="A17" s="17">
        <v>39173</v>
      </c>
      <c r="B17" s="18">
        <v>12687457.810000002</v>
      </c>
      <c r="C17" s="19">
        <v>505.4</v>
      </c>
      <c r="D17" s="19">
        <v>0</v>
      </c>
      <c r="E17" s="19">
        <v>19</v>
      </c>
      <c r="G17">
        <f t="shared" si="0"/>
        <v>5722866.4488198198</v>
      </c>
      <c r="H17">
        <f t="shared" si="1"/>
        <v>4783013.5681463862</v>
      </c>
      <c r="I17">
        <f t="shared" si="2"/>
        <v>0</v>
      </c>
      <c r="J17">
        <f t="shared" si="3"/>
        <v>2293664.2112239338</v>
      </c>
      <c r="K17">
        <f t="shared" si="4"/>
        <v>12799544.228190139</v>
      </c>
    </row>
    <row r="18" spans="1:11" x14ac:dyDescent="0.25">
      <c r="A18" s="17">
        <v>39203</v>
      </c>
      <c r="B18" s="18">
        <v>10985339.710000001</v>
      </c>
      <c r="C18" s="19">
        <v>267.8</v>
      </c>
      <c r="D18" s="19">
        <v>3.8</v>
      </c>
      <c r="E18" s="19">
        <v>22</v>
      </c>
      <c r="G18">
        <f t="shared" si="0"/>
        <v>5722866.4488198198</v>
      </c>
      <c r="H18">
        <f t="shared" si="1"/>
        <v>2534410.4344076025</v>
      </c>
      <c r="I18">
        <f t="shared" si="2"/>
        <v>256457.97419049742</v>
      </c>
      <c r="J18">
        <f t="shared" si="3"/>
        <v>2655821.7182592917</v>
      </c>
      <c r="K18">
        <f t="shared" si="4"/>
        <v>11169556.575677212</v>
      </c>
    </row>
    <row r="19" spans="1:11" x14ac:dyDescent="0.25">
      <c r="A19" s="17">
        <v>39234</v>
      </c>
      <c r="B19" s="18">
        <v>9760012.7799999993</v>
      </c>
      <c r="C19" s="19">
        <v>116.4</v>
      </c>
      <c r="D19" s="19">
        <v>9.6</v>
      </c>
      <c r="E19" s="19">
        <v>21</v>
      </c>
      <c r="G19">
        <f t="shared" si="0"/>
        <v>5722866.4488198198</v>
      </c>
      <c r="H19">
        <f t="shared" si="1"/>
        <v>1101588.4039023335</v>
      </c>
      <c r="I19">
        <f t="shared" si="2"/>
        <v>647893.82953388826</v>
      </c>
      <c r="J19">
        <f t="shared" si="3"/>
        <v>2535102.5492475061</v>
      </c>
      <c r="K19">
        <f t="shared" si="4"/>
        <v>10007451.231503546</v>
      </c>
    </row>
    <row r="20" spans="1:11" x14ac:dyDescent="0.25">
      <c r="A20" s="17">
        <v>39264</v>
      </c>
      <c r="B20" s="18">
        <v>10363539.75</v>
      </c>
      <c r="C20" s="19">
        <v>100.5</v>
      </c>
      <c r="D20" s="19">
        <v>15.8</v>
      </c>
      <c r="E20" s="19">
        <v>21</v>
      </c>
      <c r="G20">
        <f t="shared" si="0"/>
        <v>5722866.4488198198</v>
      </c>
      <c r="H20">
        <f t="shared" si="1"/>
        <v>951113.69924557139</v>
      </c>
      <c r="I20">
        <f t="shared" si="2"/>
        <v>1066325.2611078578</v>
      </c>
      <c r="J20">
        <f t="shared" si="3"/>
        <v>2535102.5492475061</v>
      </c>
      <c r="K20">
        <f t="shared" si="4"/>
        <v>10275407.958420753</v>
      </c>
    </row>
    <row r="21" spans="1:11" x14ac:dyDescent="0.25">
      <c r="A21" s="17">
        <v>39295</v>
      </c>
      <c r="B21" s="18">
        <v>10623681.955423476</v>
      </c>
      <c r="C21" s="19">
        <v>70.8</v>
      </c>
      <c r="D21" s="19">
        <v>10.7</v>
      </c>
      <c r="E21" s="19">
        <v>22</v>
      </c>
      <c r="G21">
        <f t="shared" si="0"/>
        <v>5722866.4488198198</v>
      </c>
      <c r="H21">
        <f t="shared" si="1"/>
        <v>670038.30752822349</v>
      </c>
      <c r="I21">
        <f t="shared" si="2"/>
        <v>722131.66416797962</v>
      </c>
      <c r="J21">
        <f t="shared" si="3"/>
        <v>2655821.7182592917</v>
      </c>
      <c r="K21">
        <f t="shared" si="4"/>
        <v>9770858.1387753151</v>
      </c>
    </row>
    <row r="22" spans="1:11" x14ac:dyDescent="0.25">
      <c r="A22" s="17">
        <v>39326</v>
      </c>
      <c r="B22" s="18">
        <v>9937765.4600000009</v>
      </c>
      <c r="C22" s="19">
        <v>159.69999999999999</v>
      </c>
      <c r="D22" s="19">
        <v>5.6</v>
      </c>
      <c r="E22" s="19">
        <v>19</v>
      </c>
      <c r="G22">
        <f t="shared" si="0"/>
        <v>5722866.4488198198</v>
      </c>
      <c r="H22">
        <f t="shared" si="1"/>
        <v>1511371.719099679</v>
      </c>
      <c r="I22">
        <f t="shared" si="2"/>
        <v>377938.06722810148</v>
      </c>
      <c r="J22">
        <f t="shared" si="3"/>
        <v>2293664.2112239338</v>
      </c>
      <c r="K22">
        <f t="shared" si="4"/>
        <v>9905840.446371533</v>
      </c>
    </row>
    <row r="23" spans="1:11" x14ac:dyDescent="0.25">
      <c r="A23" s="17">
        <v>39356</v>
      </c>
      <c r="B23" s="18">
        <v>11018147.890000001</v>
      </c>
      <c r="C23" s="19">
        <v>303.89999999999998</v>
      </c>
      <c r="D23" s="19">
        <v>0</v>
      </c>
      <c r="E23" s="19">
        <v>22</v>
      </c>
      <c r="G23">
        <f t="shared" si="0"/>
        <v>5722866.4488198198</v>
      </c>
      <c r="H23">
        <f t="shared" si="1"/>
        <v>2876054.2607037723</v>
      </c>
      <c r="I23">
        <f t="shared" si="2"/>
        <v>0</v>
      </c>
      <c r="J23">
        <f t="shared" si="3"/>
        <v>2655821.7182592917</v>
      </c>
      <c r="K23">
        <f t="shared" si="4"/>
        <v>11254742.427782884</v>
      </c>
    </row>
    <row r="24" spans="1:11" x14ac:dyDescent="0.25">
      <c r="A24" s="17">
        <v>39387</v>
      </c>
      <c r="B24" s="18">
        <v>13301022.960000001</v>
      </c>
      <c r="C24" s="19">
        <v>602.70000000000005</v>
      </c>
      <c r="D24" s="19">
        <v>0</v>
      </c>
      <c r="E24" s="19">
        <v>22</v>
      </c>
      <c r="G24">
        <f t="shared" si="0"/>
        <v>5722866.4488198198</v>
      </c>
      <c r="H24">
        <f t="shared" si="1"/>
        <v>5703843.0501025468</v>
      </c>
      <c r="I24">
        <f t="shared" si="2"/>
        <v>0</v>
      </c>
      <c r="J24">
        <f t="shared" si="3"/>
        <v>2655821.7182592917</v>
      </c>
      <c r="K24">
        <f t="shared" si="4"/>
        <v>14082531.217181658</v>
      </c>
    </row>
    <row r="25" spans="1:11" x14ac:dyDescent="0.25">
      <c r="A25" s="17">
        <v>39417</v>
      </c>
      <c r="B25" s="18">
        <v>16610853.84</v>
      </c>
      <c r="C25" s="19">
        <v>870.2</v>
      </c>
      <c r="D25" s="19">
        <v>0</v>
      </c>
      <c r="E25" s="19">
        <v>19</v>
      </c>
      <c r="G25">
        <f t="shared" si="0"/>
        <v>5722866.4488198198</v>
      </c>
      <c r="H25">
        <f t="shared" si="1"/>
        <v>8235414.3391392669</v>
      </c>
      <c r="I25">
        <f t="shared" si="2"/>
        <v>0</v>
      </c>
      <c r="J25">
        <f t="shared" si="3"/>
        <v>2293664.2112239338</v>
      </c>
      <c r="K25">
        <f t="shared" si="4"/>
        <v>16251944.999183021</v>
      </c>
    </row>
    <row r="26" spans="1:11" x14ac:dyDescent="0.25">
      <c r="A26" s="17">
        <v>39448</v>
      </c>
      <c r="B26" s="18">
        <v>16747623.760000002</v>
      </c>
      <c r="C26" s="19">
        <v>873.3</v>
      </c>
      <c r="D26" s="19">
        <v>0</v>
      </c>
      <c r="E26" s="19">
        <v>22</v>
      </c>
      <c r="G26">
        <f t="shared" si="0"/>
        <v>5722866.4488198198</v>
      </c>
      <c r="H26">
        <f t="shared" si="1"/>
        <v>8264752.1746383831</v>
      </c>
      <c r="I26">
        <f t="shared" si="2"/>
        <v>0</v>
      </c>
      <c r="J26">
        <f t="shared" si="3"/>
        <v>2655821.7182592917</v>
      </c>
      <c r="K26">
        <f t="shared" si="4"/>
        <v>16643440.341717495</v>
      </c>
    </row>
    <row r="27" spans="1:11" x14ac:dyDescent="0.25">
      <c r="A27" s="17">
        <v>39479</v>
      </c>
      <c r="B27" s="18">
        <v>16220989.899999999</v>
      </c>
      <c r="C27" s="19">
        <v>893.4</v>
      </c>
      <c r="D27" s="19">
        <v>0</v>
      </c>
      <c r="E27" s="19">
        <v>20</v>
      </c>
      <c r="G27">
        <f t="shared" si="0"/>
        <v>5722866.4488198198</v>
      </c>
      <c r="H27">
        <f t="shared" si="1"/>
        <v>8454974.9144874979</v>
      </c>
      <c r="I27">
        <f t="shared" si="2"/>
        <v>0</v>
      </c>
      <c r="J27">
        <f t="shared" si="3"/>
        <v>2414383.38023572</v>
      </c>
      <c r="K27">
        <f t="shared" si="4"/>
        <v>16592224.743543038</v>
      </c>
    </row>
    <row r="28" spans="1:11" x14ac:dyDescent="0.25">
      <c r="A28" s="17">
        <v>39508</v>
      </c>
      <c r="B28" s="18">
        <v>16185519.129999999</v>
      </c>
      <c r="C28" s="19">
        <v>838</v>
      </c>
      <c r="D28" s="19">
        <v>0</v>
      </c>
      <c r="E28" s="19">
        <v>19</v>
      </c>
      <c r="G28">
        <f t="shared" si="0"/>
        <v>5722866.4488198198</v>
      </c>
      <c r="H28">
        <f t="shared" si="1"/>
        <v>7930679.4026645655</v>
      </c>
      <c r="I28">
        <f t="shared" si="2"/>
        <v>0</v>
      </c>
      <c r="J28">
        <f t="shared" si="3"/>
        <v>2293664.2112239338</v>
      </c>
      <c r="K28">
        <f t="shared" si="4"/>
        <v>15947210.062708318</v>
      </c>
    </row>
    <row r="29" spans="1:11" x14ac:dyDescent="0.25">
      <c r="A29" s="17">
        <v>39539</v>
      </c>
      <c r="B29" s="18">
        <v>12384878.220000001</v>
      </c>
      <c r="C29" s="19">
        <v>461</v>
      </c>
      <c r="D29" s="19">
        <v>0</v>
      </c>
      <c r="E29" s="19">
        <v>22</v>
      </c>
      <c r="G29">
        <f t="shared" si="0"/>
        <v>5722866.4488198198</v>
      </c>
      <c r="H29">
        <f t="shared" si="1"/>
        <v>4362820.0532558057</v>
      </c>
      <c r="I29">
        <f t="shared" si="2"/>
        <v>0</v>
      </c>
      <c r="J29">
        <f t="shared" si="3"/>
        <v>2655821.7182592917</v>
      </c>
      <c r="K29">
        <f t="shared" si="4"/>
        <v>12741508.220334917</v>
      </c>
    </row>
    <row r="30" spans="1:11" x14ac:dyDescent="0.25">
      <c r="A30" s="17">
        <v>39569</v>
      </c>
      <c r="B30" s="18">
        <v>11570573.57</v>
      </c>
      <c r="C30" s="19">
        <v>376.9</v>
      </c>
      <c r="D30" s="19">
        <v>0</v>
      </c>
      <c r="E30" s="19">
        <v>21</v>
      </c>
      <c r="G30">
        <f t="shared" si="0"/>
        <v>5722866.4488198198</v>
      </c>
      <c r="H30">
        <f t="shared" si="1"/>
        <v>3566912.9676184664</v>
      </c>
      <c r="I30">
        <f t="shared" si="2"/>
        <v>0</v>
      </c>
      <c r="J30">
        <f t="shared" si="3"/>
        <v>2535102.5492475061</v>
      </c>
      <c r="K30">
        <f t="shared" si="4"/>
        <v>11824881.965685792</v>
      </c>
    </row>
    <row r="31" spans="1:11" x14ac:dyDescent="0.25">
      <c r="A31" s="17">
        <v>39600</v>
      </c>
      <c r="B31" s="18">
        <v>10031531.33</v>
      </c>
      <c r="C31" s="19">
        <v>151</v>
      </c>
      <c r="D31" s="19">
        <v>2.1</v>
      </c>
      <c r="E31" s="19">
        <v>21</v>
      </c>
      <c r="G31">
        <f t="shared" si="0"/>
        <v>5722866.4488198198</v>
      </c>
      <c r="H31">
        <f t="shared" si="1"/>
        <v>1429036.5033440925</v>
      </c>
      <c r="I31">
        <f t="shared" si="2"/>
        <v>141726.77521053806</v>
      </c>
      <c r="J31">
        <f t="shared" si="3"/>
        <v>2535102.5492475061</v>
      </c>
      <c r="K31">
        <f t="shared" si="4"/>
        <v>9828732.2766219564</v>
      </c>
    </row>
    <row r="32" spans="1:11" x14ac:dyDescent="0.25">
      <c r="A32" s="17">
        <v>39630</v>
      </c>
      <c r="B32" s="18">
        <v>10603201.34</v>
      </c>
      <c r="C32" s="19">
        <v>106.3</v>
      </c>
      <c r="D32" s="19">
        <v>1</v>
      </c>
      <c r="E32" s="19">
        <v>22</v>
      </c>
      <c r="G32">
        <f t="shared" si="0"/>
        <v>5722866.4488198198</v>
      </c>
      <c r="H32">
        <f t="shared" si="1"/>
        <v>1006003.8430826293</v>
      </c>
      <c r="I32">
        <f t="shared" si="2"/>
        <v>67488.940576446694</v>
      </c>
      <c r="J32">
        <f t="shared" si="3"/>
        <v>2655821.7182592917</v>
      </c>
      <c r="K32">
        <f t="shared" si="4"/>
        <v>9452180.9507381879</v>
      </c>
    </row>
    <row r="33" spans="1:11" x14ac:dyDescent="0.25">
      <c r="A33" s="17">
        <v>39661</v>
      </c>
      <c r="B33" s="18">
        <v>10275407.85</v>
      </c>
      <c r="C33" s="19">
        <v>80.099999999999994</v>
      </c>
      <c r="D33" s="19">
        <v>2.8</v>
      </c>
      <c r="E33" s="19">
        <v>20</v>
      </c>
      <c r="G33">
        <f t="shared" si="0"/>
        <v>5722866.4488198198</v>
      </c>
      <c r="H33">
        <f t="shared" si="1"/>
        <v>758051.81402557483</v>
      </c>
      <c r="I33">
        <f t="shared" si="2"/>
        <v>188969.03361405074</v>
      </c>
      <c r="J33">
        <f t="shared" si="3"/>
        <v>2414383.38023572</v>
      </c>
      <c r="K33">
        <f t="shared" si="4"/>
        <v>9084270.6766951662</v>
      </c>
    </row>
    <row r="34" spans="1:11" x14ac:dyDescent="0.25">
      <c r="A34" s="17">
        <v>39692</v>
      </c>
      <c r="B34" s="18">
        <v>9957791.7799999993</v>
      </c>
      <c r="C34" s="19">
        <v>192.3</v>
      </c>
      <c r="D34" s="19">
        <v>5.5</v>
      </c>
      <c r="E34" s="19">
        <v>21</v>
      </c>
      <c r="G34">
        <f t="shared" ref="G34:G65" si="5">const</f>
        <v>5722866.4488198198</v>
      </c>
      <c r="H34">
        <f t="shared" ref="H34:H65" si="6">MonthlyHDD*C34</f>
        <v>1819892.1827355563</v>
      </c>
      <c r="I34">
        <f t="shared" ref="I34:I65" si="7">MonthlyCDD*D34</f>
        <v>371189.17317045684</v>
      </c>
      <c r="J34">
        <f t="shared" ref="J34:J65" si="8">PeakDays*E34</f>
        <v>2535102.5492475061</v>
      </c>
      <c r="K34">
        <f t="shared" ref="K34:K65" si="9">SUM(G34:J34)</f>
        <v>10449050.35397334</v>
      </c>
    </row>
    <row r="35" spans="1:11" x14ac:dyDescent="0.25">
      <c r="A35" s="17">
        <v>39722</v>
      </c>
      <c r="B35" s="18">
        <v>11903930.970000001</v>
      </c>
      <c r="C35" s="19">
        <v>384.1</v>
      </c>
      <c r="D35" s="19">
        <v>0</v>
      </c>
      <c r="E35" s="19">
        <v>22</v>
      </c>
      <c r="G35">
        <f t="shared" si="5"/>
        <v>5722866.4488198198</v>
      </c>
      <c r="H35">
        <f t="shared" si="6"/>
        <v>3635052.4565196419</v>
      </c>
      <c r="I35">
        <f t="shared" si="7"/>
        <v>0</v>
      </c>
      <c r="J35">
        <f t="shared" si="8"/>
        <v>2655821.7182592917</v>
      </c>
      <c r="K35">
        <f t="shared" si="9"/>
        <v>12013740.623598753</v>
      </c>
    </row>
    <row r="36" spans="1:11" x14ac:dyDescent="0.25">
      <c r="A36" s="17">
        <v>39753</v>
      </c>
      <c r="B36" s="18">
        <v>13578501.350000001</v>
      </c>
      <c r="C36" s="19">
        <v>564</v>
      </c>
      <c r="D36" s="19">
        <v>0</v>
      </c>
      <c r="E36" s="19">
        <v>20</v>
      </c>
      <c r="G36">
        <f t="shared" si="5"/>
        <v>5722866.4488198198</v>
      </c>
      <c r="H36">
        <f t="shared" si="6"/>
        <v>5337593.2972587291</v>
      </c>
      <c r="I36">
        <f t="shared" si="7"/>
        <v>0</v>
      </c>
      <c r="J36">
        <f t="shared" si="8"/>
        <v>2414383.38023572</v>
      </c>
      <c r="K36">
        <f t="shared" si="9"/>
        <v>13474843.126314269</v>
      </c>
    </row>
    <row r="37" spans="1:11" x14ac:dyDescent="0.25">
      <c r="A37" s="17">
        <v>39783</v>
      </c>
      <c r="B37" s="18">
        <v>18362207.48</v>
      </c>
      <c r="C37" s="19">
        <v>946.7</v>
      </c>
      <c r="D37" s="19">
        <v>0</v>
      </c>
      <c r="E37" s="19">
        <v>21</v>
      </c>
      <c r="G37">
        <f t="shared" si="5"/>
        <v>5722866.4488198198</v>
      </c>
      <c r="H37">
        <f t="shared" si="6"/>
        <v>8959396.4087142535</v>
      </c>
      <c r="I37">
        <f t="shared" si="7"/>
        <v>0</v>
      </c>
      <c r="J37">
        <f t="shared" si="8"/>
        <v>2535102.5492475061</v>
      </c>
      <c r="K37">
        <f t="shared" si="9"/>
        <v>17217365.40678158</v>
      </c>
    </row>
    <row r="38" spans="1:11" x14ac:dyDescent="0.25">
      <c r="A38" s="17">
        <v>39814</v>
      </c>
      <c r="B38" s="18">
        <v>18881349</v>
      </c>
      <c r="C38" s="19">
        <v>1063.5</v>
      </c>
      <c r="D38" s="19">
        <v>0</v>
      </c>
      <c r="E38" s="19">
        <v>21</v>
      </c>
      <c r="G38">
        <f t="shared" si="5"/>
        <v>5722866.4488198198</v>
      </c>
      <c r="H38">
        <f t="shared" si="6"/>
        <v>10064770.339777764</v>
      </c>
      <c r="I38">
        <f t="shared" si="7"/>
        <v>0</v>
      </c>
      <c r="J38">
        <f t="shared" si="8"/>
        <v>2535102.5492475061</v>
      </c>
      <c r="K38">
        <f t="shared" si="9"/>
        <v>18322739.337845091</v>
      </c>
    </row>
    <row r="39" spans="1:11" x14ac:dyDescent="0.25">
      <c r="A39" s="17">
        <v>39845</v>
      </c>
      <c r="B39" s="18">
        <v>15951302.32</v>
      </c>
      <c r="C39" s="19">
        <v>831.7</v>
      </c>
      <c r="D39" s="19">
        <v>0</v>
      </c>
      <c r="E39" s="19">
        <v>19</v>
      </c>
      <c r="G39">
        <f t="shared" si="5"/>
        <v>5722866.4488198198</v>
      </c>
      <c r="H39">
        <f t="shared" si="6"/>
        <v>7871057.3498760378</v>
      </c>
      <c r="I39">
        <f t="shared" si="7"/>
        <v>0</v>
      </c>
      <c r="J39">
        <f t="shared" si="8"/>
        <v>2293664.2112239338</v>
      </c>
      <c r="K39">
        <f t="shared" si="9"/>
        <v>15887588.009919792</v>
      </c>
    </row>
    <row r="40" spans="1:11" x14ac:dyDescent="0.25">
      <c r="A40" s="17">
        <v>39873</v>
      </c>
      <c r="B40" s="18">
        <v>15986795.57</v>
      </c>
      <c r="C40" s="19">
        <v>744.1</v>
      </c>
      <c r="D40" s="19">
        <v>0</v>
      </c>
      <c r="E40" s="19">
        <v>22</v>
      </c>
      <c r="G40">
        <f t="shared" si="5"/>
        <v>5722866.4488198198</v>
      </c>
      <c r="H40">
        <f t="shared" si="6"/>
        <v>7042026.9015784049</v>
      </c>
      <c r="I40">
        <f t="shared" si="7"/>
        <v>0</v>
      </c>
      <c r="J40">
        <f t="shared" si="8"/>
        <v>2655821.7182592917</v>
      </c>
      <c r="K40">
        <f t="shared" si="9"/>
        <v>15420715.068657516</v>
      </c>
    </row>
    <row r="41" spans="1:11" x14ac:dyDescent="0.25">
      <c r="A41" s="17">
        <v>39904</v>
      </c>
      <c r="B41" s="18">
        <v>12817613.51</v>
      </c>
      <c r="C41" s="19">
        <v>480.2</v>
      </c>
      <c r="D41" s="19">
        <v>0</v>
      </c>
      <c r="E41" s="19">
        <v>20</v>
      </c>
      <c r="G41">
        <f t="shared" si="5"/>
        <v>5722866.4488198198</v>
      </c>
      <c r="H41">
        <f t="shared" si="6"/>
        <v>4544525.3569922727</v>
      </c>
      <c r="I41">
        <f t="shared" si="7"/>
        <v>0</v>
      </c>
      <c r="J41">
        <f t="shared" si="8"/>
        <v>2414383.38023572</v>
      </c>
      <c r="K41">
        <f t="shared" si="9"/>
        <v>12681775.186047813</v>
      </c>
    </row>
    <row r="42" spans="1:11" x14ac:dyDescent="0.25">
      <c r="A42" s="17">
        <v>39934</v>
      </c>
      <c r="B42" s="18">
        <v>11557935.369999999</v>
      </c>
      <c r="C42" s="19">
        <v>358.7</v>
      </c>
      <c r="D42" s="19">
        <v>0</v>
      </c>
      <c r="E42" s="19">
        <v>20</v>
      </c>
      <c r="G42">
        <f t="shared" si="5"/>
        <v>5722866.4488198198</v>
      </c>
      <c r="H42">
        <f t="shared" si="6"/>
        <v>3394671.4817849398</v>
      </c>
      <c r="I42">
        <f t="shared" si="7"/>
        <v>0</v>
      </c>
      <c r="J42">
        <f t="shared" si="8"/>
        <v>2414383.38023572</v>
      </c>
      <c r="K42">
        <f t="shared" si="9"/>
        <v>11531921.31084048</v>
      </c>
    </row>
    <row r="43" spans="1:11" x14ac:dyDescent="0.25">
      <c r="A43" s="17">
        <v>39965</v>
      </c>
      <c r="B43" s="18">
        <v>10386431.49</v>
      </c>
      <c r="C43" s="19">
        <v>188.5</v>
      </c>
      <c r="D43" s="19">
        <v>6.4</v>
      </c>
      <c r="E43" s="19">
        <v>22</v>
      </c>
      <c r="G43">
        <f t="shared" si="5"/>
        <v>5722866.4488198198</v>
      </c>
      <c r="H43">
        <f t="shared" si="6"/>
        <v>1783929.6747043803</v>
      </c>
      <c r="I43">
        <f t="shared" si="7"/>
        <v>431929.21968925884</v>
      </c>
      <c r="J43">
        <f t="shared" si="8"/>
        <v>2655821.7182592917</v>
      </c>
      <c r="K43">
        <f t="shared" si="9"/>
        <v>10594547.061472751</v>
      </c>
    </row>
    <row r="44" spans="1:11" x14ac:dyDescent="0.25">
      <c r="A44" s="17">
        <v>39995</v>
      </c>
      <c r="B44" s="18">
        <v>10790837.5</v>
      </c>
      <c r="C44" s="19">
        <v>154</v>
      </c>
      <c r="D44" s="19">
        <v>0</v>
      </c>
      <c r="E44" s="19">
        <v>22</v>
      </c>
      <c r="G44">
        <f t="shared" si="5"/>
        <v>5722866.4488198198</v>
      </c>
      <c r="H44">
        <f t="shared" si="6"/>
        <v>1457427.9570529154</v>
      </c>
      <c r="I44">
        <f t="shared" si="7"/>
        <v>0</v>
      </c>
      <c r="J44">
        <f t="shared" si="8"/>
        <v>2655821.7182592917</v>
      </c>
      <c r="K44">
        <f t="shared" si="9"/>
        <v>9836116.124132026</v>
      </c>
    </row>
    <row r="45" spans="1:11" x14ac:dyDescent="0.25">
      <c r="A45" s="17">
        <v>40026</v>
      </c>
      <c r="B45" s="18">
        <v>11118670.27</v>
      </c>
      <c r="C45" s="19">
        <v>122.6</v>
      </c>
      <c r="D45" s="19">
        <v>11</v>
      </c>
      <c r="E45" s="19">
        <v>20</v>
      </c>
      <c r="G45">
        <f t="shared" si="5"/>
        <v>5722866.4488198198</v>
      </c>
      <c r="H45">
        <f t="shared" si="6"/>
        <v>1160264.0749005678</v>
      </c>
      <c r="I45">
        <f t="shared" si="7"/>
        <v>742378.34634091367</v>
      </c>
      <c r="J45">
        <f t="shared" si="8"/>
        <v>2414383.38023572</v>
      </c>
      <c r="K45">
        <f t="shared" si="9"/>
        <v>10039892.250297021</v>
      </c>
    </row>
    <row r="46" spans="1:11" x14ac:dyDescent="0.25">
      <c r="A46" s="17">
        <v>40057</v>
      </c>
      <c r="B46" s="18">
        <v>10133781.59</v>
      </c>
      <c r="C46" s="19">
        <v>160.9</v>
      </c>
      <c r="D46" s="19">
        <v>0</v>
      </c>
      <c r="E46" s="19">
        <v>21</v>
      </c>
      <c r="G46">
        <f t="shared" si="5"/>
        <v>5722866.4488198198</v>
      </c>
      <c r="H46">
        <f t="shared" si="6"/>
        <v>1522728.3005832084</v>
      </c>
      <c r="I46">
        <f t="shared" si="7"/>
        <v>0</v>
      </c>
      <c r="J46">
        <f t="shared" si="8"/>
        <v>2535102.5492475061</v>
      </c>
      <c r="K46">
        <f t="shared" si="9"/>
        <v>9780697.298650533</v>
      </c>
    </row>
    <row r="47" spans="1:11" x14ac:dyDescent="0.25">
      <c r="A47" s="17">
        <v>40087</v>
      </c>
      <c r="B47" s="18">
        <v>13000847.74</v>
      </c>
      <c r="C47" s="19">
        <v>450</v>
      </c>
      <c r="D47" s="19">
        <v>0</v>
      </c>
      <c r="E47" s="19">
        <v>21</v>
      </c>
      <c r="G47">
        <f t="shared" si="5"/>
        <v>5722866.4488198198</v>
      </c>
      <c r="H47">
        <f t="shared" si="6"/>
        <v>4258718.0563234538</v>
      </c>
      <c r="I47">
        <f t="shared" si="7"/>
        <v>0</v>
      </c>
      <c r="J47">
        <f t="shared" si="8"/>
        <v>2535102.5492475061</v>
      </c>
      <c r="K47">
        <f t="shared" si="9"/>
        <v>12516687.054390781</v>
      </c>
    </row>
    <row r="48" spans="1:11" x14ac:dyDescent="0.25">
      <c r="A48" s="17">
        <v>40118</v>
      </c>
      <c r="B48" s="18">
        <v>12805137.380000001</v>
      </c>
      <c r="C48" s="19">
        <v>466.5</v>
      </c>
      <c r="D48" s="19">
        <v>0</v>
      </c>
      <c r="E48" s="19">
        <v>21</v>
      </c>
      <c r="G48">
        <f t="shared" si="5"/>
        <v>5722866.4488198198</v>
      </c>
      <c r="H48">
        <f t="shared" si="6"/>
        <v>4414871.0517219808</v>
      </c>
      <c r="I48">
        <f t="shared" si="7"/>
        <v>0</v>
      </c>
      <c r="J48">
        <f t="shared" si="8"/>
        <v>2535102.5492475061</v>
      </c>
      <c r="K48">
        <f t="shared" si="9"/>
        <v>12672840.049789306</v>
      </c>
    </row>
    <row r="49" spans="1:11" x14ac:dyDescent="0.25">
      <c r="A49" s="17">
        <v>40148</v>
      </c>
      <c r="B49" s="18">
        <v>17322151.559999999</v>
      </c>
      <c r="C49" s="19">
        <v>865</v>
      </c>
      <c r="D49" s="19">
        <v>0</v>
      </c>
      <c r="E49" s="19">
        <v>21</v>
      </c>
      <c r="G49">
        <f t="shared" si="5"/>
        <v>5722866.4488198198</v>
      </c>
      <c r="H49">
        <f t="shared" si="6"/>
        <v>8186202.4860439729</v>
      </c>
      <c r="I49">
        <f t="shared" si="7"/>
        <v>0</v>
      </c>
      <c r="J49">
        <f t="shared" si="8"/>
        <v>2535102.5492475061</v>
      </c>
      <c r="K49">
        <f t="shared" si="9"/>
        <v>16444171.484111298</v>
      </c>
    </row>
    <row r="50" spans="1:11" x14ac:dyDescent="0.25">
      <c r="A50" s="17">
        <v>40179</v>
      </c>
      <c r="B50" s="18">
        <v>17283128.699999999</v>
      </c>
      <c r="C50" s="19">
        <v>906</v>
      </c>
      <c r="D50" s="19">
        <v>0</v>
      </c>
      <c r="E50" s="19">
        <v>20</v>
      </c>
      <c r="G50">
        <f t="shared" si="5"/>
        <v>5722866.4488198198</v>
      </c>
      <c r="H50">
        <f t="shared" si="6"/>
        <v>8574219.0200645551</v>
      </c>
      <c r="I50">
        <f t="shared" si="7"/>
        <v>0</v>
      </c>
      <c r="J50">
        <f t="shared" si="8"/>
        <v>2414383.38023572</v>
      </c>
      <c r="K50">
        <f t="shared" si="9"/>
        <v>16711468.849120095</v>
      </c>
    </row>
    <row r="51" spans="1:11" x14ac:dyDescent="0.25">
      <c r="A51" s="17">
        <v>40210</v>
      </c>
      <c r="B51" s="18">
        <v>14874695.649999999</v>
      </c>
      <c r="C51" s="19">
        <v>779.8</v>
      </c>
      <c r="D51" s="19">
        <v>0</v>
      </c>
      <c r="E51" s="19">
        <v>19</v>
      </c>
      <c r="G51">
        <f t="shared" si="5"/>
        <v>5722866.4488198198</v>
      </c>
      <c r="H51">
        <f t="shared" si="6"/>
        <v>7379885.2007133989</v>
      </c>
      <c r="I51">
        <f t="shared" si="7"/>
        <v>0</v>
      </c>
      <c r="J51">
        <f t="shared" si="8"/>
        <v>2293664.2112239338</v>
      </c>
      <c r="K51">
        <f t="shared" si="9"/>
        <v>15396415.860757153</v>
      </c>
    </row>
    <row r="52" spans="1:11" x14ac:dyDescent="0.25">
      <c r="A52" s="17">
        <v>40238</v>
      </c>
      <c r="B52" s="18">
        <v>13997010.93</v>
      </c>
      <c r="C52" s="19">
        <v>544.79999999999995</v>
      </c>
      <c r="D52" s="19">
        <v>0</v>
      </c>
      <c r="E52" s="19">
        <v>23</v>
      </c>
      <c r="G52">
        <f t="shared" si="5"/>
        <v>5722866.4488198198</v>
      </c>
      <c r="H52">
        <f t="shared" si="6"/>
        <v>5155887.9935222613</v>
      </c>
      <c r="I52">
        <f t="shared" si="7"/>
        <v>0</v>
      </c>
      <c r="J52">
        <f t="shared" si="8"/>
        <v>2776540.8872710778</v>
      </c>
      <c r="K52">
        <f t="shared" si="9"/>
        <v>13655295.329613158</v>
      </c>
    </row>
    <row r="53" spans="1:11" x14ac:dyDescent="0.25">
      <c r="A53" s="17">
        <v>40269</v>
      </c>
      <c r="B53" s="18">
        <v>10847949.960000001</v>
      </c>
      <c r="C53" s="19">
        <v>388.1</v>
      </c>
      <c r="D53" s="19">
        <v>0</v>
      </c>
      <c r="E53" s="19">
        <v>20</v>
      </c>
      <c r="G53">
        <f t="shared" si="5"/>
        <v>5722866.4488198198</v>
      </c>
      <c r="H53">
        <f t="shared" si="6"/>
        <v>3672907.728131406</v>
      </c>
      <c r="I53">
        <f t="shared" si="7"/>
        <v>0</v>
      </c>
      <c r="J53">
        <f t="shared" si="8"/>
        <v>2414383.38023572</v>
      </c>
      <c r="K53">
        <f t="shared" si="9"/>
        <v>11810157.557186946</v>
      </c>
    </row>
    <row r="54" spans="1:11" x14ac:dyDescent="0.25">
      <c r="A54" s="17">
        <v>40299</v>
      </c>
      <c r="B54" s="18">
        <v>10080566.119999999</v>
      </c>
      <c r="C54" s="19">
        <v>221.9</v>
      </c>
      <c r="D54" s="19">
        <v>10.8</v>
      </c>
      <c r="E54" s="19">
        <v>20</v>
      </c>
      <c r="G54">
        <f t="shared" si="5"/>
        <v>5722866.4488198198</v>
      </c>
      <c r="H54">
        <f t="shared" si="6"/>
        <v>2100021.1926626102</v>
      </c>
      <c r="I54">
        <f t="shared" si="7"/>
        <v>728880.55822562438</v>
      </c>
      <c r="J54">
        <f t="shared" si="8"/>
        <v>2414383.38023572</v>
      </c>
      <c r="K54">
        <f t="shared" si="9"/>
        <v>10966151.579943774</v>
      </c>
    </row>
    <row r="55" spans="1:11" x14ac:dyDescent="0.25">
      <c r="A55" s="17">
        <v>40330</v>
      </c>
      <c r="B55" s="18">
        <v>9283863.4100000001</v>
      </c>
      <c r="C55" s="19">
        <v>121.1</v>
      </c>
      <c r="D55" s="19">
        <v>2.8</v>
      </c>
      <c r="E55" s="19">
        <v>22</v>
      </c>
      <c r="G55">
        <f t="shared" si="5"/>
        <v>5722866.4488198198</v>
      </c>
      <c r="H55">
        <f t="shared" si="6"/>
        <v>1146068.3480461561</v>
      </c>
      <c r="I55">
        <f t="shared" si="7"/>
        <v>188969.03361405074</v>
      </c>
      <c r="J55">
        <f t="shared" si="8"/>
        <v>2655821.7182592917</v>
      </c>
      <c r="K55">
        <f t="shared" si="9"/>
        <v>9713725.5487393178</v>
      </c>
    </row>
    <row r="56" spans="1:11" x14ac:dyDescent="0.25">
      <c r="A56" s="17">
        <v>40360</v>
      </c>
      <c r="B56" s="18">
        <v>10277037.66</v>
      </c>
      <c r="C56" s="19">
        <v>36.6</v>
      </c>
      <c r="D56" s="19">
        <v>11.6</v>
      </c>
      <c r="E56" s="19">
        <v>21</v>
      </c>
      <c r="G56">
        <f t="shared" si="5"/>
        <v>5722866.4488198198</v>
      </c>
      <c r="H56">
        <f t="shared" si="6"/>
        <v>346375.73524764093</v>
      </c>
      <c r="I56">
        <f t="shared" si="7"/>
        <v>782871.71068678168</v>
      </c>
      <c r="J56">
        <f t="shared" si="8"/>
        <v>2535102.5492475061</v>
      </c>
      <c r="K56">
        <f t="shared" si="9"/>
        <v>9387216.4440017492</v>
      </c>
    </row>
    <row r="57" spans="1:11" x14ac:dyDescent="0.25">
      <c r="A57" s="17">
        <v>40391</v>
      </c>
      <c r="B57" s="18">
        <v>10298675.939999999</v>
      </c>
      <c r="C57" s="19">
        <v>52.2</v>
      </c>
      <c r="D57" s="19">
        <v>45.9</v>
      </c>
      <c r="E57" s="19">
        <v>21</v>
      </c>
      <c r="G57">
        <f t="shared" si="5"/>
        <v>5722866.4488198198</v>
      </c>
      <c r="H57">
        <f t="shared" si="6"/>
        <v>494011.2945335207</v>
      </c>
      <c r="I57">
        <f t="shared" si="7"/>
        <v>3097742.3724589031</v>
      </c>
      <c r="J57">
        <f t="shared" si="8"/>
        <v>2535102.5492475061</v>
      </c>
      <c r="K57">
        <f t="shared" si="9"/>
        <v>11849722.665059749</v>
      </c>
    </row>
    <row r="58" spans="1:11" x14ac:dyDescent="0.25">
      <c r="A58" s="17">
        <v>40422</v>
      </c>
      <c r="B58" s="18">
        <v>9789881.8000000007</v>
      </c>
      <c r="C58" s="19">
        <v>224.1</v>
      </c>
      <c r="D58" s="19">
        <v>0.4</v>
      </c>
      <c r="E58" s="19">
        <v>21</v>
      </c>
      <c r="G58">
        <f t="shared" si="5"/>
        <v>5722866.4488198198</v>
      </c>
      <c r="H58">
        <f t="shared" si="6"/>
        <v>2120841.5920490799</v>
      </c>
      <c r="I58">
        <f t="shared" si="7"/>
        <v>26995.576230578677</v>
      </c>
      <c r="J58">
        <f t="shared" si="8"/>
        <v>2535102.5492475061</v>
      </c>
      <c r="K58">
        <f t="shared" si="9"/>
        <v>10405806.166346986</v>
      </c>
    </row>
    <row r="59" spans="1:11" x14ac:dyDescent="0.25">
      <c r="A59" s="17">
        <v>40452</v>
      </c>
      <c r="B59" s="18">
        <v>10854951.359999999</v>
      </c>
      <c r="C59" s="19">
        <v>373.7</v>
      </c>
      <c r="D59" s="19">
        <v>0</v>
      </c>
      <c r="E59" s="19">
        <v>20</v>
      </c>
      <c r="G59">
        <f t="shared" si="5"/>
        <v>5722866.4488198198</v>
      </c>
      <c r="H59">
        <f t="shared" si="6"/>
        <v>3536628.7503290549</v>
      </c>
      <c r="I59">
        <f t="shared" si="7"/>
        <v>0</v>
      </c>
      <c r="J59">
        <f t="shared" si="8"/>
        <v>2414383.38023572</v>
      </c>
      <c r="K59">
        <f t="shared" si="9"/>
        <v>11673878.579384595</v>
      </c>
    </row>
    <row r="60" spans="1:11" x14ac:dyDescent="0.25">
      <c r="A60" s="17">
        <v>40483</v>
      </c>
      <c r="B60" s="18">
        <v>12307817.600000001</v>
      </c>
      <c r="C60" s="19">
        <v>539.9</v>
      </c>
      <c r="D60" s="19">
        <v>0</v>
      </c>
      <c r="E60" s="19">
        <v>22</v>
      </c>
      <c r="G60">
        <f t="shared" si="5"/>
        <v>5722866.4488198198</v>
      </c>
      <c r="H60">
        <f t="shared" si="6"/>
        <v>5109515.2857978512</v>
      </c>
      <c r="I60">
        <f t="shared" si="7"/>
        <v>0</v>
      </c>
      <c r="J60">
        <f t="shared" si="8"/>
        <v>2655821.7182592917</v>
      </c>
      <c r="K60">
        <f t="shared" si="9"/>
        <v>13488203.452876963</v>
      </c>
    </row>
    <row r="61" spans="1:11" x14ac:dyDescent="0.25">
      <c r="A61" s="17">
        <v>40513</v>
      </c>
      <c r="B61" s="18">
        <v>16509634.079999998</v>
      </c>
      <c r="C61" s="19">
        <v>833.5</v>
      </c>
      <c r="D61" s="19">
        <v>0</v>
      </c>
      <c r="E61" s="19">
        <v>21</v>
      </c>
      <c r="G61">
        <f t="shared" si="5"/>
        <v>5722866.4488198198</v>
      </c>
      <c r="H61">
        <f t="shared" si="6"/>
        <v>7888092.2221013317</v>
      </c>
      <c r="I61">
        <f t="shared" si="7"/>
        <v>0</v>
      </c>
      <c r="J61">
        <f t="shared" si="8"/>
        <v>2535102.5492475061</v>
      </c>
      <c r="K61">
        <f t="shared" si="9"/>
        <v>16146061.220168658</v>
      </c>
    </row>
    <row r="62" spans="1:11" x14ac:dyDescent="0.25">
      <c r="A62" s="17">
        <v>40544</v>
      </c>
      <c r="B62" s="18">
        <v>18210954.41</v>
      </c>
      <c r="C62" s="19">
        <v>1033.5999999999999</v>
      </c>
      <c r="D62" s="19">
        <v>0</v>
      </c>
      <c r="E62" s="19">
        <v>20</v>
      </c>
      <c r="G62">
        <f t="shared" si="5"/>
        <v>5722866.4488198198</v>
      </c>
      <c r="H62">
        <f t="shared" si="6"/>
        <v>9781802.1844798271</v>
      </c>
      <c r="I62">
        <f t="shared" si="7"/>
        <v>0</v>
      </c>
      <c r="J62">
        <f t="shared" si="8"/>
        <v>2414383.38023572</v>
      </c>
      <c r="K62">
        <f t="shared" si="9"/>
        <v>17919052.013535365</v>
      </c>
    </row>
    <row r="63" spans="1:11" x14ac:dyDescent="0.25">
      <c r="A63" s="17">
        <v>40575</v>
      </c>
      <c r="B63" s="18">
        <v>15275983.57</v>
      </c>
      <c r="C63" s="19">
        <v>832</v>
      </c>
      <c r="D63" s="19">
        <v>0</v>
      </c>
      <c r="E63" s="19">
        <v>19</v>
      </c>
      <c r="G63">
        <f t="shared" si="5"/>
        <v>5722866.4488198198</v>
      </c>
      <c r="H63">
        <f t="shared" si="6"/>
        <v>7873896.4952469198</v>
      </c>
      <c r="I63">
        <f t="shared" si="7"/>
        <v>0</v>
      </c>
      <c r="J63">
        <f t="shared" si="8"/>
        <v>2293664.2112239338</v>
      </c>
      <c r="K63">
        <f t="shared" si="9"/>
        <v>15890427.155290674</v>
      </c>
    </row>
    <row r="64" spans="1:11" x14ac:dyDescent="0.25">
      <c r="A64" s="17">
        <v>40603</v>
      </c>
      <c r="B64" s="18">
        <v>14923502.969999999</v>
      </c>
      <c r="C64" s="19">
        <v>790.1</v>
      </c>
      <c r="D64" s="19">
        <v>0</v>
      </c>
      <c r="E64" s="19">
        <v>23</v>
      </c>
      <c r="G64">
        <f t="shared" si="5"/>
        <v>5722866.4488198198</v>
      </c>
      <c r="H64">
        <f t="shared" si="6"/>
        <v>7477362.5251136916</v>
      </c>
      <c r="I64">
        <f t="shared" si="7"/>
        <v>0</v>
      </c>
      <c r="J64">
        <f t="shared" si="8"/>
        <v>2776540.8872710778</v>
      </c>
      <c r="K64">
        <f t="shared" si="9"/>
        <v>15976769.861204589</v>
      </c>
    </row>
    <row r="65" spans="1:11" x14ac:dyDescent="0.25">
      <c r="A65" s="17">
        <v>40634</v>
      </c>
      <c r="B65" s="18">
        <v>12118407.5</v>
      </c>
      <c r="C65" s="19">
        <v>521.4</v>
      </c>
      <c r="D65" s="19">
        <v>0</v>
      </c>
      <c r="E65" s="19">
        <v>19</v>
      </c>
      <c r="G65">
        <f t="shared" si="5"/>
        <v>5722866.4488198198</v>
      </c>
      <c r="H65">
        <f t="shared" si="6"/>
        <v>4934434.6545934416</v>
      </c>
      <c r="I65">
        <f t="shared" si="7"/>
        <v>0</v>
      </c>
      <c r="J65">
        <f t="shared" si="8"/>
        <v>2293664.2112239338</v>
      </c>
      <c r="K65">
        <f t="shared" si="9"/>
        <v>12950965.314637195</v>
      </c>
    </row>
    <row r="66" spans="1:11" x14ac:dyDescent="0.25">
      <c r="A66" s="17">
        <v>40664</v>
      </c>
      <c r="B66" s="18">
        <v>10132000.65</v>
      </c>
      <c r="C66" s="19">
        <v>262.5</v>
      </c>
      <c r="D66" s="19">
        <v>1.2</v>
      </c>
      <c r="E66" s="19">
        <v>21</v>
      </c>
      <c r="G66">
        <f t="shared" ref="G66:G97" si="10">const</f>
        <v>5722866.4488198198</v>
      </c>
      <c r="H66">
        <f t="shared" ref="H66:H97" si="11">MonthlyHDD*C66</f>
        <v>2484252.1995220152</v>
      </c>
      <c r="I66">
        <f t="shared" ref="I66:I97" si="12">MonthlyCDD*D66</f>
        <v>80986.728691736032</v>
      </c>
      <c r="J66">
        <f t="shared" ref="J66:J97" si="13">PeakDays*E66</f>
        <v>2535102.5492475061</v>
      </c>
      <c r="K66">
        <f t="shared" ref="K66:K97" si="14">SUM(G66:J66)</f>
        <v>10823207.926281076</v>
      </c>
    </row>
    <row r="67" spans="1:11" x14ac:dyDescent="0.25">
      <c r="A67" s="17">
        <v>40695</v>
      </c>
      <c r="B67" s="18">
        <v>9032152.8599999994</v>
      </c>
      <c r="C67" s="19">
        <v>124.3</v>
      </c>
      <c r="D67" s="19">
        <v>1.4</v>
      </c>
      <c r="E67" s="19">
        <v>22</v>
      </c>
      <c r="G67">
        <f t="shared" si="10"/>
        <v>5722866.4488198198</v>
      </c>
      <c r="H67">
        <f t="shared" si="11"/>
        <v>1176352.5653355673</v>
      </c>
      <c r="I67">
        <f t="shared" si="12"/>
        <v>94484.516807025371</v>
      </c>
      <c r="J67">
        <f t="shared" si="13"/>
        <v>2655821.7182592917</v>
      </c>
      <c r="K67">
        <f t="shared" si="14"/>
        <v>9649525.2492217049</v>
      </c>
    </row>
    <row r="68" spans="1:11" x14ac:dyDescent="0.25">
      <c r="A68" s="17">
        <v>40725</v>
      </c>
      <c r="B68" s="18">
        <v>10244088.84</v>
      </c>
      <c r="C68" s="19">
        <v>62.5</v>
      </c>
      <c r="D68" s="19">
        <v>14.1</v>
      </c>
      <c r="E68" s="19">
        <v>20</v>
      </c>
      <c r="G68">
        <f t="shared" si="10"/>
        <v>5722866.4488198198</v>
      </c>
      <c r="H68">
        <f t="shared" si="11"/>
        <v>591488.61893381306</v>
      </c>
      <c r="I68">
        <f t="shared" si="12"/>
        <v>951594.06212789833</v>
      </c>
      <c r="J68">
        <f t="shared" si="13"/>
        <v>2414383.38023572</v>
      </c>
      <c r="K68">
        <f t="shared" si="14"/>
        <v>9680332.5101172514</v>
      </c>
    </row>
    <row r="69" spans="1:11" x14ac:dyDescent="0.25">
      <c r="A69" s="17">
        <v>40756</v>
      </c>
      <c r="B69" s="18">
        <v>10453709.460000001</v>
      </c>
      <c r="C69" s="19">
        <v>60</v>
      </c>
      <c r="D69" s="19">
        <v>11.9</v>
      </c>
      <c r="E69" s="19">
        <v>22</v>
      </c>
      <c r="G69">
        <f t="shared" si="10"/>
        <v>5722866.4488198198</v>
      </c>
      <c r="H69">
        <f t="shared" si="11"/>
        <v>567829.0741764605</v>
      </c>
      <c r="I69">
        <f t="shared" si="12"/>
        <v>803118.39285971574</v>
      </c>
      <c r="J69">
        <f t="shared" si="13"/>
        <v>2655821.7182592917</v>
      </c>
      <c r="K69">
        <f t="shared" si="14"/>
        <v>9749635.634115288</v>
      </c>
    </row>
    <row r="70" spans="1:11" x14ac:dyDescent="0.25">
      <c r="A70" s="17">
        <v>40787</v>
      </c>
      <c r="B70" s="18">
        <v>9912883.3800000008</v>
      </c>
      <c r="C70" s="19">
        <v>172.6</v>
      </c>
      <c r="D70" s="19">
        <v>3.4</v>
      </c>
      <c r="E70" s="19">
        <v>21</v>
      </c>
      <c r="G70">
        <f t="shared" si="10"/>
        <v>5722866.4488198198</v>
      </c>
      <c r="H70">
        <f t="shared" si="11"/>
        <v>1633454.9700476183</v>
      </c>
      <c r="I70">
        <f t="shared" si="12"/>
        <v>229462.39795991874</v>
      </c>
      <c r="J70">
        <f t="shared" si="13"/>
        <v>2535102.5492475061</v>
      </c>
      <c r="K70">
        <f t="shared" si="14"/>
        <v>10120886.366074864</v>
      </c>
    </row>
    <row r="71" spans="1:11" x14ac:dyDescent="0.25">
      <c r="A71" s="17">
        <v>40817</v>
      </c>
      <c r="B71" s="18">
        <v>10981342.77</v>
      </c>
      <c r="C71" s="19">
        <v>320.39999999999998</v>
      </c>
      <c r="D71" s="19">
        <v>1.5</v>
      </c>
      <c r="E71" s="19">
        <v>20</v>
      </c>
      <c r="G71">
        <f t="shared" si="10"/>
        <v>5722866.4488198198</v>
      </c>
      <c r="H71">
        <f t="shared" si="11"/>
        <v>3032207.2561022993</v>
      </c>
      <c r="I71">
        <f t="shared" si="12"/>
        <v>101233.41086467003</v>
      </c>
      <c r="J71">
        <f t="shared" si="13"/>
        <v>2414383.38023572</v>
      </c>
      <c r="K71">
        <f t="shared" si="14"/>
        <v>11270690.496022509</v>
      </c>
    </row>
    <row r="72" spans="1:11" x14ac:dyDescent="0.25">
      <c r="A72" s="17">
        <v>40848</v>
      </c>
      <c r="B72" s="18">
        <v>12396977.68</v>
      </c>
      <c r="C72" s="19">
        <v>519.9</v>
      </c>
      <c r="D72" s="19">
        <v>0</v>
      </c>
      <c r="E72" s="19">
        <v>22</v>
      </c>
      <c r="G72">
        <f t="shared" si="10"/>
        <v>5722866.4488198198</v>
      </c>
      <c r="H72">
        <f t="shared" si="11"/>
        <v>4920238.9277390307</v>
      </c>
      <c r="I72">
        <f t="shared" si="12"/>
        <v>0</v>
      </c>
      <c r="J72">
        <f t="shared" si="13"/>
        <v>2655821.7182592917</v>
      </c>
      <c r="K72">
        <f t="shared" si="14"/>
        <v>13298927.094818143</v>
      </c>
    </row>
    <row r="73" spans="1:11" x14ac:dyDescent="0.25">
      <c r="A73" s="17">
        <v>40878</v>
      </c>
      <c r="B73" s="18">
        <v>15364156.579999998</v>
      </c>
      <c r="C73" s="19">
        <v>787</v>
      </c>
      <c r="D73" s="19">
        <v>0</v>
      </c>
      <c r="E73" s="19">
        <v>20</v>
      </c>
      <c r="G73">
        <f t="shared" si="10"/>
        <v>5722866.4488198198</v>
      </c>
      <c r="H73">
        <f t="shared" si="11"/>
        <v>7448024.6896145744</v>
      </c>
      <c r="I73">
        <f t="shared" si="12"/>
        <v>0</v>
      </c>
      <c r="J73">
        <f t="shared" si="13"/>
        <v>2414383.38023572</v>
      </c>
      <c r="K73">
        <f t="shared" si="14"/>
        <v>15585274.518670116</v>
      </c>
    </row>
    <row r="74" spans="1:11" x14ac:dyDescent="0.25">
      <c r="A74" s="17">
        <v>40909</v>
      </c>
      <c r="B74" s="18">
        <v>16257178</v>
      </c>
      <c r="C74" s="19">
        <v>870.6</v>
      </c>
      <c r="D74" s="19">
        <v>0</v>
      </c>
      <c r="E74" s="19">
        <v>21</v>
      </c>
      <c r="G74">
        <f t="shared" si="10"/>
        <v>5722866.4488198198</v>
      </c>
      <c r="H74">
        <f t="shared" si="11"/>
        <v>8239199.8663004432</v>
      </c>
      <c r="I74">
        <f t="shared" si="12"/>
        <v>0</v>
      </c>
      <c r="J74">
        <f t="shared" si="13"/>
        <v>2535102.5492475061</v>
      </c>
      <c r="K74">
        <f t="shared" si="14"/>
        <v>16497168.864367768</v>
      </c>
    </row>
    <row r="75" spans="1:11" x14ac:dyDescent="0.25">
      <c r="A75" s="17">
        <v>40940</v>
      </c>
      <c r="B75" s="18">
        <v>14151568</v>
      </c>
      <c r="C75" s="19">
        <v>733.6</v>
      </c>
      <c r="D75" s="19">
        <v>0</v>
      </c>
      <c r="E75" s="19">
        <v>20</v>
      </c>
      <c r="G75">
        <f t="shared" si="10"/>
        <v>5722866.4488198198</v>
      </c>
      <c r="H75">
        <f t="shared" si="11"/>
        <v>6942656.8135975245</v>
      </c>
      <c r="I75">
        <f t="shared" si="12"/>
        <v>0</v>
      </c>
      <c r="J75">
        <f t="shared" si="13"/>
        <v>2414383.38023572</v>
      </c>
      <c r="K75">
        <f t="shared" si="14"/>
        <v>15079906.642653065</v>
      </c>
    </row>
    <row r="76" spans="1:11" x14ac:dyDescent="0.25">
      <c r="A76" s="17">
        <v>40969</v>
      </c>
      <c r="B76" s="18">
        <v>13453783</v>
      </c>
      <c r="C76" s="19">
        <v>541.70000000000005</v>
      </c>
      <c r="D76" s="19">
        <v>0</v>
      </c>
      <c r="E76" s="19">
        <v>22</v>
      </c>
      <c r="G76">
        <f t="shared" si="10"/>
        <v>5722866.4488198198</v>
      </c>
      <c r="H76">
        <f t="shared" si="11"/>
        <v>5126550.158023145</v>
      </c>
      <c r="I76">
        <f t="shared" si="12"/>
        <v>0</v>
      </c>
      <c r="J76">
        <f t="shared" si="13"/>
        <v>2655821.7182592917</v>
      </c>
      <c r="K76">
        <f t="shared" si="14"/>
        <v>13505238.325102257</v>
      </c>
    </row>
    <row r="77" spans="1:11" x14ac:dyDescent="0.25">
      <c r="A77" s="17">
        <v>41000</v>
      </c>
      <c r="B77" s="18">
        <v>11682191</v>
      </c>
      <c r="C77" s="19">
        <v>476.7</v>
      </c>
      <c r="D77" s="19">
        <v>0</v>
      </c>
      <c r="E77" s="19">
        <v>19</v>
      </c>
      <c r="G77">
        <f t="shared" si="10"/>
        <v>5722866.4488198198</v>
      </c>
      <c r="H77">
        <f t="shared" si="11"/>
        <v>4511401.9943319792</v>
      </c>
      <c r="I77">
        <f t="shared" si="12"/>
        <v>0</v>
      </c>
      <c r="J77">
        <f t="shared" si="13"/>
        <v>2293664.2112239338</v>
      </c>
      <c r="K77">
        <f t="shared" si="14"/>
        <v>12527932.654375732</v>
      </c>
    </row>
    <row r="78" spans="1:11" x14ac:dyDescent="0.25">
      <c r="A78" s="17">
        <v>41030</v>
      </c>
      <c r="B78" s="18">
        <v>10307176</v>
      </c>
      <c r="C78" s="19">
        <v>230.7</v>
      </c>
      <c r="D78" s="19">
        <v>6.5</v>
      </c>
      <c r="E78" s="19">
        <v>22</v>
      </c>
      <c r="G78">
        <f t="shared" si="10"/>
        <v>5722866.4488198198</v>
      </c>
      <c r="H78">
        <f t="shared" si="11"/>
        <v>2183302.7902084906</v>
      </c>
      <c r="I78">
        <f t="shared" si="12"/>
        <v>438678.11374690349</v>
      </c>
      <c r="J78">
        <f t="shared" si="13"/>
        <v>2655821.7182592917</v>
      </c>
      <c r="K78">
        <f t="shared" si="14"/>
        <v>11000669.071034506</v>
      </c>
    </row>
    <row r="79" spans="1:11" x14ac:dyDescent="0.25">
      <c r="A79" s="17">
        <v>41061</v>
      </c>
      <c r="B79" s="18">
        <v>9779424</v>
      </c>
      <c r="C79" s="19">
        <v>93.5</v>
      </c>
      <c r="D79" s="19">
        <v>15.1</v>
      </c>
      <c r="E79" s="19">
        <v>21</v>
      </c>
      <c r="G79">
        <f t="shared" si="10"/>
        <v>5722866.4488198198</v>
      </c>
      <c r="H79">
        <f t="shared" si="11"/>
        <v>884866.97392498434</v>
      </c>
      <c r="I79">
        <f t="shared" si="12"/>
        <v>1019083.002704345</v>
      </c>
      <c r="J79">
        <f t="shared" si="13"/>
        <v>2535102.5492475061</v>
      </c>
      <c r="K79">
        <f t="shared" si="14"/>
        <v>10161918.974696655</v>
      </c>
    </row>
    <row r="80" spans="1:11" x14ac:dyDescent="0.25">
      <c r="A80" s="17">
        <v>41091</v>
      </c>
      <c r="B80" s="18">
        <v>10817789</v>
      </c>
      <c r="C80" s="19">
        <v>27.3</v>
      </c>
      <c r="D80" s="19">
        <v>22.5</v>
      </c>
      <c r="E80" s="19">
        <v>21</v>
      </c>
      <c r="G80">
        <f t="shared" si="10"/>
        <v>5722866.4488198198</v>
      </c>
      <c r="H80">
        <f t="shared" si="11"/>
        <v>258362.22875028956</v>
      </c>
      <c r="I80">
        <f t="shared" si="12"/>
        <v>1518501.1629700507</v>
      </c>
      <c r="J80">
        <f t="shared" si="13"/>
        <v>2535102.5492475061</v>
      </c>
      <c r="K80">
        <f t="shared" si="14"/>
        <v>10034832.389787666</v>
      </c>
    </row>
    <row r="81" spans="1:11" x14ac:dyDescent="0.25">
      <c r="A81" s="17">
        <v>41122</v>
      </c>
      <c r="B81" s="18">
        <v>10717021</v>
      </c>
      <c r="C81" s="19">
        <v>62.8</v>
      </c>
      <c r="D81" s="19">
        <v>17.8</v>
      </c>
      <c r="E81" s="19">
        <v>22</v>
      </c>
      <c r="G81">
        <f t="shared" si="10"/>
        <v>5722866.4488198198</v>
      </c>
      <c r="H81">
        <f t="shared" si="11"/>
        <v>594327.76430469542</v>
      </c>
      <c r="I81">
        <f t="shared" si="12"/>
        <v>1201303.1422607512</v>
      </c>
      <c r="J81">
        <f t="shared" si="13"/>
        <v>2655821.7182592917</v>
      </c>
      <c r="K81">
        <f t="shared" si="14"/>
        <v>10174319.073644558</v>
      </c>
    </row>
    <row r="82" spans="1:11" x14ac:dyDescent="0.25">
      <c r="A82" s="17">
        <v>41153</v>
      </c>
      <c r="B82" s="18">
        <v>10163216</v>
      </c>
      <c r="C82" s="19">
        <v>219.8</v>
      </c>
      <c r="D82" s="19">
        <v>5.4</v>
      </c>
      <c r="E82" s="19">
        <v>19</v>
      </c>
      <c r="G82">
        <f t="shared" si="10"/>
        <v>5722866.4488198198</v>
      </c>
      <c r="H82">
        <f t="shared" si="11"/>
        <v>2080147.1750664341</v>
      </c>
      <c r="I82">
        <f t="shared" si="12"/>
        <v>364440.27911281219</v>
      </c>
      <c r="J82">
        <f t="shared" si="13"/>
        <v>2293664.2112239338</v>
      </c>
      <c r="K82">
        <f t="shared" si="14"/>
        <v>10461118.114223</v>
      </c>
    </row>
    <row r="83" spans="1:11" x14ac:dyDescent="0.25">
      <c r="A83" s="17">
        <v>41183</v>
      </c>
      <c r="B83" s="18">
        <v>11586791</v>
      </c>
      <c r="C83" s="19">
        <v>379.9</v>
      </c>
      <c r="D83" s="19">
        <v>0</v>
      </c>
      <c r="E83" s="19">
        <v>22</v>
      </c>
      <c r="G83">
        <f t="shared" si="10"/>
        <v>5722866.4488198198</v>
      </c>
      <c r="H83">
        <f t="shared" si="11"/>
        <v>3595304.4213272892</v>
      </c>
      <c r="I83">
        <f t="shared" si="12"/>
        <v>0</v>
      </c>
      <c r="J83">
        <f t="shared" si="13"/>
        <v>2655821.7182592917</v>
      </c>
      <c r="K83">
        <f t="shared" si="14"/>
        <v>11973992.588406401</v>
      </c>
    </row>
    <row r="84" spans="1:11" x14ac:dyDescent="0.25">
      <c r="A84" s="17">
        <v>41214</v>
      </c>
      <c r="B84" s="18">
        <v>13032681</v>
      </c>
      <c r="C84" s="19">
        <v>567.9</v>
      </c>
      <c r="D84" s="19">
        <v>0</v>
      </c>
      <c r="E84" s="19">
        <v>22</v>
      </c>
      <c r="G84">
        <f t="shared" si="10"/>
        <v>5722866.4488198198</v>
      </c>
      <c r="H84">
        <f t="shared" si="11"/>
        <v>5374502.1870801989</v>
      </c>
      <c r="I84">
        <f t="shared" si="12"/>
        <v>0</v>
      </c>
      <c r="J84">
        <f t="shared" si="13"/>
        <v>2655821.7182592917</v>
      </c>
      <c r="K84">
        <f t="shared" si="14"/>
        <v>13753190.35415931</v>
      </c>
    </row>
    <row r="85" spans="1:11" x14ac:dyDescent="0.25">
      <c r="A85" s="17">
        <v>41244</v>
      </c>
      <c r="B85" s="18">
        <v>15521871</v>
      </c>
      <c r="C85" s="19">
        <v>777.7</v>
      </c>
      <c r="D85" s="19">
        <v>0</v>
      </c>
      <c r="E85" s="19">
        <v>19</v>
      </c>
      <c r="G85">
        <f t="shared" si="10"/>
        <v>5722866.4488198198</v>
      </c>
      <c r="H85">
        <f t="shared" si="11"/>
        <v>7360011.183117223</v>
      </c>
      <c r="I85">
        <f t="shared" si="12"/>
        <v>0</v>
      </c>
      <c r="J85">
        <f t="shared" si="13"/>
        <v>2293664.2112239338</v>
      </c>
      <c r="K85">
        <f t="shared" si="14"/>
        <v>15376541.843160976</v>
      </c>
    </row>
    <row r="86" spans="1:11" x14ac:dyDescent="0.25">
      <c r="A86" s="17">
        <v>41275</v>
      </c>
      <c r="B86" s="18">
        <v>16693786</v>
      </c>
      <c r="C86" s="19">
        <v>782.4</v>
      </c>
      <c r="D86" s="19">
        <v>0</v>
      </c>
      <c r="E86" s="19">
        <v>22</v>
      </c>
      <c r="G86">
        <f t="shared" si="10"/>
        <v>5722866.4488198198</v>
      </c>
      <c r="H86">
        <f t="shared" si="11"/>
        <v>7404491.1272610454</v>
      </c>
      <c r="I86">
        <f t="shared" si="12"/>
        <v>0</v>
      </c>
      <c r="J86">
        <f t="shared" si="13"/>
        <v>2655821.7182592917</v>
      </c>
      <c r="K86">
        <f t="shared" si="14"/>
        <v>15783179.294340158</v>
      </c>
    </row>
    <row r="87" spans="1:11" x14ac:dyDescent="0.25">
      <c r="A87" s="17">
        <v>41306</v>
      </c>
      <c r="B87" s="18">
        <v>15174191</v>
      </c>
      <c r="C87" s="19">
        <v>692.5</v>
      </c>
      <c r="D87" s="19">
        <v>0</v>
      </c>
      <c r="E87" s="19">
        <v>19</v>
      </c>
      <c r="G87">
        <f t="shared" si="10"/>
        <v>5722866.4488198198</v>
      </c>
      <c r="H87">
        <f t="shared" si="11"/>
        <v>6553693.8977866489</v>
      </c>
      <c r="I87">
        <f t="shared" si="12"/>
        <v>0</v>
      </c>
      <c r="J87">
        <f t="shared" si="13"/>
        <v>2293664.2112239338</v>
      </c>
      <c r="K87">
        <f t="shared" si="14"/>
        <v>14570224.557830403</v>
      </c>
    </row>
    <row r="88" spans="1:11" x14ac:dyDescent="0.25">
      <c r="A88" s="17">
        <v>41334</v>
      </c>
      <c r="B88" s="18">
        <v>14601438</v>
      </c>
      <c r="C88" s="19">
        <v>716.9</v>
      </c>
      <c r="D88" s="19">
        <v>0</v>
      </c>
      <c r="E88" s="19">
        <v>20</v>
      </c>
      <c r="G88">
        <f t="shared" si="10"/>
        <v>5722866.4488198198</v>
      </c>
      <c r="H88">
        <f t="shared" si="11"/>
        <v>6784611.0546184098</v>
      </c>
      <c r="I88">
        <f t="shared" si="12"/>
        <v>0</v>
      </c>
      <c r="J88">
        <f t="shared" si="13"/>
        <v>2414383.38023572</v>
      </c>
      <c r="K88">
        <f t="shared" si="14"/>
        <v>14921860.883673951</v>
      </c>
    </row>
    <row r="89" spans="1:11" x14ac:dyDescent="0.25">
      <c r="A89" s="17">
        <v>41365</v>
      </c>
      <c r="B89" s="18">
        <v>13150077</v>
      </c>
      <c r="C89" s="19">
        <v>513.5</v>
      </c>
      <c r="D89" s="19">
        <v>0</v>
      </c>
      <c r="E89" s="19">
        <v>21</v>
      </c>
      <c r="G89">
        <f t="shared" si="10"/>
        <v>5722866.4488198198</v>
      </c>
      <c r="H89">
        <f t="shared" si="11"/>
        <v>4859670.4931602087</v>
      </c>
      <c r="I89">
        <f t="shared" si="12"/>
        <v>0</v>
      </c>
      <c r="J89">
        <f t="shared" si="13"/>
        <v>2535102.5492475061</v>
      </c>
      <c r="K89">
        <f t="shared" si="14"/>
        <v>13117639.491227534</v>
      </c>
    </row>
    <row r="90" spans="1:11" x14ac:dyDescent="0.25">
      <c r="A90" s="17">
        <v>41395</v>
      </c>
      <c r="B90" s="18">
        <v>10553126</v>
      </c>
      <c r="C90" s="19">
        <v>306.5</v>
      </c>
      <c r="D90" s="19">
        <v>0</v>
      </c>
      <c r="E90" s="19">
        <v>22</v>
      </c>
      <c r="G90">
        <f t="shared" si="10"/>
        <v>5722866.4488198198</v>
      </c>
      <c r="H90">
        <f t="shared" si="11"/>
        <v>2900660.1872514193</v>
      </c>
      <c r="I90">
        <f t="shared" si="12"/>
        <v>0</v>
      </c>
      <c r="J90">
        <f t="shared" si="13"/>
        <v>2655821.7182592917</v>
      </c>
      <c r="K90">
        <f t="shared" si="14"/>
        <v>11279348.35433053</v>
      </c>
    </row>
    <row r="91" spans="1:11" x14ac:dyDescent="0.25">
      <c r="A91" s="17">
        <v>41426</v>
      </c>
      <c r="B91" s="18">
        <v>9632056</v>
      </c>
      <c r="C91" s="19">
        <v>134.6</v>
      </c>
      <c r="D91" s="19">
        <v>4</v>
      </c>
      <c r="E91" s="19">
        <v>20</v>
      </c>
      <c r="G91">
        <f t="shared" si="10"/>
        <v>5722866.4488198198</v>
      </c>
      <c r="H91">
        <f t="shared" si="11"/>
        <v>1273829.8897358598</v>
      </c>
      <c r="I91">
        <f t="shared" si="12"/>
        <v>269955.76230578677</v>
      </c>
      <c r="J91">
        <f t="shared" si="13"/>
        <v>2414383.38023572</v>
      </c>
      <c r="K91">
        <f t="shared" si="14"/>
        <v>9681035.481097186</v>
      </c>
    </row>
    <row r="92" spans="1:11" x14ac:dyDescent="0.25">
      <c r="A92" s="17">
        <v>41456</v>
      </c>
      <c r="B92" s="18">
        <v>10454381</v>
      </c>
      <c r="C92" s="19">
        <v>72.599999999999994</v>
      </c>
      <c r="D92" s="19">
        <v>13.5</v>
      </c>
      <c r="E92" s="19">
        <v>22</v>
      </c>
      <c r="G92">
        <f t="shared" si="10"/>
        <v>5722866.4488198198</v>
      </c>
      <c r="H92">
        <f t="shared" si="11"/>
        <v>687073.17975351727</v>
      </c>
      <c r="I92">
        <f t="shared" si="12"/>
        <v>911100.69778203033</v>
      </c>
      <c r="J92">
        <f t="shared" si="13"/>
        <v>2655821.7182592917</v>
      </c>
      <c r="K92">
        <f t="shared" si="14"/>
        <v>9976862.0446146596</v>
      </c>
    </row>
    <row r="93" spans="1:11" x14ac:dyDescent="0.25">
      <c r="A93" s="17">
        <v>41487</v>
      </c>
      <c r="B93" s="18">
        <v>10345419</v>
      </c>
      <c r="C93" s="19">
        <v>82.1</v>
      </c>
      <c r="D93" s="19">
        <v>17.8</v>
      </c>
      <c r="E93" s="19">
        <v>21</v>
      </c>
      <c r="G93">
        <f t="shared" si="10"/>
        <v>5722866.4488198198</v>
      </c>
      <c r="H93">
        <f t="shared" si="11"/>
        <v>776979.44983145676</v>
      </c>
      <c r="I93">
        <f t="shared" si="12"/>
        <v>1201303.1422607512</v>
      </c>
      <c r="J93">
        <f t="shared" si="13"/>
        <v>2535102.5492475061</v>
      </c>
      <c r="K93">
        <f t="shared" si="14"/>
        <v>10236251.590159535</v>
      </c>
    </row>
    <row r="94" spans="1:11" x14ac:dyDescent="0.25">
      <c r="A94" s="17">
        <v>41518</v>
      </c>
      <c r="B94" s="18">
        <v>10224461</v>
      </c>
      <c r="C94" s="19">
        <v>170.5</v>
      </c>
      <c r="D94" s="19">
        <v>0</v>
      </c>
      <c r="E94" s="19">
        <v>20</v>
      </c>
      <c r="G94">
        <f t="shared" si="10"/>
        <v>5722866.4488198198</v>
      </c>
      <c r="H94">
        <f t="shared" si="11"/>
        <v>1613580.9524514421</v>
      </c>
      <c r="I94">
        <f t="shared" si="12"/>
        <v>0</v>
      </c>
      <c r="J94">
        <f t="shared" si="13"/>
        <v>2414383.38023572</v>
      </c>
      <c r="K94">
        <f t="shared" si="14"/>
        <v>9750830.7815069817</v>
      </c>
    </row>
    <row r="95" spans="1:11" x14ac:dyDescent="0.25">
      <c r="A95" s="17">
        <v>41548</v>
      </c>
      <c r="B95" s="18">
        <v>12045684</v>
      </c>
      <c r="C95" s="19">
        <v>325.89999999999998</v>
      </c>
      <c r="D95" s="19">
        <v>0</v>
      </c>
      <c r="E95" s="19">
        <v>22</v>
      </c>
      <c r="G95">
        <f t="shared" si="10"/>
        <v>5722866.4488198198</v>
      </c>
      <c r="H95">
        <f t="shared" si="11"/>
        <v>3084258.2545684748</v>
      </c>
      <c r="I95">
        <f t="shared" si="12"/>
        <v>0</v>
      </c>
      <c r="J95">
        <f t="shared" si="13"/>
        <v>2655821.7182592917</v>
      </c>
      <c r="K95">
        <f t="shared" si="14"/>
        <v>11462946.421647586</v>
      </c>
    </row>
    <row r="96" spans="1:11" x14ac:dyDescent="0.25">
      <c r="A96" s="17">
        <v>41579</v>
      </c>
      <c r="B96" s="18">
        <v>14228773</v>
      </c>
      <c r="C96" s="19">
        <v>587.79999999999995</v>
      </c>
      <c r="D96" s="19">
        <v>0</v>
      </c>
      <c r="E96" s="19">
        <v>21</v>
      </c>
      <c r="G96">
        <f t="shared" si="10"/>
        <v>5722866.4488198198</v>
      </c>
      <c r="H96">
        <f t="shared" si="11"/>
        <v>5562832.1633487251</v>
      </c>
      <c r="I96">
        <f t="shared" si="12"/>
        <v>0</v>
      </c>
      <c r="J96">
        <f t="shared" si="13"/>
        <v>2535102.5492475061</v>
      </c>
      <c r="K96">
        <f t="shared" si="14"/>
        <v>13820801.16141605</v>
      </c>
    </row>
    <row r="97" spans="1:11" x14ac:dyDescent="0.25">
      <c r="A97" s="17">
        <v>41609</v>
      </c>
      <c r="B97" s="18">
        <v>18557256</v>
      </c>
      <c r="C97" s="19">
        <v>854.5</v>
      </c>
      <c r="D97" s="19">
        <v>0</v>
      </c>
      <c r="E97" s="19">
        <v>20</v>
      </c>
      <c r="G97">
        <f t="shared" si="10"/>
        <v>5722866.4488198198</v>
      </c>
      <c r="H97">
        <f t="shared" si="11"/>
        <v>8086832.3980630925</v>
      </c>
      <c r="I97">
        <f t="shared" si="12"/>
        <v>0</v>
      </c>
      <c r="J97">
        <f t="shared" si="13"/>
        <v>2414383.38023572</v>
      </c>
      <c r="K97">
        <f t="shared" si="14"/>
        <v>16224082.227118634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98"/>
  <sheetViews>
    <sheetView workbookViewId="0">
      <selection activeCell="C4" sqref="C4"/>
    </sheetView>
  </sheetViews>
  <sheetFormatPr defaultColWidth="10.85546875" defaultRowHeight="15" x14ac:dyDescent="0.25"/>
  <cols>
    <col min="1" max="2" width="10.85546875" style="17"/>
    <col min="3" max="3" width="14.28515625" style="18" bestFit="1" customWidth="1"/>
  </cols>
  <sheetData>
    <row r="1" spans="1:5" x14ac:dyDescent="0.25">
      <c r="A1" s="17" t="s">
        <v>10</v>
      </c>
      <c r="B1" s="17" t="s">
        <v>1</v>
      </c>
      <c r="C1" s="18" t="s">
        <v>40</v>
      </c>
      <c r="D1" t="s">
        <v>31</v>
      </c>
      <c r="E1" t="s">
        <v>32</v>
      </c>
    </row>
    <row r="2" spans="1:5" x14ac:dyDescent="0.25">
      <c r="A2" s="17">
        <v>38718</v>
      </c>
      <c r="B2" s="20">
        <f t="shared" ref="B2:B33" si="0">YEAR(A2)</f>
        <v>2006</v>
      </c>
      <c r="C2" s="18">
        <f>'Monthly Data'!B2</f>
        <v>16432360.530000001</v>
      </c>
      <c r="D2">
        <f>'Predicted Monthly Data'!K2</f>
        <v>15655835.452796314</v>
      </c>
      <c r="E2" s="16">
        <f t="shared" ref="E2:E33" si="1">ABS(D2-C2)/C2</f>
        <v>4.72558446965676E-2</v>
      </c>
    </row>
    <row r="3" spans="1:5" x14ac:dyDescent="0.25">
      <c r="A3" s="17">
        <v>38749</v>
      </c>
      <c r="B3" s="20">
        <f t="shared" si="0"/>
        <v>2006</v>
      </c>
      <c r="C3" s="18">
        <f>'Monthly Data'!B3</f>
        <v>15254915.93</v>
      </c>
      <c r="D3">
        <f>'Predicted Monthly Data'!K3</f>
        <v>16295060.861390691</v>
      </c>
      <c r="E3" s="16">
        <f t="shared" si="1"/>
        <v>6.8184245404143085E-2</v>
      </c>
    </row>
    <row r="4" spans="1:5" x14ac:dyDescent="0.25">
      <c r="A4" s="17">
        <v>38777</v>
      </c>
      <c r="B4" s="20">
        <f t="shared" si="0"/>
        <v>2006</v>
      </c>
      <c r="C4" s="18">
        <f>'Monthly Data'!B4</f>
        <v>14730427.050000001</v>
      </c>
      <c r="D4">
        <f>'Predicted Monthly Data'!K4</f>
        <v>14980229.836024901</v>
      </c>
      <c r="E4" s="16">
        <f t="shared" si="1"/>
        <v>1.6958285403198825E-2</v>
      </c>
    </row>
    <row r="5" spans="1:5" x14ac:dyDescent="0.25">
      <c r="A5" s="17">
        <v>38808</v>
      </c>
      <c r="B5" s="20">
        <f t="shared" si="0"/>
        <v>2006</v>
      </c>
      <c r="C5" s="18">
        <f>'Monthly Data'!B5</f>
        <v>11361311.199999999</v>
      </c>
      <c r="D5">
        <f>'Predicted Monthly Data'!K5</f>
        <v>11827081.447913662</v>
      </c>
      <c r="E5" s="16">
        <f t="shared" si="1"/>
        <v>4.0996170223174803E-2</v>
      </c>
    </row>
    <row r="6" spans="1:5" x14ac:dyDescent="0.25">
      <c r="A6" s="17">
        <v>38838</v>
      </c>
      <c r="B6" s="20">
        <f t="shared" si="0"/>
        <v>2006</v>
      </c>
      <c r="C6" s="18">
        <f>'Monthly Data'!B6</f>
        <v>10639715.810000001</v>
      </c>
      <c r="D6">
        <f>'Predicted Monthly Data'!K6</f>
        <v>10945388.312903095</v>
      </c>
      <c r="E6" s="16">
        <f t="shared" si="1"/>
        <v>2.8729386043920519E-2</v>
      </c>
    </row>
    <row r="7" spans="1:5" x14ac:dyDescent="0.25">
      <c r="A7" s="17">
        <v>38869</v>
      </c>
      <c r="B7" s="20">
        <f t="shared" si="0"/>
        <v>2006</v>
      </c>
      <c r="C7" s="18">
        <f>'Monthly Data'!B7</f>
        <v>9655562.2699999996</v>
      </c>
      <c r="D7">
        <f>'Predicted Monthly Data'!K7</f>
        <v>9840511.2679419294</v>
      </c>
      <c r="E7" s="16">
        <f t="shared" si="1"/>
        <v>1.9154658503582916E-2</v>
      </c>
    </row>
    <row r="8" spans="1:5" x14ac:dyDescent="0.25">
      <c r="A8" s="17">
        <v>38899</v>
      </c>
      <c r="B8" s="20">
        <f t="shared" si="0"/>
        <v>2006</v>
      </c>
      <c r="C8" s="18">
        <f>'Monthly Data'!B8</f>
        <v>10846451.32</v>
      </c>
      <c r="D8">
        <f>'Predicted Monthly Data'!K8</f>
        <v>10506383.068298398</v>
      </c>
      <c r="E8" s="16">
        <f t="shared" si="1"/>
        <v>3.1352950533649997E-2</v>
      </c>
    </row>
    <row r="9" spans="1:5" x14ac:dyDescent="0.25">
      <c r="A9" s="17">
        <v>38930</v>
      </c>
      <c r="B9" s="20">
        <f t="shared" si="0"/>
        <v>2006</v>
      </c>
      <c r="C9" s="18">
        <f>'Monthly Data'!B9</f>
        <v>10694433.439999999</v>
      </c>
      <c r="D9">
        <f>'Predicted Monthly Data'!K9</f>
        <v>9746062.6505700946</v>
      </c>
      <c r="E9" s="16">
        <f t="shared" si="1"/>
        <v>8.8678918313030791E-2</v>
      </c>
    </row>
    <row r="10" spans="1:5" x14ac:dyDescent="0.25">
      <c r="A10" s="17">
        <v>38961</v>
      </c>
      <c r="B10" s="20">
        <f t="shared" si="0"/>
        <v>2006</v>
      </c>
      <c r="C10" s="18">
        <f>'Monthly Data'!B10</f>
        <v>10191889.76</v>
      </c>
      <c r="D10">
        <f>'Predicted Monthly Data'!K10</f>
        <v>10260776.904253118</v>
      </c>
      <c r="E10" s="16">
        <f t="shared" si="1"/>
        <v>6.7590158327142233E-3</v>
      </c>
    </row>
    <row r="11" spans="1:5" x14ac:dyDescent="0.25">
      <c r="A11" s="17">
        <v>38991</v>
      </c>
      <c r="B11" s="20">
        <f t="shared" si="0"/>
        <v>2006</v>
      </c>
      <c r="C11" s="18">
        <f>'Monthly Data'!B11</f>
        <v>12347060.369999999</v>
      </c>
      <c r="D11">
        <f>'Predicted Monthly Data'!K11</f>
        <v>12356748.531831078</v>
      </c>
      <c r="E11" s="16">
        <f t="shared" si="1"/>
        <v>7.8465331348169726E-4</v>
      </c>
    </row>
    <row r="12" spans="1:5" x14ac:dyDescent="0.25">
      <c r="A12" s="17">
        <v>39022</v>
      </c>
      <c r="B12" s="20">
        <f t="shared" si="0"/>
        <v>2006</v>
      </c>
      <c r="C12" s="18">
        <f>'Monthly Data'!B12</f>
        <v>12995676.43</v>
      </c>
      <c r="D12">
        <f>'Predicted Monthly Data'!K12</f>
        <v>13285677.749754025</v>
      </c>
      <c r="E12" s="16">
        <f t="shared" si="1"/>
        <v>2.2315215473091381E-2</v>
      </c>
    </row>
    <row r="13" spans="1:5" x14ac:dyDescent="0.25">
      <c r="A13" s="17">
        <v>39052</v>
      </c>
      <c r="B13" s="20">
        <f t="shared" si="0"/>
        <v>2006</v>
      </c>
      <c r="C13" s="18">
        <f>'Monthly Data'!B13</f>
        <v>15518992.219999999</v>
      </c>
      <c r="D13">
        <f>'Predicted Monthly Data'!K13</f>
        <v>14749090.716195988</v>
      </c>
      <c r="E13" s="16">
        <f t="shared" si="1"/>
        <v>4.9610277065014946E-2</v>
      </c>
    </row>
    <row r="14" spans="1:5" x14ac:dyDescent="0.25">
      <c r="A14" s="17">
        <v>39083</v>
      </c>
      <c r="B14" s="20">
        <f t="shared" si="0"/>
        <v>2007</v>
      </c>
      <c r="C14" s="18">
        <f>'Monthly Data'!B14</f>
        <v>17027640.539999999</v>
      </c>
      <c r="D14">
        <f>'Predicted Monthly Data'!K14</f>
        <v>16936818.696708664</v>
      </c>
      <c r="E14" s="16">
        <f t="shared" si="1"/>
        <v>5.3337890871012483E-3</v>
      </c>
    </row>
    <row r="15" spans="1:5" x14ac:dyDescent="0.25">
      <c r="A15" s="17">
        <v>39114</v>
      </c>
      <c r="B15" s="20">
        <f t="shared" si="0"/>
        <v>2007</v>
      </c>
      <c r="C15" s="18">
        <f>'Monthly Data'!B15</f>
        <v>16669380.510000002</v>
      </c>
      <c r="D15">
        <f>'Predicted Monthly Data'!K15</f>
        <v>17110841.964624204</v>
      </c>
      <c r="E15" s="16">
        <f t="shared" si="1"/>
        <v>2.6483374973615144E-2</v>
      </c>
    </row>
    <row r="16" spans="1:5" x14ac:dyDescent="0.25">
      <c r="A16" s="17">
        <v>39142</v>
      </c>
      <c r="B16" s="20">
        <f t="shared" si="0"/>
        <v>2007</v>
      </c>
      <c r="C16" s="18">
        <f>'Monthly Data'!B16</f>
        <v>14934754.379999999</v>
      </c>
      <c r="D16">
        <f>'Predicted Monthly Data'!K16</f>
        <v>15240902.528501637</v>
      </c>
      <c r="E16" s="16">
        <f t="shared" si="1"/>
        <v>2.0499041411194494E-2</v>
      </c>
    </row>
    <row r="17" spans="1:5" x14ac:dyDescent="0.25">
      <c r="A17" s="17">
        <v>39173</v>
      </c>
      <c r="B17" s="20">
        <f t="shared" si="0"/>
        <v>2007</v>
      </c>
      <c r="C17" s="18">
        <f>'Monthly Data'!B17</f>
        <v>12687457.810000002</v>
      </c>
      <c r="D17">
        <f>'Predicted Monthly Data'!K17</f>
        <v>12799544.228190139</v>
      </c>
      <c r="E17" s="16">
        <f t="shared" si="1"/>
        <v>8.8344268701167437E-3</v>
      </c>
    </row>
    <row r="18" spans="1:5" x14ac:dyDescent="0.25">
      <c r="A18" s="17">
        <v>39203</v>
      </c>
      <c r="B18" s="20">
        <f t="shared" si="0"/>
        <v>2007</v>
      </c>
      <c r="C18" s="18">
        <f>'Monthly Data'!B18</f>
        <v>10985339.710000001</v>
      </c>
      <c r="D18">
        <f>'Predicted Monthly Data'!K18</f>
        <v>11169556.575677212</v>
      </c>
      <c r="E18" s="16">
        <f t="shared" si="1"/>
        <v>1.6769337183948716E-2</v>
      </c>
    </row>
    <row r="19" spans="1:5" x14ac:dyDescent="0.25">
      <c r="A19" s="17">
        <v>39234</v>
      </c>
      <c r="B19" s="20">
        <f t="shared" si="0"/>
        <v>2007</v>
      </c>
      <c r="C19" s="18">
        <f>'Monthly Data'!B19</f>
        <v>9760012.7799999993</v>
      </c>
      <c r="D19">
        <f>'Predicted Monthly Data'!K19</f>
        <v>10007451.231503546</v>
      </c>
      <c r="E19" s="16">
        <f t="shared" si="1"/>
        <v>2.5352267162046374E-2</v>
      </c>
    </row>
    <row r="20" spans="1:5" x14ac:dyDescent="0.25">
      <c r="A20" s="17">
        <v>39264</v>
      </c>
      <c r="B20" s="20">
        <f t="shared" si="0"/>
        <v>2007</v>
      </c>
      <c r="C20" s="18">
        <f>'Monthly Data'!B20</f>
        <v>10363539.75</v>
      </c>
      <c r="D20">
        <f>'Predicted Monthly Data'!K20</f>
        <v>10275407.958420753</v>
      </c>
      <c r="E20" s="16">
        <f t="shared" si="1"/>
        <v>8.5040240791517709E-3</v>
      </c>
    </row>
    <row r="21" spans="1:5" x14ac:dyDescent="0.25">
      <c r="A21" s="17">
        <v>39295</v>
      </c>
      <c r="B21" s="20">
        <f t="shared" si="0"/>
        <v>2007</v>
      </c>
      <c r="C21" s="18">
        <f>'Monthly Data'!B21</f>
        <v>10623681.955423476</v>
      </c>
      <c r="D21">
        <f>'Predicted Monthly Data'!K21</f>
        <v>9770858.1387753151</v>
      </c>
      <c r="E21" s="16">
        <f t="shared" si="1"/>
        <v>8.0275729283554795E-2</v>
      </c>
    </row>
    <row r="22" spans="1:5" x14ac:dyDescent="0.25">
      <c r="A22" s="17">
        <v>39326</v>
      </c>
      <c r="B22" s="20">
        <f t="shared" si="0"/>
        <v>2007</v>
      </c>
      <c r="C22" s="18">
        <f>'Monthly Data'!B22</f>
        <v>9937765.4600000009</v>
      </c>
      <c r="D22">
        <f>'Predicted Monthly Data'!K22</f>
        <v>9905840.446371533</v>
      </c>
      <c r="E22" s="16">
        <f t="shared" si="1"/>
        <v>3.2124941725549553E-3</v>
      </c>
    </row>
    <row r="23" spans="1:5" x14ac:dyDescent="0.25">
      <c r="A23" s="17">
        <v>39356</v>
      </c>
      <c r="B23" s="20">
        <f t="shared" si="0"/>
        <v>2007</v>
      </c>
      <c r="C23" s="18">
        <f>'Monthly Data'!B23</f>
        <v>11018147.890000001</v>
      </c>
      <c r="D23">
        <f>'Predicted Monthly Data'!K23</f>
        <v>11254742.427782884</v>
      </c>
      <c r="E23" s="16">
        <f t="shared" si="1"/>
        <v>2.1473167736077943E-2</v>
      </c>
    </row>
    <row r="24" spans="1:5" x14ac:dyDescent="0.25">
      <c r="A24" s="17">
        <v>39387</v>
      </c>
      <c r="B24" s="20">
        <f t="shared" si="0"/>
        <v>2007</v>
      </c>
      <c r="C24" s="18">
        <f>'Monthly Data'!B24</f>
        <v>13301022.960000001</v>
      </c>
      <c r="D24">
        <f>'Predicted Monthly Data'!K24</f>
        <v>14082531.217181658</v>
      </c>
      <c r="E24" s="16">
        <f t="shared" si="1"/>
        <v>5.875550019963708E-2</v>
      </c>
    </row>
    <row r="25" spans="1:5" x14ac:dyDescent="0.25">
      <c r="A25" s="17">
        <v>39417</v>
      </c>
      <c r="B25" s="20">
        <f t="shared" si="0"/>
        <v>2007</v>
      </c>
      <c r="C25" s="18">
        <f>'Monthly Data'!B25</f>
        <v>16610853.84</v>
      </c>
      <c r="D25">
        <f>'Predicted Monthly Data'!K25</f>
        <v>16251944.999183021</v>
      </c>
      <c r="E25" s="16">
        <f t="shared" si="1"/>
        <v>2.160688693513773E-2</v>
      </c>
    </row>
    <row r="26" spans="1:5" x14ac:dyDescent="0.25">
      <c r="A26" s="17">
        <v>39448</v>
      </c>
      <c r="B26" s="20">
        <f t="shared" si="0"/>
        <v>2008</v>
      </c>
      <c r="C26" s="18">
        <f>'Monthly Data'!B26</f>
        <v>16747623.760000002</v>
      </c>
      <c r="D26">
        <f>'Predicted Monthly Data'!K26</f>
        <v>16643440.341717495</v>
      </c>
      <c r="E26" s="16">
        <f t="shared" si="1"/>
        <v>6.2207880816703386E-3</v>
      </c>
    </row>
    <row r="27" spans="1:5" x14ac:dyDescent="0.25">
      <c r="A27" s="17">
        <v>39479</v>
      </c>
      <c r="B27" s="20">
        <f t="shared" si="0"/>
        <v>2008</v>
      </c>
      <c r="C27" s="18">
        <f>'Monthly Data'!B27</f>
        <v>16220989.899999999</v>
      </c>
      <c r="D27">
        <f>'Predicted Monthly Data'!K27</f>
        <v>16592224.743543038</v>
      </c>
      <c r="E27" s="16">
        <f t="shared" si="1"/>
        <v>2.2886078212960338E-2</v>
      </c>
    </row>
    <row r="28" spans="1:5" x14ac:dyDescent="0.25">
      <c r="A28" s="17">
        <v>39508</v>
      </c>
      <c r="B28" s="20">
        <f t="shared" si="0"/>
        <v>2008</v>
      </c>
      <c r="C28" s="18">
        <f>'Monthly Data'!B28</f>
        <v>16185519.129999999</v>
      </c>
      <c r="D28">
        <f>'Predicted Monthly Data'!K28</f>
        <v>15947210.062708318</v>
      </c>
      <c r="E28" s="16">
        <f t="shared" si="1"/>
        <v>1.4723597394536009E-2</v>
      </c>
    </row>
    <row r="29" spans="1:5" x14ac:dyDescent="0.25">
      <c r="A29" s="17">
        <v>39539</v>
      </c>
      <c r="B29" s="20">
        <f t="shared" si="0"/>
        <v>2008</v>
      </c>
      <c r="C29" s="18">
        <f>'Monthly Data'!B29</f>
        <v>12384878.220000001</v>
      </c>
      <c r="D29">
        <f>'Predicted Monthly Data'!K29</f>
        <v>12741508.220334917</v>
      </c>
      <c r="E29" s="16">
        <f t="shared" si="1"/>
        <v>2.8795600085837311E-2</v>
      </c>
    </row>
    <row r="30" spans="1:5" x14ac:dyDescent="0.25">
      <c r="A30" s="17">
        <v>39569</v>
      </c>
      <c r="B30" s="20">
        <f t="shared" si="0"/>
        <v>2008</v>
      </c>
      <c r="C30" s="18">
        <f>'Monthly Data'!B30</f>
        <v>11570573.57</v>
      </c>
      <c r="D30">
        <f>'Predicted Monthly Data'!K30</f>
        <v>11824881.965685792</v>
      </c>
      <c r="E30" s="16">
        <f t="shared" si="1"/>
        <v>2.1978892761648286E-2</v>
      </c>
    </row>
    <row r="31" spans="1:5" x14ac:dyDescent="0.25">
      <c r="A31" s="17">
        <v>39600</v>
      </c>
      <c r="B31" s="20">
        <f t="shared" si="0"/>
        <v>2008</v>
      </c>
      <c r="C31" s="18">
        <f>'Monthly Data'!B31</f>
        <v>10031531.33</v>
      </c>
      <c r="D31">
        <f>'Predicted Monthly Data'!K31</f>
        <v>9828732.2766219564</v>
      </c>
      <c r="E31" s="16">
        <f t="shared" si="1"/>
        <v>2.021616109312831E-2</v>
      </c>
    </row>
    <row r="32" spans="1:5" x14ac:dyDescent="0.25">
      <c r="A32" s="17">
        <v>39630</v>
      </c>
      <c r="B32" s="20">
        <f t="shared" si="0"/>
        <v>2008</v>
      </c>
      <c r="C32" s="18">
        <f>'Monthly Data'!B32</f>
        <v>10603201.34</v>
      </c>
      <c r="D32">
        <f>'Predicted Monthly Data'!K32</f>
        <v>9452180.9507381879</v>
      </c>
      <c r="E32" s="16">
        <f t="shared" si="1"/>
        <v>0.10855404442049499</v>
      </c>
    </row>
    <row r="33" spans="1:5" x14ac:dyDescent="0.25">
      <c r="A33" s="17">
        <v>39661</v>
      </c>
      <c r="B33" s="20">
        <f t="shared" si="0"/>
        <v>2008</v>
      </c>
      <c r="C33" s="18">
        <f>'Monthly Data'!B33</f>
        <v>10275407.85</v>
      </c>
      <c r="D33">
        <f>'Predicted Monthly Data'!K33</f>
        <v>9084270.6766951662</v>
      </c>
      <c r="E33" s="16">
        <f t="shared" si="1"/>
        <v>0.11592115765067501</v>
      </c>
    </row>
    <row r="34" spans="1:5" x14ac:dyDescent="0.25">
      <c r="A34" s="17">
        <v>39692</v>
      </c>
      <c r="B34" s="20">
        <f t="shared" ref="B34:B65" si="2">YEAR(A34)</f>
        <v>2008</v>
      </c>
      <c r="C34" s="18">
        <f>'Monthly Data'!B34</f>
        <v>9957791.7799999993</v>
      </c>
      <c r="D34">
        <f>'Predicted Monthly Data'!K34</f>
        <v>10449050.35397334</v>
      </c>
      <c r="E34" s="16">
        <f t="shared" ref="E34:E65" si="3">ABS(D34-C34)/C34</f>
        <v>4.9334087800472257E-2</v>
      </c>
    </row>
    <row r="35" spans="1:5" x14ac:dyDescent="0.25">
      <c r="A35" s="17">
        <v>39722</v>
      </c>
      <c r="B35" s="20">
        <f t="shared" si="2"/>
        <v>2008</v>
      </c>
      <c r="C35" s="18">
        <f>'Monthly Data'!B35</f>
        <v>11903930.970000001</v>
      </c>
      <c r="D35">
        <f>'Predicted Monthly Data'!K35</f>
        <v>12013740.623598753</v>
      </c>
      <c r="E35" s="16">
        <f t="shared" si="3"/>
        <v>9.2246547695455823E-3</v>
      </c>
    </row>
    <row r="36" spans="1:5" x14ac:dyDescent="0.25">
      <c r="A36" s="17">
        <v>39753</v>
      </c>
      <c r="B36" s="20">
        <f t="shared" si="2"/>
        <v>2008</v>
      </c>
      <c r="C36" s="18">
        <f>'Monthly Data'!B36</f>
        <v>13578501.350000001</v>
      </c>
      <c r="D36">
        <f>'Predicted Monthly Data'!K36</f>
        <v>13474843.126314269</v>
      </c>
      <c r="E36" s="16">
        <f t="shared" si="3"/>
        <v>7.6339959038065784E-3</v>
      </c>
    </row>
    <row r="37" spans="1:5" x14ac:dyDescent="0.25">
      <c r="A37" s="17">
        <v>39783</v>
      </c>
      <c r="B37" s="20">
        <f t="shared" si="2"/>
        <v>2008</v>
      </c>
      <c r="C37" s="18">
        <f>'Monthly Data'!B37</f>
        <v>18362207.48</v>
      </c>
      <c r="D37">
        <f>'Predicted Monthly Data'!K37</f>
        <v>17217365.40678158</v>
      </c>
      <c r="E37" s="16">
        <f t="shared" si="3"/>
        <v>6.2347736483501497E-2</v>
      </c>
    </row>
    <row r="38" spans="1:5" x14ac:dyDescent="0.25">
      <c r="A38" s="17">
        <v>39814</v>
      </c>
      <c r="B38" s="20">
        <f t="shared" si="2"/>
        <v>2009</v>
      </c>
      <c r="C38" s="18">
        <f>'Monthly Data'!B38</f>
        <v>18881349</v>
      </c>
      <c r="D38">
        <f>'Predicted Monthly Data'!K38</f>
        <v>18322739.337845091</v>
      </c>
      <c r="E38" s="16">
        <f t="shared" si="3"/>
        <v>2.9585262268861681E-2</v>
      </c>
    </row>
    <row r="39" spans="1:5" x14ac:dyDescent="0.25">
      <c r="A39" s="17">
        <v>39845</v>
      </c>
      <c r="B39" s="20">
        <f t="shared" si="2"/>
        <v>2009</v>
      </c>
      <c r="C39" s="18">
        <f>'Monthly Data'!B39</f>
        <v>15951302.32</v>
      </c>
      <c r="D39">
        <f>'Predicted Monthly Data'!K39</f>
        <v>15887588.009919792</v>
      </c>
      <c r="E39" s="16">
        <f t="shared" si="3"/>
        <v>3.9943014558956637E-3</v>
      </c>
    </row>
    <row r="40" spans="1:5" x14ac:dyDescent="0.25">
      <c r="A40" s="17">
        <v>39873</v>
      </c>
      <c r="B40" s="20">
        <f t="shared" si="2"/>
        <v>2009</v>
      </c>
      <c r="C40" s="18">
        <f>'Monthly Data'!B40</f>
        <v>15986795.57</v>
      </c>
      <c r="D40">
        <f>'Predicted Monthly Data'!K40</f>
        <v>15420715.068657516</v>
      </c>
      <c r="E40" s="16">
        <f t="shared" si="3"/>
        <v>3.5409253772204503E-2</v>
      </c>
    </row>
    <row r="41" spans="1:5" x14ac:dyDescent="0.25">
      <c r="A41" s="17">
        <v>39904</v>
      </c>
      <c r="B41" s="20">
        <f t="shared" si="2"/>
        <v>2009</v>
      </c>
      <c r="C41" s="18">
        <f>'Monthly Data'!B41</f>
        <v>12817613.51</v>
      </c>
      <c r="D41">
        <f>'Predicted Monthly Data'!K41</f>
        <v>12681775.186047813</v>
      </c>
      <c r="E41" s="16">
        <f t="shared" si="3"/>
        <v>1.0597785917496185E-2</v>
      </c>
    </row>
    <row r="42" spans="1:5" x14ac:dyDescent="0.25">
      <c r="A42" s="17">
        <v>39934</v>
      </c>
      <c r="B42" s="20">
        <f t="shared" si="2"/>
        <v>2009</v>
      </c>
      <c r="C42" s="18">
        <f>'Monthly Data'!B42</f>
        <v>11557935.369999999</v>
      </c>
      <c r="D42">
        <f>'Predicted Monthly Data'!K42</f>
        <v>11531921.31084048</v>
      </c>
      <c r="E42" s="16">
        <f t="shared" si="3"/>
        <v>2.2507531256007666E-3</v>
      </c>
    </row>
    <row r="43" spans="1:5" x14ac:dyDescent="0.25">
      <c r="A43" s="17">
        <v>39965</v>
      </c>
      <c r="B43" s="20">
        <f t="shared" si="2"/>
        <v>2009</v>
      </c>
      <c r="C43" s="18">
        <f>'Monthly Data'!B43</f>
        <v>10386431.49</v>
      </c>
      <c r="D43">
        <f>'Predicted Monthly Data'!K43</f>
        <v>10594547.061472751</v>
      </c>
      <c r="E43" s="16">
        <f t="shared" si="3"/>
        <v>2.0037254534738279E-2</v>
      </c>
    </row>
    <row r="44" spans="1:5" x14ac:dyDescent="0.25">
      <c r="A44" s="17">
        <v>39995</v>
      </c>
      <c r="B44" s="20">
        <f t="shared" si="2"/>
        <v>2009</v>
      </c>
      <c r="C44" s="18">
        <f>'Monthly Data'!B44</f>
        <v>10790837.5</v>
      </c>
      <c r="D44">
        <f>'Predicted Monthly Data'!K44</f>
        <v>9836116.124132026</v>
      </c>
      <c r="E44" s="16">
        <f t="shared" si="3"/>
        <v>8.8475187942360728E-2</v>
      </c>
    </row>
    <row r="45" spans="1:5" x14ac:dyDescent="0.25">
      <c r="A45" s="17">
        <v>40026</v>
      </c>
      <c r="B45" s="20">
        <f t="shared" si="2"/>
        <v>2009</v>
      </c>
      <c r="C45" s="18">
        <f>'Monthly Data'!B45</f>
        <v>11118670.27</v>
      </c>
      <c r="D45">
        <f>'Predicted Monthly Data'!K45</f>
        <v>10039892.250297021</v>
      </c>
      <c r="E45" s="16">
        <f t="shared" si="3"/>
        <v>9.7024013978874696E-2</v>
      </c>
    </row>
    <row r="46" spans="1:5" x14ac:dyDescent="0.25">
      <c r="A46" s="17">
        <v>40057</v>
      </c>
      <c r="B46" s="20">
        <f t="shared" si="2"/>
        <v>2009</v>
      </c>
      <c r="C46" s="18">
        <f>'Monthly Data'!B46</f>
        <v>10133781.59</v>
      </c>
      <c r="D46">
        <f>'Predicted Monthly Data'!K46</f>
        <v>9780697.298650533</v>
      </c>
      <c r="E46" s="16">
        <f t="shared" si="3"/>
        <v>3.4842303261981677E-2</v>
      </c>
    </row>
    <row r="47" spans="1:5" x14ac:dyDescent="0.25">
      <c r="A47" s="17">
        <v>40087</v>
      </c>
      <c r="B47" s="20">
        <f t="shared" si="2"/>
        <v>2009</v>
      </c>
      <c r="C47" s="18">
        <f>'Monthly Data'!B47</f>
        <v>13000847.74</v>
      </c>
      <c r="D47">
        <f>'Predicted Monthly Data'!K47</f>
        <v>12516687.054390781</v>
      </c>
      <c r="E47" s="16">
        <f t="shared" si="3"/>
        <v>3.7240701167477838E-2</v>
      </c>
    </row>
    <row r="48" spans="1:5" x14ac:dyDescent="0.25">
      <c r="A48" s="17">
        <v>40118</v>
      </c>
      <c r="B48" s="20">
        <f t="shared" si="2"/>
        <v>2009</v>
      </c>
      <c r="C48" s="18">
        <f>'Monthly Data'!B48</f>
        <v>12805137.380000001</v>
      </c>
      <c r="D48">
        <f>'Predicted Monthly Data'!K48</f>
        <v>12672840.049789306</v>
      </c>
      <c r="E48" s="16">
        <f t="shared" si="3"/>
        <v>1.0331582261454428E-2</v>
      </c>
    </row>
    <row r="49" spans="1:5" x14ac:dyDescent="0.25">
      <c r="A49" s="17">
        <v>40148</v>
      </c>
      <c r="B49" s="20">
        <f t="shared" si="2"/>
        <v>2009</v>
      </c>
      <c r="C49" s="18">
        <f>'Monthly Data'!B49</f>
        <v>17322151.559999999</v>
      </c>
      <c r="D49">
        <f>'Predicted Monthly Data'!K49</f>
        <v>16444171.484111298</v>
      </c>
      <c r="E49" s="16">
        <f t="shared" si="3"/>
        <v>5.0685393950490341E-2</v>
      </c>
    </row>
    <row r="50" spans="1:5" x14ac:dyDescent="0.25">
      <c r="A50" s="17">
        <v>40179</v>
      </c>
      <c r="B50" s="20">
        <f t="shared" si="2"/>
        <v>2010</v>
      </c>
      <c r="C50" s="18">
        <f>'Monthly Data'!B50</f>
        <v>17283128.699999999</v>
      </c>
      <c r="D50">
        <f>'Predicted Monthly Data'!K50</f>
        <v>16711468.849120095</v>
      </c>
      <c r="E50" s="16">
        <f t="shared" si="3"/>
        <v>3.3076178555558861E-2</v>
      </c>
    </row>
    <row r="51" spans="1:5" x14ac:dyDescent="0.25">
      <c r="A51" s="17">
        <v>40210</v>
      </c>
      <c r="B51" s="20">
        <f t="shared" si="2"/>
        <v>2010</v>
      </c>
      <c r="C51" s="18">
        <f>'Monthly Data'!B51</f>
        <v>14874695.649999999</v>
      </c>
      <c r="D51">
        <f>'Predicted Monthly Data'!K51</f>
        <v>15396415.860757153</v>
      </c>
      <c r="E51" s="16">
        <f t="shared" si="3"/>
        <v>3.50743452527148E-2</v>
      </c>
    </row>
    <row r="52" spans="1:5" x14ac:dyDescent="0.25">
      <c r="A52" s="17">
        <v>40238</v>
      </c>
      <c r="B52" s="20">
        <f t="shared" si="2"/>
        <v>2010</v>
      </c>
      <c r="C52" s="18">
        <f>'Monthly Data'!B52</f>
        <v>13997010.93</v>
      </c>
      <c r="D52">
        <f>'Predicted Monthly Data'!K52</f>
        <v>13655295.329613158</v>
      </c>
      <c r="E52" s="16">
        <f t="shared" si="3"/>
        <v>2.4413469568308841E-2</v>
      </c>
    </row>
    <row r="53" spans="1:5" x14ac:dyDescent="0.25">
      <c r="A53" s="17">
        <v>40269</v>
      </c>
      <c r="B53" s="20">
        <f t="shared" si="2"/>
        <v>2010</v>
      </c>
      <c r="C53" s="18">
        <f>'Monthly Data'!B53</f>
        <v>10847949.960000001</v>
      </c>
      <c r="D53">
        <f>'Predicted Monthly Data'!K53</f>
        <v>11810157.557186946</v>
      </c>
      <c r="E53" s="16">
        <f t="shared" si="3"/>
        <v>8.86994870675957E-2</v>
      </c>
    </row>
    <row r="54" spans="1:5" x14ac:dyDescent="0.25">
      <c r="A54" s="17">
        <v>40299</v>
      </c>
      <c r="B54" s="20">
        <f t="shared" si="2"/>
        <v>2010</v>
      </c>
      <c r="C54" s="18">
        <f>'Monthly Data'!B54</f>
        <v>10080566.119999999</v>
      </c>
      <c r="D54">
        <f>'Predicted Monthly Data'!K54</f>
        <v>10966151.579943774</v>
      </c>
      <c r="E54" s="16">
        <f t="shared" si="3"/>
        <v>8.7850766455145793E-2</v>
      </c>
    </row>
    <row r="55" spans="1:5" x14ac:dyDescent="0.25">
      <c r="A55" s="17">
        <v>40330</v>
      </c>
      <c r="B55" s="20">
        <f t="shared" si="2"/>
        <v>2010</v>
      </c>
      <c r="C55" s="18">
        <f>'Monthly Data'!B55</f>
        <v>9283863.4100000001</v>
      </c>
      <c r="D55">
        <f>'Predicted Monthly Data'!K55</f>
        <v>9713725.5487393178</v>
      </c>
      <c r="E55" s="16">
        <f t="shared" si="3"/>
        <v>4.6302074875024218E-2</v>
      </c>
    </row>
    <row r="56" spans="1:5" x14ac:dyDescent="0.25">
      <c r="A56" s="17">
        <v>40360</v>
      </c>
      <c r="B56" s="20">
        <f t="shared" si="2"/>
        <v>2010</v>
      </c>
      <c r="C56" s="18">
        <f>'Monthly Data'!B56</f>
        <v>10277037.66</v>
      </c>
      <c r="D56">
        <f>'Predicted Monthly Data'!K56</f>
        <v>9387216.4440017492</v>
      </c>
      <c r="E56" s="16">
        <f t="shared" si="3"/>
        <v>8.6583434393900136E-2</v>
      </c>
    </row>
    <row r="57" spans="1:5" x14ac:dyDescent="0.25">
      <c r="A57" s="17">
        <v>40391</v>
      </c>
      <c r="B57" s="20">
        <f t="shared" si="2"/>
        <v>2010</v>
      </c>
      <c r="C57" s="18">
        <f>'Monthly Data'!B57</f>
        <v>10298675.939999999</v>
      </c>
      <c r="D57">
        <f>'Predicted Monthly Data'!K57</f>
        <v>11849722.665059749</v>
      </c>
      <c r="E57" s="16">
        <f t="shared" si="3"/>
        <v>0.15060642106773092</v>
      </c>
    </row>
    <row r="58" spans="1:5" x14ac:dyDescent="0.25">
      <c r="A58" s="17">
        <v>40422</v>
      </c>
      <c r="B58" s="20">
        <f t="shared" si="2"/>
        <v>2010</v>
      </c>
      <c r="C58" s="18">
        <f>'Monthly Data'!B58</f>
        <v>9789881.8000000007</v>
      </c>
      <c r="D58">
        <f>'Predicted Monthly Data'!K58</f>
        <v>10405806.166346986</v>
      </c>
      <c r="E58" s="16">
        <f t="shared" si="3"/>
        <v>6.2914382311233322E-2</v>
      </c>
    </row>
    <row r="59" spans="1:5" x14ac:dyDescent="0.25">
      <c r="A59" s="17">
        <v>40452</v>
      </c>
      <c r="B59" s="20">
        <f t="shared" si="2"/>
        <v>2010</v>
      </c>
      <c r="C59" s="18">
        <f>'Monthly Data'!B59</f>
        <v>10854951.359999999</v>
      </c>
      <c r="D59">
        <f>'Predicted Monthly Data'!K59</f>
        <v>11673878.579384595</v>
      </c>
      <c r="E59" s="16">
        <f t="shared" si="3"/>
        <v>7.5442735045530021E-2</v>
      </c>
    </row>
    <row r="60" spans="1:5" x14ac:dyDescent="0.25">
      <c r="A60" s="17">
        <v>40483</v>
      </c>
      <c r="B60" s="20">
        <f t="shared" si="2"/>
        <v>2010</v>
      </c>
      <c r="C60" s="18">
        <f>'Monthly Data'!B60</f>
        <v>12307817.600000001</v>
      </c>
      <c r="D60">
        <f>'Predicted Monthly Data'!K60</f>
        <v>13488203.452876963</v>
      </c>
      <c r="E60" s="16">
        <f t="shared" si="3"/>
        <v>9.5905374229543428E-2</v>
      </c>
    </row>
    <row r="61" spans="1:5" x14ac:dyDescent="0.25">
      <c r="A61" s="17">
        <v>40513</v>
      </c>
      <c r="B61" s="20">
        <f t="shared" si="2"/>
        <v>2010</v>
      </c>
      <c r="C61" s="18">
        <f>'Monthly Data'!B61</f>
        <v>16509634.079999998</v>
      </c>
      <c r="D61">
        <f>'Predicted Monthly Data'!K61</f>
        <v>16146061.220168658</v>
      </c>
      <c r="E61" s="16">
        <f t="shared" si="3"/>
        <v>2.2021860573625787E-2</v>
      </c>
    </row>
    <row r="62" spans="1:5" x14ac:dyDescent="0.25">
      <c r="A62" s="17">
        <v>40544</v>
      </c>
      <c r="B62" s="20">
        <f t="shared" si="2"/>
        <v>2011</v>
      </c>
      <c r="C62" s="18">
        <f>'Monthly Data'!B62</f>
        <v>18210954.41</v>
      </c>
      <c r="D62">
        <f>'Predicted Monthly Data'!K62</f>
        <v>17919052.013535365</v>
      </c>
      <c r="E62" s="16">
        <f t="shared" si="3"/>
        <v>1.6028945539743114E-2</v>
      </c>
    </row>
    <row r="63" spans="1:5" x14ac:dyDescent="0.25">
      <c r="A63" s="17">
        <v>40575</v>
      </c>
      <c r="B63" s="20">
        <f t="shared" si="2"/>
        <v>2011</v>
      </c>
      <c r="C63" s="18">
        <f>'Monthly Data'!B63</f>
        <v>15275983.57</v>
      </c>
      <c r="D63">
        <f>'Predicted Monthly Data'!K63</f>
        <v>15890427.155290674</v>
      </c>
      <c r="E63" s="16">
        <f t="shared" si="3"/>
        <v>4.0222849316057109E-2</v>
      </c>
    </row>
    <row r="64" spans="1:5" x14ac:dyDescent="0.25">
      <c r="A64" s="17">
        <v>40603</v>
      </c>
      <c r="B64" s="20">
        <f t="shared" si="2"/>
        <v>2011</v>
      </c>
      <c r="C64" s="18">
        <f>'Monthly Data'!B64</f>
        <v>14923502.969999999</v>
      </c>
      <c r="D64">
        <f>'Predicted Monthly Data'!K64</f>
        <v>15976769.861204589</v>
      </c>
      <c r="E64" s="16">
        <f t="shared" si="3"/>
        <v>7.0577725170954952E-2</v>
      </c>
    </row>
    <row r="65" spans="1:5" x14ac:dyDescent="0.25">
      <c r="A65" s="17">
        <v>40634</v>
      </c>
      <c r="B65" s="20">
        <f t="shared" si="2"/>
        <v>2011</v>
      </c>
      <c r="C65" s="18">
        <f>'Monthly Data'!B65</f>
        <v>12118407.5</v>
      </c>
      <c r="D65">
        <f>'Predicted Monthly Data'!K65</f>
        <v>12950965.314637195</v>
      </c>
      <c r="E65" s="16">
        <f t="shared" si="3"/>
        <v>6.870191604277999E-2</v>
      </c>
    </row>
    <row r="66" spans="1:5" x14ac:dyDescent="0.25">
      <c r="A66" s="17">
        <v>40664</v>
      </c>
      <c r="B66" s="20">
        <f t="shared" ref="B66:B97" si="4">YEAR(A66)</f>
        <v>2011</v>
      </c>
      <c r="C66" s="18">
        <f>'Monthly Data'!B66</f>
        <v>10132000.65</v>
      </c>
      <c r="D66">
        <f>'Predicted Monthly Data'!K66</f>
        <v>10823207.926281076</v>
      </c>
      <c r="E66" s="16">
        <f t="shared" ref="E66:E97" si="5">ABS(D66-C66)/C66</f>
        <v>6.8220216338130177E-2</v>
      </c>
    </row>
    <row r="67" spans="1:5" x14ac:dyDescent="0.25">
      <c r="A67" s="17">
        <v>40695</v>
      </c>
      <c r="B67" s="20">
        <f t="shared" si="4"/>
        <v>2011</v>
      </c>
      <c r="C67" s="18">
        <f>'Monthly Data'!B67</f>
        <v>9032152.8599999994</v>
      </c>
      <c r="D67">
        <f>'Predicted Monthly Data'!K67</f>
        <v>9649525.2492217049</v>
      </c>
      <c r="E67" s="16">
        <f t="shared" si="5"/>
        <v>6.8352739240698096E-2</v>
      </c>
    </row>
    <row r="68" spans="1:5" x14ac:dyDescent="0.25">
      <c r="A68" s="17">
        <v>40725</v>
      </c>
      <c r="B68" s="20">
        <f t="shared" si="4"/>
        <v>2011</v>
      </c>
      <c r="C68" s="18">
        <f>'Monthly Data'!B68</f>
        <v>10244088.84</v>
      </c>
      <c r="D68">
        <f>'Predicted Monthly Data'!K68</f>
        <v>9680332.5101172514</v>
      </c>
      <c r="E68" s="16">
        <f t="shared" si="5"/>
        <v>5.5032354627915198E-2</v>
      </c>
    </row>
    <row r="69" spans="1:5" x14ac:dyDescent="0.25">
      <c r="A69" s="17">
        <v>40756</v>
      </c>
      <c r="B69" s="20">
        <f t="shared" si="4"/>
        <v>2011</v>
      </c>
      <c r="C69" s="18">
        <f>'Monthly Data'!B69</f>
        <v>10453709.460000001</v>
      </c>
      <c r="D69">
        <f>'Predicted Monthly Data'!K69</f>
        <v>9749635.634115288</v>
      </c>
      <c r="E69" s="16">
        <f t="shared" si="5"/>
        <v>6.7351577789566075E-2</v>
      </c>
    </row>
    <row r="70" spans="1:5" x14ac:dyDescent="0.25">
      <c r="A70" s="17">
        <v>40787</v>
      </c>
      <c r="B70" s="20">
        <f t="shared" si="4"/>
        <v>2011</v>
      </c>
      <c r="C70" s="18">
        <f>'Monthly Data'!B70</f>
        <v>9912883.3800000008</v>
      </c>
      <c r="D70">
        <f>'Predicted Monthly Data'!K70</f>
        <v>10120886.366074864</v>
      </c>
      <c r="E70" s="16">
        <f t="shared" si="5"/>
        <v>2.0983096249727391E-2</v>
      </c>
    </row>
    <row r="71" spans="1:5" x14ac:dyDescent="0.25">
      <c r="A71" s="17">
        <v>40817</v>
      </c>
      <c r="B71" s="20">
        <f t="shared" si="4"/>
        <v>2011</v>
      </c>
      <c r="C71" s="18">
        <f>'Monthly Data'!B71</f>
        <v>10981342.77</v>
      </c>
      <c r="D71">
        <f>'Predicted Monthly Data'!K71</f>
        <v>11270690.496022509</v>
      </c>
      <c r="E71" s="16">
        <f t="shared" si="5"/>
        <v>2.6349029629871928E-2</v>
      </c>
    </row>
    <row r="72" spans="1:5" x14ac:dyDescent="0.25">
      <c r="A72" s="17">
        <v>40848</v>
      </c>
      <c r="B72" s="20">
        <f t="shared" si="4"/>
        <v>2011</v>
      </c>
      <c r="C72" s="18">
        <f>'Monthly Data'!B72</f>
        <v>12396977.68</v>
      </c>
      <c r="D72">
        <f>'Predicted Monthly Data'!K72</f>
        <v>13298927.094818143</v>
      </c>
      <c r="E72" s="16">
        <f t="shared" si="5"/>
        <v>7.2755589152447633E-2</v>
      </c>
    </row>
    <row r="73" spans="1:5" x14ac:dyDescent="0.25">
      <c r="A73" s="17">
        <v>40878</v>
      </c>
      <c r="B73" s="20">
        <f t="shared" si="4"/>
        <v>2011</v>
      </c>
      <c r="C73" s="18">
        <f>'Monthly Data'!B73</f>
        <v>15364156.579999998</v>
      </c>
      <c r="D73">
        <f>'Predicted Monthly Data'!K73</f>
        <v>15585274.518670116</v>
      </c>
      <c r="E73" s="16">
        <f t="shared" si="5"/>
        <v>1.4391804556193702E-2</v>
      </c>
    </row>
    <row r="74" spans="1:5" x14ac:dyDescent="0.25">
      <c r="A74" s="17">
        <v>40909</v>
      </c>
      <c r="B74" s="20">
        <f t="shared" si="4"/>
        <v>2012</v>
      </c>
      <c r="C74" s="18">
        <f>'Monthly Data'!B74</f>
        <v>16257178</v>
      </c>
      <c r="D74">
        <f>'Predicted Monthly Data'!K74</f>
        <v>16497168.864367768</v>
      </c>
      <c r="E74" s="16">
        <f t="shared" si="5"/>
        <v>1.4762147795131983E-2</v>
      </c>
    </row>
    <row r="75" spans="1:5" x14ac:dyDescent="0.25">
      <c r="A75" s="17">
        <v>40940</v>
      </c>
      <c r="B75" s="20">
        <f t="shared" si="4"/>
        <v>2012</v>
      </c>
      <c r="C75" s="18">
        <f>'Monthly Data'!B75</f>
        <v>14151568</v>
      </c>
      <c r="D75">
        <f>'Predicted Monthly Data'!K75</f>
        <v>15079906.642653065</v>
      </c>
      <c r="E75" s="16">
        <f t="shared" si="5"/>
        <v>6.5599701930772955E-2</v>
      </c>
    </row>
    <row r="76" spans="1:5" x14ac:dyDescent="0.25">
      <c r="A76" s="17">
        <v>40969</v>
      </c>
      <c r="B76" s="20">
        <f t="shared" si="4"/>
        <v>2012</v>
      </c>
      <c r="C76" s="18">
        <f>'Monthly Data'!B76</f>
        <v>13453783</v>
      </c>
      <c r="D76">
        <f>'Predicted Monthly Data'!K76</f>
        <v>13505238.325102257</v>
      </c>
      <c r="E76" s="16">
        <f t="shared" si="5"/>
        <v>3.8245990070046925E-3</v>
      </c>
    </row>
    <row r="77" spans="1:5" x14ac:dyDescent="0.25">
      <c r="A77" s="17">
        <v>41000</v>
      </c>
      <c r="B77" s="20">
        <f t="shared" si="4"/>
        <v>2012</v>
      </c>
      <c r="C77" s="18">
        <f>'Monthly Data'!B77</f>
        <v>11682191</v>
      </c>
      <c r="D77">
        <f>'Predicted Monthly Data'!K77</f>
        <v>12527932.654375732</v>
      </c>
      <c r="E77" s="16">
        <f t="shared" si="5"/>
        <v>7.2395807804865708E-2</v>
      </c>
    </row>
    <row r="78" spans="1:5" x14ac:dyDescent="0.25">
      <c r="A78" s="17">
        <v>41030</v>
      </c>
      <c r="B78" s="20">
        <f t="shared" si="4"/>
        <v>2012</v>
      </c>
      <c r="C78" s="18">
        <f>'Monthly Data'!B78</f>
        <v>10307176</v>
      </c>
      <c r="D78">
        <f>'Predicted Monthly Data'!K78</f>
        <v>11000669.071034506</v>
      </c>
      <c r="E78" s="16">
        <f t="shared" si="5"/>
        <v>6.72825486859355E-2</v>
      </c>
    </row>
    <row r="79" spans="1:5" x14ac:dyDescent="0.25">
      <c r="A79" s="17">
        <v>41061</v>
      </c>
      <c r="B79" s="20">
        <f t="shared" si="4"/>
        <v>2012</v>
      </c>
      <c r="C79" s="18">
        <f>'Monthly Data'!B79</f>
        <v>9779424</v>
      </c>
      <c r="D79">
        <f>'Predicted Monthly Data'!K79</f>
        <v>10161918.974696655</v>
      </c>
      <c r="E79" s="16">
        <f t="shared" si="5"/>
        <v>3.911221915489653E-2</v>
      </c>
    </row>
    <row r="80" spans="1:5" x14ac:dyDescent="0.25">
      <c r="A80" s="17">
        <v>41091</v>
      </c>
      <c r="B80" s="20">
        <f t="shared" si="4"/>
        <v>2012</v>
      </c>
      <c r="C80" s="18">
        <f>'Monthly Data'!B80</f>
        <v>10817789</v>
      </c>
      <c r="D80">
        <f>'Predicted Monthly Data'!K80</f>
        <v>10034832.389787666</v>
      </c>
      <c r="E80" s="16">
        <f t="shared" si="5"/>
        <v>7.2376768507162931E-2</v>
      </c>
    </row>
    <row r="81" spans="1:5" x14ac:dyDescent="0.25">
      <c r="A81" s="17">
        <v>41122</v>
      </c>
      <c r="B81" s="20">
        <f t="shared" si="4"/>
        <v>2012</v>
      </c>
      <c r="C81" s="18">
        <f>'Monthly Data'!B81</f>
        <v>10717021</v>
      </c>
      <c r="D81">
        <f>'Predicted Monthly Data'!K81</f>
        <v>10174319.073644558</v>
      </c>
      <c r="E81" s="16">
        <f t="shared" si="5"/>
        <v>5.0639251929751938E-2</v>
      </c>
    </row>
    <row r="82" spans="1:5" x14ac:dyDescent="0.25">
      <c r="A82" s="17">
        <v>41153</v>
      </c>
      <c r="B82" s="20">
        <f t="shared" si="4"/>
        <v>2012</v>
      </c>
      <c r="C82" s="18">
        <f>'Monthly Data'!B82</f>
        <v>10163216</v>
      </c>
      <c r="D82">
        <f>'Predicted Monthly Data'!K82</f>
        <v>10461118.114223</v>
      </c>
      <c r="E82" s="16">
        <f t="shared" si="5"/>
        <v>2.9311796012502309E-2</v>
      </c>
    </row>
    <row r="83" spans="1:5" x14ac:dyDescent="0.25">
      <c r="A83" s="17">
        <v>41183</v>
      </c>
      <c r="B83" s="20">
        <f t="shared" si="4"/>
        <v>2012</v>
      </c>
      <c r="C83" s="18">
        <f>'Monthly Data'!B83</f>
        <v>11586791</v>
      </c>
      <c r="D83">
        <f>'Predicted Monthly Data'!K83</f>
        <v>11973992.588406401</v>
      </c>
      <c r="E83" s="16">
        <f t="shared" si="5"/>
        <v>3.3417500014145486E-2</v>
      </c>
    </row>
    <row r="84" spans="1:5" x14ac:dyDescent="0.25">
      <c r="A84" s="17">
        <v>41214</v>
      </c>
      <c r="B84" s="20">
        <f t="shared" si="4"/>
        <v>2012</v>
      </c>
      <c r="C84" s="18">
        <f>'Monthly Data'!B84</f>
        <v>13032681</v>
      </c>
      <c r="D84">
        <f>'Predicted Monthly Data'!K84</f>
        <v>13753190.35415931</v>
      </c>
      <c r="E84" s="16">
        <f t="shared" si="5"/>
        <v>5.5284814702309559E-2</v>
      </c>
    </row>
    <row r="85" spans="1:5" x14ac:dyDescent="0.25">
      <c r="A85" s="17">
        <v>41244</v>
      </c>
      <c r="B85" s="20">
        <f t="shared" si="4"/>
        <v>2012</v>
      </c>
      <c r="C85" s="18">
        <f>'Monthly Data'!B85</f>
        <v>15521871</v>
      </c>
      <c r="D85">
        <f>'Predicted Monthly Data'!K85</f>
        <v>15376541.843160976</v>
      </c>
      <c r="E85" s="16">
        <f t="shared" si="5"/>
        <v>9.3628633325856317E-3</v>
      </c>
    </row>
    <row r="86" spans="1:5" x14ac:dyDescent="0.25">
      <c r="A86" s="17">
        <v>41275</v>
      </c>
      <c r="B86" s="20">
        <f t="shared" si="4"/>
        <v>2013</v>
      </c>
      <c r="C86" s="18">
        <f>'Monthly Data'!B86</f>
        <v>16693786</v>
      </c>
      <c r="D86">
        <f>'Predicted Monthly Data'!K86</f>
        <v>15783179.294340158</v>
      </c>
      <c r="E86" s="16">
        <f t="shared" si="5"/>
        <v>5.4547644594212609E-2</v>
      </c>
    </row>
    <row r="87" spans="1:5" x14ac:dyDescent="0.25">
      <c r="A87" s="17">
        <v>41306</v>
      </c>
      <c r="B87" s="20">
        <f t="shared" si="4"/>
        <v>2013</v>
      </c>
      <c r="C87" s="18">
        <f>'Monthly Data'!B87</f>
        <v>15174191</v>
      </c>
      <c r="D87">
        <f>'Predicted Monthly Data'!K87</f>
        <v>14570224.557830403</v>
      </c>
      <c r="E87" s="16">
        <f t="shared" si="5"/>
        <v>3.9802216946497999E-2</v>
      </c>
    </row>
    <row r="88" spans="1:5" x14ac:dyDescent="0.25">
      <c r="A88" s="17">
        <v>41334</v>
      </c>
      <c r="B88" s="20">
        <f t="shared" si="4"/>
        <v>2013</v>
      </c>
      <c r="C88" s="18">
        <f>'Monthly Data'!B88</f>
        <v>14601438</v>
      </c>
      <c r="D88">
        <f>'Predicted Monthly Data'!K88</f>
        <v>14921860.883673951</v>
      </c>
      <c r="E88" s="16">
        <f t="shared" si="5"/>
        <v>2.1944611460456911E-2</v>
      </c>
    </row>
    <row r="89" spans="1:5" x14ac:dyDescent="0.25">
      <c r="A89" s="17">
        <v>41365</v>
      </c>
      <c r="B89" s="20">
        <f t="shared" si="4"/>
        <v>2013</v>
      </c>
      <c r="C89" s="18">
        <f>'Monthly Data'!B89</f>
        <v>13150077</v>
      </c>
      <c r="D89">
        <f>'Predicted Monthly Data'!K89</f>
        <v>13117639.491227534</v>
      </c>
      <c r="E89" s="16">
        <f t="shared" si="5"/>
        <v>2.4667162612406249E-3</v>
      </c>
    </row>
    <row r="90" spans="1:5" x14ac:dyDescent="0.25">
      <c r="A90" s="17">
        <v>41395</v>
      </c>
      <c r="B90" s="20">
        <f t="shared" si="4"/>
        <v>2013</v>
      </c>
      <c r="C90" s="18">
        <f>'Monthly Data'!B90</f>
        <v>10553126</v>
      </c>
      <c r="D90">
        <f>'Predicted Monthly Data'!K90</f>
        <v>11279348.35433053</v>
      </c>
      <c r="E90" s="16">
        <f t="shared" si="5"/>
        <v>6.8815851751464957E-2</v>
      </c>
    </row>
    <row r="91" spans="1:5" x14ac:dyDescent="0.25">
      <c r="A91" s="17">
        <v>41426</v>
      </c>
      <c r="B91" s="20">
        <f t="shared" si="4"/>
        <v>2013</v>
      </c>
      <c r="C91" s="18">
        <f>'Monthly Data'!B91</f>
        <v>9632056</v>
      </c>
      <c r="D91">
        <f>'Predicted Monthly Data'!K91</f>
        <v>9681035.481097186</v>
      </c>
      <c r="E91" s="16">
        <f t="shared" si="5"/>
        <v>5.085049453323982E-3</v>
      </c>
    </row>
    <row r="92" spans="1:5" x14ac:dyDescent="0.25">
      <c r="A92" s="17">
        <v>41456</v>
      </c>
      <c r="B92" s="20">
        <f t="shared" si="4"/>
        <v>2013</v>
      </c>
      <c r="C92" s="18">
        <f>'Monthly Data'!B92</f>
        <v>10454381</v>
      </c>
      <c r="D92">
        <f>'Predicted Monthly Data'!K92</f>
        <v>9976862.0446146596</v>
      </c>
      <c r="E92" s="16">
        <f t="shared" si="5"/>
        <v>4.5676444677627527E-2</v>
      </c>
    </row>
    <row r="93" spans="1:5" x14ac:dyDescent="0.25">
      <c r="A93" s="17">
        <v>41487</v>
      </c>
      <c r="B93" s="20">
        <f t="shared" si="4"/>
        <v>2013</v>
      </c>
      <c r="C93" s="18">
        <f>'Monthly Data'!B93</f>
        <v>10345419</v>
      </c>
      <c r="D93">
        <f>'Predicted Monthly Data'!K93</f>
        <v>10236251.590159535</v>
      </c>
      <c r="E93" s="16">
        <f t="shared" si="5"/>
        <v>1.0552246345987977E-2</v>
      </c>
    </row>
    <row r="94" spans="1:5" x14ac:dyDescent="0.25">
      <c r="A94" s="17">
        <v>41518</v>
      </c>
      <c r="B94" s="20">
        <f t="shared" si="4"/>
        <v>2013</v>
      </c>
      <c r="C94" s="18">
        <f>'Monthly Data'!B94</f>
        <v>10224461</v>
      </c>
      <c r="D94">
        <f>'Predicted Monthly Data'!K94</f>
        <v>9750830.7815069817</v>
      </c>
      <c r="E94" s="16">
        <f t="shared" si="5"/>
        <v>4.6323245645224553E-2</v>
      </c>
    </row>
    <row r="95" spans="1:5" x14ac:dyDescent="0.25">
      <c r="A95" s="17">
        <v>41548</v>
      </c>
      <c r="B95" s="20">
        <f t="shared" si="4"/>
        <v>2013</v>
      </c>
      <c r="C95" s="18">
        <f>'Monthly Data'!B95</f>
        <v>12045684</v>
      </c>
      <c r="D95">
        <f>'Predicted Monthly Data'!K95</f>
        <v>11462946.421647586</v>
      </c>
      <c r="E95" s="16">
        <f t="shared" si="5"/>
        <v>4.8377292510115161E-2</v>
      </c>
    </row>
    <row r="96" spans="1:5" x14ac:dyDescent="0.25">
      <c r="A96" s="17">
        <v>41579</v>
      </c>
      <c r="B96" s="20">
        <f t="shared" si="4"/>
        <v>2013</v>
      </c>
      <c r="C96" s="18">
        <f>'Monthly Data'!B96</f>
        <v>14228773</v>
      </c>
      <c r="D96">
        <f>'Predicted Monthly Data'!K96</f>
        <v>13820801.16141605</v>
      </c>
      <c r="E96" s="16">
        <f t="shared" si="5"/>
        <v>2.8672313388086939E-2</v>
      </c>
    </row>
    <row r="97" spans="1:5" x14ac:dyDescent="0.25">
      <c r="A97" s="17">
        <v>41609</v>
      </c>
      <c r="B97" s="20">
        <f t="shared" si="4"/>
        <v>2013</v>
      </c>
      <c r="C97" s="18">
        <f>'Monthly Data'!B97</f>
        <v>18557256</v>
      </c>
      <c r="D97">
        <f>'Predicted Monthly Data'!K97</f>
        <v>16224082.227118634</v>
      </c>
      <c r="E97" s="16">
        <f t="shared" si="5"/>
        <v>0.12572838208845996</v>
      </c>
    </row>
    <row r="98" spans="1:5" x14ac:dyDescent="0.25">
      <c r="E98" s="7">
        <f>AVERAGE(E2:E97)</f>
        <v>4.1827194325470655E-2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  <col min="4" max="4" width="16.7109375" customWidth="1"/>
  </cols>
  <sheetData>
    <row r="2" spans="1:4" x14ac:dyDescent="0.25">
      <c r="A2" s="9" t="s">
        <v>46</v>
      </c>
    </row>
    <row r="3" spans="1:4" x14ac:dyDescent="0.25">
      <c r="B3" t="s">
        <v>45</v>
      </c>
      <c r="C3" t="s">
        <v>33</v>
      </c>
      <c r="D3" t="s">
        <v>34</v>
      </c>
    </row>
    <row r="4" spans="1:4" x14ac:dyDescent="0.25">
      <c r="A4" s="5">
        <v>2006</v>
      </c>
      <c r="B4" s="6">
        <v>150668796.33000001</v>
      </c>
      <c r="C4" s="6">
        <v>150448846.79987332</v>
      </c>
      <c r="D4" s="7">
        <v>1.4598213796368944E-3</v>
      </c>
    </row>
    <row r="5" spans="1:4" x14ac:dyDescent="0.25">
      <c r="A5" s="5">
        <v>2007</v>
      </c>
      <c r="B5" s="6">
        <v>153919597.58542347</v>
      </c>
      <c r="C5" s="6">
        <v>154806440.41292059</v>
      </c>
      <c r="D5" s="7">
        <v>5.7617278202987624E-3</v>
      </c>
    </row>
    <row r="6" spans="1:4" x14ac:dyDescent="0.25">
      <c r="A6" s="5">
        <v>2008</v>
      </c>
      <c r="B6" s="6">
        <v>157822156.67999998</v>
      </c>
      <c r="C6" s="6">
        <v>155269448.74871284</v>
      </c>
      <c r="D6" s="7">
        <v>1.6174585273619136E-2</v>
      </c>
    </row>
    <row r="7" spans="1:4" x14ac:dyDescent="0.25">
      <c r="A7" s="5">
        <v>2009</v>
      </c>
      <c r="B7" s="6">
        <v>160752853.29999998</v>
      </c>
      <c r="C7" s="6">
        <v>155729690.23615444</v>
      </c>
      <c r="D7" s="7">
        <v>3.1247738131722141E-2</v>
      </c>
    </row>
    <row r="8" spans="1:4" x14ac:dyDescent="0.25">
      <c r="A8" s="5">
        <v>2010</v>
      </c>
      <c r="B8" s="6">
        <v>146405213.20999998</v>
      </c>
      <c r="C8" s="6">
        <v>151204103.25319913</v>
      </c>
      <c r="D8" s="7">
        <v>3.2778136365374806E-2</v>
      </c>
    </row>
    <row r="9" spans="1:4" x14ac:dyDescent="0.25">
      <c r="A9" s="5">
        <v>2011</v>
      </c>
      <c r="B9" s="6">
        <v>149046160.67000002</v>
      </c>
      <c r="C9" s="6">
        <v>152915694.13998875</v>
      </c>
      <c r="D9" s="7">
        <v>2.5961980185160129E-2</v>
      </c>
    </row>
    <row r="10" spans="1:4" x14ac:dyDescent="0.25">
      <c r="A10" s="5">
        <v>2012</v>
      </c>
      <c r="B10" s="6">
        <v>147470689</v>
      </c>
      <c r="C10" s="6">
        <v>150546828.89561188</v>
      </c>
      <c r="D10" s="7">
        <v>2.0859330870908743E-2</v>
      </c>
    </row>
    <row r="11" spans="1:4" x14ac:dyDescent="0.25">
      <c r="A11" s="5">
        <v>2013</v>
      </c>
      <c r="B11" s="6">
        <v>155660648</v>
      </c>
      <c r="C11" s="6">
        <v>150825062.28896323</v>
      </c>
      <c r="D11" s="7">
        <v>3.1064920859360495E-2</v>
      </c>
    </row>
    <row r="12" spans="1:4" x14ac:dyDescent="0.25">
      <c r="C12" s="10" t="s">
        <v>35</v>
      </c>
      <c r="D12" s="8">
        <f>AVERAGE(D4:D11)</f>
        <v>2.066353011076014E-2</v>
      </c>
    </row>
    <row r="13" spans="1:4" x14ac:dyDescent="0.25">
      <c r="C13" s="10" t="s">
        <v>36</v>
      </c>
      <c r="D13" s="8">
        <v>4.173847226491436E-2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C8" sqref="C8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</cols>
  <sheetData>
    <row r="3" spans="1:3" x14ac:dyDescent="0.25">
      <c r="B3" t="s">
        <v>45</v>
      </c>
      <c r="C3" t="s">
        <v>33</v>
      </c>
    </row>
    <row r="4" spans="1:3" x14ac:dyDescent="0.25">
      <c r="A4" s="5">
        <v>2006</v>
      </c>
      <c r="B4" s="6">
        <v>150668796.33000001</v>
      </c>
      <c r="C4" s="6">
        <v>150448846.79987332</v>
      </c>
    </row>
    <row r="5" spans="1:3" x14ac:dyDescent="0.25">
      <c r="A5" s="5">
        <v>2007</v>
      </c>
      <c r="B5" s="6">
        <v>153919597.58542347</v>
      </c>
      <c r="C5" s="6">
        <v>154806440.41292059</v>
      </c>
    </row>
    <row r="6" spans="1:3" x14ac:dyDescent="0.25">
      <c r="A6" s="5">
        <v>2008</v>
      </c>
      <c r="B6" s="6">
        <v>157822156.67999998</v>
      </c>
      <c r="C6" s="6">
        <v>155269448.74871284</v>
      </c>
    </row>
    <row r="7" spans="1:3" x14ac:dyDescent="0.25">
      <c r="A7" s="5">
        <v>2009</v>
      </c>
      <c r="B7" s="6">
        <v>160752853.29999998</v>
      </c>
      <c r="C7" s="6">
        <v>155729690.23615444</v>
      </c>
    </row>
    <row r="8" spans="1:3" x14ac:dyDescent="0.25">
      <c r="A8" s="5">
        <v>2010</v>
      </c>
      <c r="B8" s="6">
        <v>146405213.20999998</v>
      </c>
      <c r="C8" s="6">
        <v>151204103.25319913</v>
      </c>
    </row>
    <row r="9" spans="1:3" x14ac:dyDescent="0.25">
      <c r="A9" s="5">
        <v>2011</v>
      </c>
      <c r="B9" s="6">
        <v>149046160.67000002</v>
      </c>
      <c r="C9" s="6">
        <v>152915694.13998875</v>
      </c>
    </row>
    <row r="10" spans="1:3" x14ac:dyDescent="0.25">
      <c r="A10" s="5">
        <v>2012</v>
      </c>
      <c r="B10" s="6">
        <v>147470689</v>
      </c>
      <c r="C10" s="6">
        <v>150546828.89561188</v>
      </c>
    </row>
    <row r="11" spans="1:3" x14ac:dyDescent="0.25">
      <c r="A11" s="5">
        <v>2013</v>
      </c>
      <c r="B11" s="6">
        <v>155660648</v>
      </c>
      <c r="C11" s="6">
        <v>150825062.28896323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21"/>
  <sheetViews>
    <sheetView topLeftCell="C7" workbookViewId="0">
      <selection activeCell="K14" sqref="K14"/>
    </sheetView>
  </sheetViews>
  <sheetFormatPr defaultColWidth="10.85546875" defaultRowHeight="15" x14ac:dyDescent="0.25"/>
  <cols>
    <col min="1" max="1" width="10.85546875" style="17"/>
    <col min="2" max="2" width="14.28515625" style="18" bestFit="1" customWidth="1"/>
    <col min="3" max="3" width="12.7109375" style="19" bestFit="1" customWidth="1"/>
    <col min="4" max="4" width="12.5703125" style="19" bestFit="1" customWidth="1"/>
    <col min="5" max="5" width="10.85546875" style="19"/>
  </cols>
  <sheetData>
    <row r="1" spans="1:11" x14ac:dyDescent="0.25">
      <c r="A1" s="17" t="s">
        <v>10</v>
      </c>
      <c r="B1" s="18" t="s">
        <v>40</v>
      </c>
      <c r="C1" s="19" t="s">
        <v>41</v>
      </c>
      <c r="D1" s="19" t="s">
        <v>42</v>
      </c>
      <c r="E1" s="19" t="s">
        <v>43</v>
      </c>
      <c r="G1" t="s">
        <v>30</v>
      </c>
      <c r="H1" s="19" t="s">
        <v>41</v>
      </c>
      <c r="I1" s="19" t="s">
        <v>42</v>
      </c>
      <c r="J1" s="19" t="s">
        <v>43</v>
      </c>
      <c r="K1" t="s">
        <v>37</v>
      </c>
    </row>
    <row r="2" spans="1:11" x14ac:dyDescent="0.25">
      <c r="A2" s="17">
        <v>38718</v>
      </c>
      <c r="B2" s="18">
        <f>'Monthly Data'!B2</f>
        <v>16432360.530000001</v>
      </c>
      <c r="C2">
        <v>975.55</v>
      </c>
      <c r="D2">
        <v>0</v>
      </c>
      <c r="E2">
        <v>21</v>
      </c>
      <c r="G2">
        <f t="shared" ref="G2:G33" si="0">const</f>
        <v>5722866.4488198198</v>
      </c>
      <c r="H2">
        <f t="shared" ref="H2:H33" si="1">MonthlyHDD*C2</f>
        <v>9232427.5552141014</v>
      </c>
      <c r="I2">
        <f t="shared" ref="I2:I33" si="2">MonthlyCDD*D2</f>
        <v>0</v>
      </c>
      <c r="J2">
        <f t="shared" ref="J2:J33" si="3">PeakDays*E2</f>
        <v>2535102.5492475061</v>
      </c>
      <c r="K2">
        <f t="shared" ref="K2:K33" si="4">SUM(G2:J2)</f>
        <v>17490396.553281426</v>
      </c>
    </row>
    <row r="3" spans="1:11" x14ac:dyDescent="0.25">
      <c r="A3" s="17">
        <v>38749</v>
      </c>
      <c r="B3" s="18">
        <f>'Monthly Data'!B3</f>
        <v>15254915.93</v>
      </c>
      <c r="C3">
        <v>828.66499999999996</v>
      </c>
      <c r="D3">
        <v>0</v>
      </c>
      <c r="E3">
        <v>20</v>
      </c>
      <c r="G3">
        <f t="shared" si="0"/>
        <v>5722866.4488198198</v>
      </c>
      <c r="H3">
        <f t="shared" si="1"/>
        <v>7842334.6625406109</v>
      </c>
      <c r="I3">
        <f t="shared" si="2"/>
        <v>0</v>
      </c>
      <c r="J3">
        <f t="shared" si="3"/>
        <v>2414383.38023572</v>
      </c>
      <c r="K3">
        <f t="shared" si="4"/>
        <v>15979584.491596151</v>
      </c>
    </row>
    <row r="4" spans="1:11" x14ac:dyDescent="0.25">
      <c r="A4" s="17">
        <v>38777</v>
      </c>
      <c r="B4" s="18">
        <f>'Monthly Data'!B4</f>
        <v>14730427.050000001</v>
      </c>
      <c r="C4">
        <v>739.38499999999999</v>
      </c>
      <c r="D4">
        <v>0</v>
      </c>
      <c r="E4">
        <v>23</v>
      </c>
      <c r="G4">
        <f t="shared" si="0"/>
        <v>5722866.4488198198</v>
      </c>
      <c r="H4">
        <f t="shared" si="1"/>
        <v>6997405.0001660381</v>
      </c>
      <c r="I4">
        <f t="shared" si="2"/>
        <v>0</v>
      </c>
      <c r="J4">
        <f t="shared" si="3"/>
        <v>2776540.8872710778</v>
      </c>
      <c r="K4">
        <f t="shared" si="4"/>
        <v>15496812.336256936</v>
      </c>
    </row>
    <row r="5" spans="1:11" x14ac:dyDescent="0.25">
      <c r="A5" s="17">
        <v>38808</v>
      </c>
      <c r="B5" s="18">
        <f>'Monthly Data'!B5</f>
        <v>11361311.199999999</v>
      </c>
      <c r="C5">
        <v>493.09500000000003</v>
      </c>
      <c r="D5">
        <v>0</v>
      </c>
      <c r="E5">
        <v>18</v>
      </c>
      <c r="G5">
        <f t="shared" si="0"/>
        <v>5722866.4488198198</v>
      </c>
      <c r="H5">
        <f t="shared" si="1"/>
        <v>4666561.2888506977</v>
      </c>
      <c r="I5">
        <f t="shared" si="2"/>
        <v>0</v>
      </c>
      <c r="J5">
        <f t="shared" si="3"/>
        <v>2172945.0422121482</v>
      </c>
      <c r="K5">
        <f t="shared" si="4"/>
        <v>12562372.779882666</v>
      </c>
    </row>
    <row r="6" spans="1:11" x14ac:dyDescent="0.25">
      <c r="A6" s="17">
        <v>38838</v>
      </c>
      <c r="B6" s="18">
        <f>'Monthly Data'!B6</f>
        <v>10639715.810000001</v>
      </c>
      <c r="C6">
        <v>303.91500000000002</v>
      </c>
      <c r="D6">
        <v>1.4950000000000001</v>
      </c>
      <c r="E6">
        <v>22</v>
      </c>
      <c r="G6">
        <f t="shared" si="0"/>
        <v>5722866.4488198198</v>
      </c>
      <c r="H6">
        <f t="shared" si="1"/>
        <v>2876196.2179723172</v>
      </c>
      <c r="I6">
        <f t="shared" si="2"/>
        <v>100895.96616178782</v>
      </c>
      <c r="J6">
        <f t="shared" si="3"/>
        <v>2655821.7182592917</v>
      </c>
      <c r="K6">
        <f t="shared" si="4"/>
        <v>11355780.351213217</v>
      </c>
    </row>
    <row r="7" spans="1:11" x14ac:dyDescent="0.25">
      <c r="A7" s="17">
        <v>38869</v>
      </c>
      <c r="B7" s="18">
        <f>'Monthly Data'!B7</f>
        <v>9655562.2699999996</v>
      </c>
      <c r="C7">
        <v>141.69</v>
      </c>
      <c r="D7">
        <v>7.27</v>
      </c>
      <c r="E7">
        <v>22</v>
      </c>
      <c r="G7">
        <f t="shared" si="0"/>
        <v>5722866.4488198198</v>
      </c>
      <c r="H7">
        <f t="shared" si="1"/>
        <v>1340928.3586677115</v>
      </c>
      <c r="I7">
        <f t="shared" si="2"/>
        <v>490644.59799076745</v>
      </c>
      <c r="J7">
        <f t="shared" si="3"/>
        <v>2655821.7182592917</v>
      </c>
      <c r="K7">
        <f t="shared" si="4"/>
        <v>10210261.12373759</v>
      </c>
    </row>
    <row r="8" spans="1:11" x14ac:dyDescent="0.25">
      <c r="A8" s="17">
        <v>38899</v>
      </c>
      <c r="B8" s="18">
        <f>'Monthly Data'!B8</f>
        <v>10846451.32</v>
      </c>
      <c r="C8">
        <v>87.87</v>
      </c>
      <c r="D8">
        <v>12.025</v>
      </c>
      <c r="E8">
        <v>20</v>
      </c>
      <c r="G8">
        <f t="shared" si="0"/>
        <v>5722866.4488198198</v>
      </c>
      <c r="H8">
        <f t="shared" si="1"/>
        <v>831585.6791314265</v>
      </c>
      <c r="I8">
        <f t="shared" si="2"/>
        <v>811554.51043177152</v>
      </c>
      <c r="J8">
        <f t="shared" si="3"/>
        <v>2414383.38023572</v>
      </c>
      <c r="K8">
        <f t="shared" si="4"/>
        <v>9780390.0186187383</v>
      </c>
    </row>
    <row r="9" spans="1:11" x14ac:dyDescent="0.25">
      <c r="A9" s="17">
        <v>38930</v>
      </c>
      <c r="B9" s="18">
        <f>'Monthly Data'!B9</f>
        <v>10694433.439999999</v>
      </c>
      <c r="C9">
        <v>84.79</v>
      </c>
      <c r="D9">
        <v>12.805</v>
      </c>
      <c r="E9">
        <v>22</v>
      </c>
      <c r="G9">
        <f t="shared" si="0"/>
        <v>5722866.4488198198</v>
      </c>
      <c r="H9">
        <f t="shared" si="1"/>
        <v>802437.11999036826</v>
      </c>
      <c r="I9">
        <f t="shared" si="2"/>
        <v>864195.88408139988</v>
      </c>
      <c r="J9">
        <f t="shared" si="3"/>
        <v>2655821.7182592917</v>
      </c>
      <c r="K9">
        <f t="shared" si="4"/>
        <v>10045321.17115088</v>
      </c>
    </row>
    <row r="10" spans="1:11" x14ac:dyDescent="0.25">
      <c r="A10" s="17">
        <v>38961</v>
      </c>
      <c r="B10" s="18">
        <f>'Monthly Data'!B10</f>
        <v>10191889.76</v>
      </c>
      <c r="C10">
        <v>183.58500000000001</v>
      </c>
      <c r="D10">
        <v>3.88</v>
      </c>
      <c r="E10">
        <v>20</v>
      </c>
      <c r="G10">
        <f t="shared" si="0"/>
        <v>5722866.4488198198</v>
      </c>
      <c r="H10">
        <f t="shared" si="1"/>
        <v>1737415.0097114253</v>
      </c>
      <c r="I10">
        <f t="shared" si="2"/>
        <v>261857.08943661317</v>
      </c>
      <c r="J10">
        <f t="shared" si="3"/>
        <v>2414383.38023572</v>
      </c>
      <c r="K10">
        <f t="shared" si="4"/>
        <v>10136521.928203579</v>
      </c>
    </row>
    <row r="11" spans="1:11" x14ac:dyDescent="0.25">
      <c r="A11" s="17">
        <v>38991</v>
      </c>
      <c r="B11" s="18">
        <f>'Monthly Data'!B11</f>
        <v>12347060.369999999</v>
      </c>
      <c r="C11">
        <v>380.13499999999999</v>
      </c>
      <c r="D11">
        <v>0.18</v>
      </c>
      <c r="E11">
        <v>21</v>
      </c>
      <c r="G11">
        <f t="shared" si="0"/>
        <v>5722866.4488198198</v>
      </c>
      <c r="H11">
        <f t="shared" si="1"/>
        <v>3597528.4185344805</v>
      </c>
      <c r="I11">
        <f t="shared" si="2"/>
        <v>12148.009303760404</v>
      </c>
      <c r="J11">
        <f t="shared" si="3"/>
        <v>2535102.5492475061</v>
      </c>
      <c r="K11">
        <f t="shared" si="4"/>
        <v>11867645.425905567</v>
      </c>
    </row>
    <row r="12" spans="1:11" x14ac:dyDescent="0.25">
      <c r="A12" s="17">
        <v>39022</v>
      </c>
      <c r="B12" s="18">
        <f>'Monthly Data'!B12</f>
        <v>12995676.43</v>
      </c>
      <c r="C12">
        <v>574.01</v>
      </c>
      <c r="D12">
        <v>0</v>
      </c>
      <c r="E12">
        <v>22</v>
      </c>
      <c r="G12">
        <f t="shared" si="0"/>
        <v>5722866.4488198198</v>
      </c>
      <c r="H12">
        <f t="shared" si="1"/>
        <v>5432326.1144671692</v>
      </c>
      <c r="I12">
        <f t="shared" si="2"/>
        <v>0</v>
      </c>
      <c r="J12">
        <f t="shared" si="3"/>
        <v>2655821.7182592917</v>
      </c>
      <c r="K12">
        <f t="shared" si="4"/>
        <v>13811014.281546282</v>
      </c>
    </row>
    <row r="13" spans="1:11" x14ac:dyDescent="0.25">
      <c r="A13" s="17">
        <v>39052</v>
      </c>
      <c r="B13" s="18">
        <f>'Monthly Data'!B13</f>
        <v>15518992.219999999</v>
      </c>
      <c r="C13">
        <v>822.67</v>
      </c>
      <c r="D13">
        <v>0</v>
      </c>
      <c r="E13">
        <v>19</v>
      </c>
      <c r="G13">
        <f t="shared" si="0"/>
        <v>5722866.4488198198</v>
      </c>
      <c r="H13">
        <f t="shared" si="1"/>
        <v>7785599.0742124794</v>
      </c>
      <c r="I13">
        <f t="shared" si="2"/>
        <v>0</v>
      </c>
      <c r="J13">
        <f t="shared" si="3"/>
        <v>2293664.2112239338</v>
      </c>
      <c r="K13">
        <f t="shared" si="4"/>
        <v>15802129.734256234</v>
      </c>
    </row>
    <row r="14" spans="1:11" x14ac:dyDescent="0.25">
      <c r="A14" s="17">
        <v>39083</v>
      </c>
      <c r="B14" s="18">
        <f>'Monthly Data'!B14</f>
        <v>17027640.539999999</v>
      </c>
      <c r="C14">
        <f>C2</f>
        <v>975.55</v>
      </c>
      <c r="D14">
        <f>D2</f>
        <v>0</v>
      </c>
      <c r="E14">
        <v>22</v>
      </c>
      <c r="G14">
        <f t="shared" si="0"/>
        <v>5722866.4488198198</v>
      </c>
      <c r="H14">
        <f t="shared" si="1"/>
        <v>9232427.5552141014</v>
      </c>
      <c r="I14">
        <f t="shared" si="2"/>
        <v>0</v>
      </c>
      <c r="J14">
        <f t="shared" si="3"/>
        <v>2655821.7182592917</v>
      </c>
      <c r="K14">
        <f t="shared" si="4"/>
        <v>17611115.722293213</v>
      </c>
    </row>
    <row r="15" spans="1:11" x14ac:dyDescent="0.25">
      <c r="A15" s="17">
        <v>39114</v>
      </c>
      <c r="B15" s="18">
        <f>'Monthly Data'!B15</f>
        <v>16669380.510000002</v>
      </c>
      <c r="C15">
        <f t="shared" ref="C15:D15" si="5">C3</f>
        <v>828.66499999999996</v>
      </c>
      <c r="D15">
        <f t="shared" si="5"/>
        <v>0</v>
      </c>
      <c r="E15">
        <v>20</v>
      </c>
      <c r="G15">
        <f t="shared" si="0"/>
        <v>5722866.4488198198</v>
      </c>
      <c r="H15">
        <f t="shared" si="1"/>
        <v>7842334.6625406109</v>
      </c>
      <c r="I15">
        <f t="shared" si="2"/>
        <v>0</v>
      </c>
      <c r="J15">
        <f t="shared" si="3"/>
        <v>2414383.38023572</v>
      </c>
      <c r="K15">
        <f t="shared" si="4"/>
        <v>15979584.491596151</v>
      </c>
    </row>
    <row r="16" spans="1:11" x14ac:dyDescent="0.25">
      <c r="A16" s="17">
        <v>39142</v>
      </c>
      <c r="B16" s="18">
        <f>'Monthly Data'!B16</f>
        <v>14934754.379999999</v>
      </c>
      <c r="C16">
        <f t="shared" ref="C16:D16" si="6">C4</f>
        <v>739.38499999999999</v>
      </c>
      <c r="D16">
        <f t="shared" si="6"/>
        <v>0</v>
      </c>
      <c r="E16">
        <v>22</v>
      </c>
      <c r="G16">
        <f t="shared" si="0"/>
        <v>5722866.4488198198</v>
      </c>
      <c r="H16">
        <f t="shared" si="1"/>
        <v>6997405.0001660381</v>
      </c>
      <c r="I16">
        <f t="shared" si="2"/>
        <v>0</v>
      </c>
      <c r="J16">
        <f t="shared" si="3"/>
        <v>2655821.7182592917</v>
      </c>
      <c r="K16">
        <f t="shared" si="4"/>
        <v>15376093.16724515</v>
      </c>
    </row>
    <row r="17" spans="1:11" x14ac:dyDescent="0.25">
      <c r="A17" s="17">
        <v>39173</v>
      </c>
      <c r="B17" s="18">
        <f>'Monthly Data'!B17</f>
        <v>12687457.810000002</v>
      </c>
      <c r="C17">
        <f t="shared" ref="C17:D17" si="7">C5</f>
        <v>493.09500000000003</v>
      </c>
      <c r="D17">
        <f t="shared" si="7"/>
        <v>0</v>
      </c>
      <c r="E17">
        <v>19</v>
      </c>
      <c r="G17">
        <f t="shared" si="0"/>
        <v>5722866.4488198198</v>
      </c>
      <c r="H17">
        <f t="shared" si="1"/>
        <v>4666561.2888506977</v>
      </c>
      <c r="I17">
        <f t="shared" si="2"/>
        <v>0</v>
      </c>
      <c r="J17">
        <f t="shared" si="3"/>
        <v>2293664.2112239338</v>
      </c>
      <c r="K17">
        <f t="shared" si="4"/>
        <v>12683091.948894452</v>
      </c>
    </row>
    <row r="18" spans="1:11" x14ac:dyDescent="0.25">
      <c r="A18" s="17">
        <v>39203</v>
      </c>
      <c r="B18" s="18">
        <f>'Monthly Data'!B18</f>
        <v>10985339.710000001</v>
      </c>
      <c r="C18">
        <f t="shared" ref="C18:D18" si="8">C6</f>
        <v>303.91500000000002</v>
      </c>
      <c r="D18">
        <f t="shared" si="8"/>
        <v>1.4950000000000001</v>
      </c>
      <c r="E18">
        <v>22</v>
      </c>
      <c r="G18">
        <f t="shared" si="0"/>
        <v>5722866.4488198198</v>
      </c>
      <c r="H18">
        <f t="shared" si="1"/>
        <v>2876196.2179723172</v>
      </c>
      <c r="I18">
        <f t="shared" si="2"/>
        <v>100895.96616178782</v>
      </c>
      <c r="J18">
        <f t="shared" si="3"/>
        <v>2655821.7182592917</v>
      </c>
      <c r="K18">
        <f t="shared" si="4"/>
        <v>11355780.351213217</v>
      </c>
    </row>
    <row r="19" spans="1:11" x14ac:dyDescent="0.25">
      <c r="A19" s="17">
        <v>39234</v>
      </c>
      <c r="B19" s="18">
        <f>'Monthly Data'!B19</f>
        <v>9760012.7799999993</v>
      </c>
      <c r="C19">
        <f t="shared" ref="C19:D19" si="9">C7</f>
        <v>141.69</v>
      </c>
      <c r="D19">
        <f t="shared" si="9"/>
        <v>7.27</v>
      </c>
      <c r="E19">
        <v>21</v>
      </c>
      <c r="G19">
        <f t="shared" si="0"/>
        <v>5722866.4488198198</v>
      </c>
      <c r="H19">
        <f t="shared" si="1"/>
        <v>1340928.3586677115</v>
      </c>
      <c r="I19">
        <f t="shared" si="2"/>
        <v>490644.59799076745</v>
      </c>
      <c r="J19">
        <f t="shared" si="3"/>
        <v>2535102.5492475061</v>
      </c>
      <c r="K19">
        <f t="shared" si="4"/>
        <v>10089541.954725806</v>
      </c>
    </row>
    <row r="20" spans="1:11" x14ac:dyDescent="0.25">
      <c r="A20" s="17">
        <v>39264</v>
      </c>
      <c r="B20" s="18">
        <f>'Monthly Data'!B20</f>
        <v>10363539.75</v>
      </c>
      <c r="C20">
        <f t="shared" ref="C20:D20" si="10">C8</f>
        <v>87.87</v>
      </c>
      <c r="D20">
        <f t="shared" si="10"/>
        <v>12.025</v>
      </c>
      <c r="E20">
        <v>21</v>
      </c>
      <c r="G20">
        <f t="shared" si="0"/>
        <v>5722866.4488198198</v>
      </c>
      <c r="H20">
        <f t="shared" si="1"/>
        <v>831585.6791314265</v>
      </c>
      <c r="I20">
        <f t="shared" si="2"/>
        <v>811554.51043177152</v>
      </c>
      <c r="J20">
        <f t="shared" si="3"/>
        <v>2535102.5492475061</v>
      </c>
      <c r="K20">
        <f t="shared" si="4"/>
        <v>9901109.187630523</v>
      </c>
    </row>
    <row r="21" spans="1:11" x14ac:dyDescent="0.25">
      <c r="A21" s="17">
        <v>39295</v>
      </c>
      <c r="B21" s="18">
        <f>'Monthly Data'!B21</f>
        <v>10623681.955423476</v>
      </c>
      <c r="C21">
        <f t="shared" ref="C21:D21" si="11">C9</f>
        <v>84.79</v>
      </c>
      <c r="D21">
        <f t="shared" si="11"/>
        <v>12.805</v>
      </c>
      <c r="E21">
        <v>22</v>
      </c>
      <c r="G21">
        <f t="shared" si="0"/>
        <v>5722866.4488198198</v>
      </c>
      <c r="H21">
        <f t="shared" si="1"/>
        <v>802437.11999036826</v>
      </c>
      <c r="I21">
        <f t="shared" si="2"/>
        <v>864195.88408139988</v>
      </c>
      <c r="J21">
        <f t="shared" si="3"/>
        <v>2655821.7182592917</v>
      </c>
      <c r="K21">
        <f t="shared" si="4"/>
        <v>10045321.17115088</v>
      </c>
    </row>
    <row r="22" spans="1:11" x14ac:dyDescent="0.25">
      <c r="A22" s="17">
        <v>39326</v>
      </c>
      <c r="B22" s="18">
        <f>'Monthly Data'!B22</f>
        <v>9937765.4600000009</v>
      </c>
      <c r="C22">
        <f t="shared" ref="C22:D22" si="12">C10</f>
        <v>183.58500000000001</v>
      </c>
      <c r="D22">
        <f t="shared" si="12"/>
        <v>3.88</v>
      </c>
      <c r="E22">
        <v>19</v>
      </c>
      <c r="G22">
        <f t="shared" si="0"/>
        <v>5722866.4488198198</v>
      </c>
      <c r="H22">
        <f t="shared" si="1"/>
        <v>1737415.0097114253</v>
      </c>
      <c r="I22">
        <f t="shared" si="2"/>
        <v>261857.08943661317</v>
      </c>
      <c r="J22">
        <f t="shared" si="3"/>
        <v>2293664.2112239338</v>
      </c>
      <c r="K22">
        <f t="shared" si="4"/>
        <v>10015802.759191792</v>
      </c>
    </row>
    <row r="23" spans="1:11" x14ac:dyDescent="0.25">
      <c r="A23" s="17">
        <v>39356</v>
      </c>
      <c r="B23" s="18">
        <f>'Monthly Data'!B23</f>
        <v>11018147.890000001</v>
      </c>
      <c r="C23">
        <f t="shared" ref="C23:D23" si="13">C11</f>
        <v>380.13499999999999</v>
      </c>
      <c r="D23">
        <f t="shared" si="13"/>
        <v>0.18</v>
      </c>
      <c r="E23">
        <v>22</v>
      </c>
      <c r="G23">
        <f t="shared" si="0"/>
        <v>5722866.4488198198</v>
      </c>
      <c r="H23">
        <f t="shared" si="1"/>
        <v>3597528.4185344805</v>
      </c>
      <c r="I23">
        <f t="shared" si="2"/>
        <v>12148.009303760404</v>
      </c>
      <c r="J23">
        <f t="shared" si="3"/>
        <v>2655821.7182592917</v>
      </c>
      <c r="K23">
        <f t="shared" si="4"/>
        <v>11988364.594917351</v>
      </c>
    </row>
    <row r="24" spans="1:11" x14ac:dyDescent="0.25">
      <c r="A24" s="17">
        <v>39387</v>
      </c>
      <c r="B24" s="18">
        <f>'Monthly Data'!B24</f>
        <v>13301022.960000001</v>
      </c>
      <c r="C24">
        <f t="shared" ref="C24:D24" si="14">C12</f>
        <v>574.01</v>
      </c>
      <c r="D24">
        <f t="shared" si="14"/>
        <v>0</v>
      </c>
      <c r="E24">
        <v>22</v>
      </c>
      <c r="G24">
        <f t="shared" si="0"/>
        <v>5722866.4488198198</v>
      </c>
      <c r="H24">
        <f t="shared" si="1"/>
        <v>5432326.1144671692</v>
      </c>
      <c r="I24">
        <f t="shared" si="2"/>
        <v>0</v>
      </c>
      <c r="J24">
        <f t="shared" si="3"/>
        <v>2655821.7182592917</v>
      </c>
      <c r="K24">
        <f t="shared" si="4"/>
        <v>13811014.281546282</v>
      </c>
    </row>
    <row r="25" spans="1:11" x14ac:dyDescent="0.25">
      <c r="A25" s="17">
        <v>39417</v>
      </c>
      <c r="B25" s="18">
        <f>'Monthly Data'!B25</f>
        <v>16610853.84</v>
      </c>
      <c r="C25">
        <f t="shared" ref="C25:D25" si="15">C13</f>
        <v>822.67</v>
      </c>
      <c r="D25">
        <f t="shared" si="15"/>
        <v>0</v>
      </c>
      <c r="E25">
        <v>19</v>
      </c>
      <c r="G25">
        <f t="shared" si="0"/>
        <v>5722866.4488198198</v>
      </c>
      <c r="H25">
        <f t="shared" si="1"/>
        <v>7785599.0742124794</v>
      </c>
      <c r="I25">
        <f t="shared" si="2"/>
        <v>0</v>
      </c>
      <c r="J25">
        <f t="shared" si="3"/>
        <v>2293664.2112239338</v>
      </c>
      <c r="K25">
        <f t="shared" si="4"/>
        <v>15802129.734256234</v>
      </c>
    </row>
    <row r="26" spans="1:11" x14ac:dyDescent="0.25">
      <c r="A26" s="17">
        <v>39448</v>
      </c>
      <c r="B26" s="18">
        <f>'Monthly Data'!B26</f>
        <v>16747623.760000002</v>
      </c>
      <c r="C26">
        <f t="shared" ref="C26:D26" si="16">C14</f>
        <v>975.55</v>
      </c>
      <c r="D26">
        <f t="shared" si="16"/>
        <v>0</v>
      </c>
      <c r="E26">
        <v>22</v>
      </c>
      <c r="G26">
        <f t="shared" si="0"/>
        <v>5722866.4488198198</v>
      </c>
      <c r="H26">
        <f t="shared" si="1"/>
        <v>9232427.5552141014</v>
      </c>
      <c r="I26">
        <f t="shared" si="2"/>
        <v>0</v>
      </c>
      <c r="J26">
        <f t="shared" si="3"/>
        <v>2655821.7182592917</v>
      </c>
      <c r="K26">
        <f t="shared" si="4"/>
        <v>17611115.722293213</v>
      </c>
    </row>
    <row r="27" spans="1:11" x14ac:dyDescent="0.25">
      <c r="A27" s="17">
        <v>39479</v>
      </c>
      <c r="B27" s="18">
        <f>'Monthly Data'!B27</f>
        <v>16220989.899999999</v>
      </c>
      <c r="C27">
        <f t="shared" ref="C27:D27" si="17">C15</f>
        <v>828.66499999999996</v>
      </c>
      <c r="D27">
        <f t="shared" si="17"/>
        <v>0</v>
      </c>
      <c r="E27">
        <v>20</v>
      </c>
      <c r="G27">
        <f t="shared" si="0"/>
        <v>5722866.4488198198</v>
      </c>
      <c r="H27">
        <f t="shared" si="1"/>
        <v>7842334.6625406109</v>
      </c>
      <c r="I27">
        <f t="shared" si="2"/>
        <v>0</v>
      </c>
      <c r="J27">
        <f t="shared" si="3"/>
        <v>2414383.38023572</v>
      </c>
      <c r="K27">
        <f t="shared" si="4"/>
        <v>15979584.491596151</v>
      </c>
    </row>
    <row r="28" spans="1:11" x14ac:dyDescent="0.25">
      <c r="A28" s="17">
        <v>39508</v>
      </c>
      <c r="B28" s="18">
        <f>'Monthly Data'!B28</f>
        <v>16185519.129999999</v>
      </c>
      <c r="C28">
        <f t="shared" ref="C28:D28" si="18">C16</f>
        <v>739.38499999999999</v>
      </c>
      <c r="D28">
        <f t="shared" si="18"/>
        <v>0</v>
      </c>
      <c r="E28">
        <v>19</v>
      </c>
      <c r="G28">
        <f t="shared" si="0"/>
        <v>5722866.4488198198</v>
      </c>
      <c r="H28">
        <f t="shared" si="1"/>
        <v>6997405.0001660381</v>
      </c>
      <c r="I28">
        <f t="shared" si="2"/>
        <v>0</v>
      </c>
      <c r="J28">
        <f t="shared" si="3"/>
        <v>2293664.2112239338</v>
      </c>
      <c r="K28">
        <f t="shared" si="4"/>
        <v>15013935.660209792</v>
      </c>
    </row>
    <row r="29" spans="1:11" x14ac:dyDescent="0.25">
      <c r="A29" s="17">
        <v>39539</v>
      </c>
      <c r="B29" s="18">
        <f>'Monthly Data'!B29</f>
        <v>12384878.220000001</v>
      </c>
      <c r="C29">
        <f t="shared" ref="C29:D29" si="19">C17</f>
        <v>493.09500000000003</v>
      </c>
      <c r="D29">
        <f t="shared" si="19"/>
        <v>0</v>
      </c>
      <c r="E29">
        <v>22</v>
      </c>
      <c r="G29">
        <f t="shared" si="0"/>
        <v>5722866.4488198198</v>
      </c>
      <c r="H29">
        <f t="shared" si="1"/>
        <v>4666561.2888506977</v>
      </c>
      <c r="I29">
        <f t="shared" si="2"/>
        <v>0</v>
      </c>
      <c r="J29">
        <f t="shared" si="3"/>
        <v>2655821.7182592917</v>
      </c>
      <c r="K29">
        <f t="shared" si="4"/>
        <v>13045249.45592981</v>
      </c>
    </row>
    <row r="30" spans="1:11" x14ac:dyDescent="0.25">
      <c r="A30" s="17">
        <v>39569</v>
      </c>
      <c r="B30" s="18">
        <f>'Monthly Data'!B30</f>
        <v>11570573.57</v>
      </c>
      <c r="C30">
        <f t="shared" ref="C30:D30" si="20">C18</f>
        <v>303.91500000000002</v>
      </c>
      <c r="D30">
        <f t="shared" si="20"/>
        <v>1.4950000000000001</v>
      </c>
      <c r="E30">
        <v>21</v>
      </c>
      <c r="G30">
        <f t="shared" si="0"/>
        <v>5722866.4488198198</v>
      </c>
      <c r="H30">
        <f t="shared" si="1"/>
        <v>2876196.2179723172</v>
      </c>
      <c r="I30">
        <f t="shared" si="2"/>
        <v>100895.96616178782</v>
      </c>
      <c r="J30">
        <f t="shared" si="3"/>
        <v>2535102.5492475061</v>
      </c>
      <c r="K30">
        <f t="shared" si="4"/>
        <v>11235061.18220143</v>
      </c>
    </row>
    <row r="31" spans="1:11" x14ac:dyDescent="0.25">
      <c r="A31" s="17">
        <v>39600</v>
      </c>
      <c r="B31" s="18">
        <f>'Monthly Data'!B31</f>
        <v>10031531.33</v>
      </c>
      <c r="C31">
        <f t="shared" ref="C31:D31" si="21">C19</f>
        <v>141.69</v>
      </c>
      <c r="D31">
        <f t="shared" si="21"/>
        <v>7.27</v>
      </c>
      <c r="E31">
        <v>21</v>
      </c>
      <c r="G31">
        <f t="shared" si="0"/>
        <v>5722866.4488198198</v>
      </c>
      <c r="H31">
        <f t="shared" si="1"/>
        <v>1340928.3586677115</v>
      </c>
      <c r="I31">
        <f t="shared" si="2"/>
        <v>490644.59799076745</v>
      </c>
      <c r="J31">
        <f t="shared" si="3"/>
        <v>2535102.5492475061</v>
      </c>
      <c r="K31">
        <f t="shared" si="4"/>
        <v>10089541.954725806</v>
      </c>
    </row>
    <row r="32" spans="1:11" x14ac:dyDescent="0.25">
      <c r="A32" s="17">
        <v>39630</v>
      </c>
      <c r="B32" s="18">
        <f>'Monthly Data'!B32</f>
        <v>10603201.34</v>
      </c>
      <c r="C32">
        <f t="shared" ref="C32:D32" si="22">C20</f>
        <v>87.87</v>
      </c>
      <c r="D32">
        <f t="shared" si="22"/>
        <v>12.025</v>
      </c>
      <c r="E32">
        <v>22</v>
      </c>
      <c r="G32">
        <f t="shared" si="0"/>
        <v>5722866.4488198198</v>
      </c>
      <c r="H32">
        <f t="shared" si="1"/>
        <v>831585.6791314265</v>
      </c>
      <c r="I32">
        <f t="shared" si="2"/>
        <v>811554.51043177152</v>
      </c>
      <c r="J32">
        <f t="shared" si="3"/>
        <v>2655821.7182592917</v>
      </c>
      <c r="K32">
        <f t="shared" si="4"/>
        <v>10021828.35664231</v>
      </c>
    </row>
    <row r="33" spans="1:11" x14ac:dyDescent="0.25">
      <c r="A33" s="17">
        <v>39661</v>
      </c>
      <c r="B33" s="18">
        <f>'Monthly Data'!B33</f>
        <v>10275407.85</v>
      </c>
      <c r="C33">
        <f t="shared" ref="C33:D33" si="23">C21</f>
        <v>84.79</v>
      </c>
      <c r="D33">
        <f t="shared" si="23"/>
        <v>12.805</v>
      </c>
      <c r="E33">
        <v>20</v>
      </c>
      <c r="G33">
        <f t="shared" si="0"/>
        <v>5722866.4488198198</v>
      </c>
      <c r="H33">
        <f t="shared" si="1"/>
        <v>802437.11999036826</v>
      </c>
      <c r="I33">
        <f t="shared" si="2"/>
        <v>864195.88408139988</v>
      </c>
      <c r="J33">
        <f t="shared" si="3"/>
        <v>2414383.38023572</v>
      </c>
      <c r="K33">
        <f t="shared" si="4"/>
        <v>9803882.8331273086</v>
      </c>
    </row>
    <row r="34" spans="1:11" x14ac:dyDescent="0.25">
      <c r="A34" s="17">
        <v>39692</v>
      </c>
      <c r="B34" s="18">
        <f>'Monthly Data'!B34</f>
        <v>9957791.7799999993</v>
      </c>
      <c r="C34">
        <f t="shared" ref="C34:D34" si="24">C22</f>
        <v>183.58500000000001</v>
      </c>
      <c r="D34">
        <f t="shared" si="24"/>
        <v>3.88</v>
      </c>
      <c r="E34">
        <v>21</v>
      </c>
      <c r="G34">
        <f t="shared" ref="G34:G65" si="25">const</f>
        <v>5722866.4488198198</v>
      </c>
      <c r="H34">
        <f t="shared" ref="H34:H65" si="26">MonthlyHDD*C34</f>
        <v>1737415.0097114253</v>
      </c>
      <c r="I34">
        <f t="shared" ref="I34:I65" si="27">MonthlyCDD*D34</f>
        <v>261857.08943661317</v>
      </c>
      <c r="J34">
        <f t="shared" ref="J34:J65" si="28">PeakDays*E34</f>
        <v>2535102.5492475061</v>
      </c>
      <c r="K34">
        <f t="shared" ref="K34:K65" si="29">SUM(G34:J34)</f>
        <v>10257241.097215366</v>
      </c>
    </row>
    <row r="35" spans="1:11" x14ac:dyDescent="0.25">
      <c r="A35" s="17">
        <v>39722</v>
      </c>
      <c r="B35" s="18">
        <f>'Monthly Data'!B35</f>
        <v>11903930.970000001</v>
      </c>
      <c r="C35">
        <f t="shared" ref="C35:D35" si="30">C23</f>
        <v>380.13499999999999</v>
      </c>
      <c r="D35">
        <f t="shared" si="30"/>
        <v>0.18</v>
      </c>
      <c r="E35">
        <v>22</v>
      </c>
      <c r="G35">
        <f t="shared" si="25"/>
        <v>5722866.4488198198</v>
      </c>
      <c r="H35">
        <f t="shared" si="26"/>
        <v>3597528.4185344805</v>
      </c>
      <c r="I35">
        <f t="shared" si="27"/>
        <v>12148.009303760404</v>
      </c>
      <c r="J35">
        <f t="shared" si="28"/>
        <v>2655821.7182592917</v>
      </c>
      <c r="K35">
        <f t="shared" si="29"/>
        <v>11988364.594917351</v>
      </c>
    </row>
    <row r="36" spans="1:11" x14ac:dyDescent="0.25">
      <c r="A36" s="17">
        <v>39753</v>
      </c>
      <c r="B36" s="18">
        <f>'Monthly Data'!B36</f>
        <v>13578501.350000001</v>
      </c>
      <c r="C36">
        <f t="shared" ref="C36:D36" si="31">C24</f>
        <v>574.01</v>
      </c>
      <c r="D36">
        <f t="shared" si="31"/>
        <v>0</v>
      </c>
      <c r="E36">
        <v>20</v>
      </c>
      <c r="G36">
        <f t="shared" si="25"/>
        <v>5722866.4488198198</v>
      </c>
      <c r="H36">
        <f t="shared" si="26"/>
        <v>5432326.1144671692</v>
      </c>
      <c r="I36">
        <f t="shared" si="27"/>
        <v>0</v>
      </c>
      <c r="J36">
        <f t="shared" si="28"/>
        <v>2414383.38023572</v>
      </c>
      <c r="K36">
        <f t="shared" si="29"/>
        <v>13569575.94352271</v>
      </c>
    </row>
    <row r="37" spans="1:11" x14ac:dyDescent="0.25">
      <c r="A37" s="17">
        <v>39783</v>
      </c>
      <c r="B37" s="18">
        <f>'Monthly Data'!B37</f>
        <v>18362207.48</v>
      </c>
      <c r="C37">
        <f t="shared" ref="C37:D37" si="32">C25</f>
        <v>822.67</v>
      </c>
      <c r="D37">
        <f t="shared" si="32"/>
        <v>0</v>
      </c>
      <c r="E37">
        <v>21</v>
      </c>
      <c r="G37">
        <f t="shared" si="25"/>
        <v>5722866.4488198198</v>
      </c>
      <c r="H37">
        <f t="shared" si="26"/>
        <v>7785599.0742124794</v>
      </c>
      <c r="I37">
        <f t="shared" si="27"/>
        <v>0</v>
      </c>
      <c r="J37">
        <f t="shared" si="28"/>
        <v>2535102.5492475061</v>
      </c>
      <c r="K37">
        <f t="shared" si="29"/>
        <v>16043568.072279807</v>
      </c>
    </row>
    <row r="38" spans="1:11" x14ac:dyDescent="0.25">
      <c r="A38" s="17">
        <v>39814</v>
      </c>
      <c r="B38" s="18">
        <f>'Monthly Data'!B38</f>
        <v>18881349</v>
      </c>
      <c r="C38">
        <f t="shared" ref="C38:D38" si="33">C26</f>
        <v>975.55</v>
      </c>
      <c r="D38">
        <f t="shared" si="33"/>
        <v>0</v>
      </c>
      <c r="E38">
        <v>21</v>
      </c>
      <c r="G38">
        <f t="shared" si="25"/>
        <v>5722866.4488198198</v>
      </c>
      <c r="H38">
        <f t="shared" si="26"/>
        <v>9232427.5552141014</v>
      </c>
      <c r="I38">
        <f t="shared" si="27"/>
        <v>0</v>
      </c>
      <c r="J38">
        <f t="shared" si="28"/>
        <v>2535102.5492475061</v>
      </c>
      <c r="K38">
        <f t="shared" si="29"/>
        <v>17490396.553281426</v>
      </c>
    </row>
    <row r="39" spans="1:11" x14ac:dyDescent="0.25">
      <c r="A39" s="17">
        <v>39845</v>
      </c>
      <c r="B39" s="18">
        <f>'Monthly Data'!B39</f>
        <v>15951302.32</v>
      </c>
      <c r="C39">
        <f t="shared" ref="C39:D39" si="34">C27</f>
        <v>828.66499999999996</v>
      </c>
      <c r="D39">
        <f t="shared" si="34"/>
        <v>0</v>
      </c>
      <c r="E39">
        <v>19</v>
      </c>
      <c r="G39">
        <f t="shared" si="25"/>
        <v>5722866.4488198198</v>
      </c>
      <c r="H39">
        <f t="shared" si="26"/>
        <v>7842334.6625406109</v>
      </c>
      <c r="I39">
        <f t="shared" si="27"/>
        <v>0</v>
      </c>
      <c r="J39">
        <f t="shared" si="28"/>
        <v>2293664.2112239338</v>
      </c>
      <c r="K39">
        <f t="shared" si="29"/>
        <v>15858865.322584365</v>
      </c>
    </row>
    <row r="40" spans="1:11" x14ac:dyDescent="0.25">
      <c r="A40" s="17">
        <v>39873</v>
      </c>
      <c r="B40" s="18">
        <f>'Monthly Data'!B40</f>
        <v>15986795.57</v>
      </c>
      <c r="C40">
        <f t="shared" ref="C40:D40" si="35">C28</f>
        <v>739.38499999999999</v>
      </c>
      <c r="D40">
        <f t="shared" si="35"/>
        <v>0</v>
      </c>
      <c r="E40">
        <v>22</v>
      </c>
      <c r="G40">
        <f t="shared" si="25"/>
        <v>5722866.4488198198</v>
      </c>
      <c r="H40">
        <f t="shared" si="26"/>
        <v>6997405.0001660381</v>
      </c>
      <c r="I40">
        <f t="shared" si="27"/>
        <v>0</v>
      </c>
      <c r="J40">
        <f t="shared" si="28"/>
        <v>2655821.7182592917</v>
      </c>
      <c r="K40">
        <f t="shared" si="29"/>
        <v>15376093.16724515</v>
      </c>
    </row>
    <row r="41" spans="1:11" x14ac:dyDescent="0.25">
      <c r="A41" s="17">
        <v>39904</v>
      </c>
      <c r="B41" s="18">
        <f>'Monthly Data'!B41</f>
        <v>12817613.51</v>
      </c>
      <c r="C41">
        <f t="shared" ref="C41:D41" si="36">C29</f>
        <v>493.09500000000003</v>
      </c>
      <c r="D41">
        <f t="shared" si="36"/>
        <v>0</v>
      </c>
      <c r="E41">
        <v>20</v>
      </c>
      <c r="G41">
        <f t="shared" si="25"/>
        <v>5722866.4488198198</v>
      </c>
      <c r="H41">
        <f t="shared" si="26"/>
        <v>4666561.2888506977</v>
      </c>
      <c r="I41">
        <f t="shared" si="27"/>
        <v>0</v>
      </c>
      <c r="J41">
        <f t="shared" si="28"/>
        <v>2414383.38023572</v>
      </c>
      <c r="K41">
        <f t="shared" si="29"/>
        <v>12803811.117906239</v>
      </c>
    </row>
    <row r="42" spans="1:11" x14ac:dyDescent="0.25">
      <c r="A42" s="17">
        <v>39934</v>
      </c>
      <c r="B42" s="18">
        <f>'Monthly Data'!B42</f>
        <v>11557935.369999999</v>
      </c>
      <c r="C42">
        <f t="shared" ref="C42:D42" si="37">C30</f>
        <v>303.91500000000002</v>
      </c>
      <c r="D42">
        <f t="shared" si="37"/>
        <v>1.4950000000000001</v>
      </c>
      <c r="E42">
        <v>20</v>
      </c>
      <c r="G42">
        <f t="shared" si="25"/>
        <v>5722866.4488198198</v>
      </c>
      <c r="H42">
        <f t="shared" si="26"/>
        <v>2876196.2179723172</v>
      </c>
      <c r="I42">
        <f t="shared" si="27"/>
        <v>100895.96616178782</v>
      </c>
      <c r="J42">
        <f t="shared" si="28"/>
        <v>2414383.38023572</v>
      </c>
      <c r="K42">
        <f t="shared" si="29"/>
        <v>11114342.013189645</v>
      </c>
    </row>
    <row r="43" spans="1:11" x14ac:dyDescent="0.25">
      <c r="A43" s="17">
        <v>39965</v>
      </c>
      <c r="B43" s="18">
        <f>'Monthly Data'!B43</f>
        <v>10386431.49</v>
      </c>
      <c r="C43">
        <f t="shared" ref="C43:D43" si="38">C31</f>
        <v>141.69</v>
      </c>
      <c r="D43">
        <f t="shared" si="38"/>
        <v>7.27</v>
      </c>
      <c r="E43">
        <v>22</v>
      </c>
      <c r="G43">
        <f t="shared" si="25"/>
        <v>5722866.4488198198</v>
      </c>
      <c r="H43">
        <f t="shared" si="26"/>
        <v>1340928.3586677115</v>
      </c>
      <c r="I43">
        <f t="shared" si="27"/>
        <v>490644.59799076745</v>
      </c>
      <c r="J43">
        <f t="shared" si="28"/>
        <v>2655821.7182592917</v>
      </c>
      <c r="K43">
        <f t="shared" si="29"/>
        <v>10210261.12373759</v>
      </c>
    </row>
    <row r="44" spans="1:11" x14ac:dyDescent="0.25">
      <c r="A44" s="17">
        <v>39995</v>
      </c>
      <c r="B44" s="18">
        <f>'Monthly Data'!B44</f>
        <v>10790837.5</v>
      </c>
      <c r="C44">
        <f t="shared" ref="C44:D44" si="39">C32</f>
        <v>87.87</v>
      </c>
      <c r="D44">
        <f t="shared" si="39"/>
        <v>12.025</v>
      </c>
      <c r="E44">
        <v>22</v>
      </c>
      <c r="G44">
        <f t="shared" si="25"/>
        <v>5722866.4488198198</v>
      </c>
      <c r="H44">
        <f t="shared" si="26"/>
        <v>831585.6791314265</v>
      </c>
      <c r="I44">
        <f t="shared" si="27"/>
        <v>811554.51043177152</v>
      </c>
      <c r="J44">
        <f t="shared" si="28"/>
        <v>2655821.7182592917</v>
      </c>
      <c r="K44">
        <f t="shared" si="29"/>
        <v>10021828.35664231</v>
      </c>
    </row>
    <row r="45" spans="1:11" x14ac:dyDescent="0.25">
      <c r="A45" s="17">
        <v>40026</v>
      </c>
      <c r="B45" s="18">
        <f>'Monthly Data'!B45</f>
        <v>11118670.27</v>
      </c>
      <c r="C45">
        <f t="shared" ref="C45:D45" si="40">C33</f>
        <v>84.79</v>
      </c>
      <c r="D45">
        <f t="shared" si="40"/>
        <v>12.805</v>
      </c>
      <c r="E45">
        <v>20</v>
      </c>
      <c r="G45">
        <f t="shared" si="25"/>
        <v>5722866.4488198198</v>
      </c>
      <c r="H45">
        <f t="shared" si="26"/>
        <v>802437.11999036826</v>
      </c>
      <c r="I45">
        <f t="shared" si="27"/>
        <v>864195.88408139988</v>
      </c>
      <c r="J45">
        <f t="shared" si="28"/>
        <v>2414383.38023572</v>
      </c>
      <c r="K45">
        <f t="shared" si="29"/>
        <v>9803882.8331273086</v>
      </c>
    </row>
    <row r="46" spans="1:11" x14ac:dyDescent="0.25">
      <c r="A46" s="17">
        <v>40057</v>
      </c>
      <c r="B46" s="18">
        <f>'Monthly Data'!B46</f>
        <v>10133781.59</v>
      </c>
      <c r="C46">
        <f t="shared" ref="C46:D46" si="41">C34</f>
        <v>183.58500000000001</v>
      </c>
      <c r="D46">
        <f t="shared" si="41"/>
        <v>3.88</v>
      </c>
      <c r="E46">
        <v>21</v>
      </c>
      <c r="G46">
        <f t="shared" si="25"/>
        <v>5722866.4488198198</v>
      </c>
      <c r="H46">
        <f t="shared" si="26"/>
        <v>1737415.0097114253</v>
      </c>
      <c r="I46">
        <f t="shared" si="27"/>
        <v>261857.08943661317</v>
      </c>
      <c r="J46">
        <f t="shared" si="28"/>
        <v>2535102.5492475061</v>
      </c>
      <c r="K46">
        <f t="shared" si="29"/>
        <v>10257241.097215366</v>
      </c>
    </row>
    <row r="47" spans="1:11" x14ac:dyDescent="0.25">
      <c r="A47" s="17">
        <v>40087</v>
      </c>
      <c r="B47" s="18">
        <f>'Monthly Data'!B47</f>
        <v>13000847.74</v>
      </c>
      <c r="C47">
        <f t="shared" ref="C47:D47" si="42">C35</f>
        <v>380.13499999999999</v>
      </c>
      <c r="D47">
        <f t="shared" si="42"/>
        <v>0.18</v>
      </c>
      <c r="E47">
        <v>21</v>
      </c>
      <c r="G47">
        <f t="shared" si="25"/>
        <v>5722866.4488198198</v>
      </c>
      <c r="H47">
        <f t="shared" si="26"/>
        <v>3597528.4185344805</v>
      </c>
      <c r="I47">
        <f t="shared" si="27"/>
        <v>12148.009303760404</v>
      </c>
      <c r="J47">
        <f t="shared" si="28"/>
        <v>2535102.5492475061</v>
      </c>
      <c r="K47">
        <f t="shared" si="29"/>
        <v>11867645.425905567</v>
      </c>
    </row>
    <row r="48" spans="1:11" x14ac:dyDescent="0.25">
      <c r="A48" s="17">
        <v>40118</v>
      </c>
      <c r="B48" s="18">
        <f>'Monthly Data'!B48</f>
        <v>12805137.380000001</v>
      </c>
      <c r="C48">
        <f t="shared" ref="C48:D48" si="43">C36</f>
        <v>574.01</v>
      </c>
      <c r="D48">
        <f t="shared" si="43"/>
        <v>0</v>
      </c>
      <c r="E48">
        <v>21</v>
      </c>
      <c r="G48">
        <f t="shared" si="25"/>
        <v>5722866.4488198198</v>
      </c>
      <c r="H48">
        <f t="shared" si="26"/>
        <v>5432326.1144671692</v>
      </c>
      <c r="I48">
        <f t="shared" si="27"/>
        <v>0</v>
      </c>
      <c r="J48">
        <f t="shared" si="28"/>
        <v>2535102.5492475061</v>
      </c>
      <c r="K48">
        <f t="shared" si="29"/>
        <v>13690295.112534497</v>
      </c>
    </row>
    <row r="49" spans="1:11" x14ac:dyDescent="0.25">
      <c r="A49" s="17">
        <v>40148</v>
      </c>
      <c r="B49" s="18">
        <f>'Monthly Data'!B49</f>
        <v>17322151.559999999</v>
      </c>
      <c r="C49">
        <f t="shared" ref="C49:D49" si="44">C37</f>
        <v>822.67</v>
      </c>
      <c r="D49">
        <f t="shared" si="44"/>
        <v>0</v>
      </c>
      <c r="E49">
        <v>21</v>
      </c>
      <c r="G49">
        <f t="shared" si="25"/>
        <v>5722866.4488198198</v>
      </c>
      <c r="H49">
        <f t="shared" si="26"/>
        <v>7785599.0742124794</v>
      </c>
      <c r="I49">
        <f t="shared" si="27"/>
        <v>0</v>
      </c>
      <c r="J49">
        <f t="shared" si="28"/>
        <v>2535102.5492475061</v>
      </c>
      <c r="K49">
        <f t="shared" si="29"/>
        <v>16043568.072279807</v>
      </c>
    </row>
    <row r="50" spans="1:11" x14ac:dyDescent="0.25">
      <c r="A50" s="17">
        <v>40179</v>
      </c>
      <c r="B50" s="18">
        <f>'Monthly Data'!B50</f>
        <v>17283128.699999999</v>
      </c>
      <c r="C50">
        <f t="shared" ref="C50:D50" si="45">C38</f>
        <v>975.55</v>
      </c>
      <c r="D50">
        <f t="shared" si="45"/>
        <v>0</v>
      </c>
      <c r="E50">
        <v>20</v>
      </c>
      <c r="G50">
        <f t="shared" si="25"/>
        <v>5722866.4488198198</v>
      </c>
      <c r="H50">
        <f t="shared" si="26"/>
        <v>9232427.5552141014</v>
      </c>
      <c r="I50">
        <f t="shared" si="27"/>
        <v>0</v>
      </c>
      <c r="J50">
        <f t="shared" si="28"/>
        <v>2414383.38023572</v>
      </c>
      <c r="K50">
        <f t="shared" si="29"/>
        <v>17369677.38426964</v>
      </c>
    </row>
    <row r="51" spans="1:11" x14ac:dyDescent="0.25">
      <c r="A51" s="17">
        <v>40210</v>
      </c>
      <c r="B51" s="18">
        <f>'Monthly Data'!B51</f>
        <v>14874695.649999999</v>
      </c>
      <c r="C51">
        <f t="shared" ref="C51:D51" si="46">C39</f>
        <v>828.66499999999996</v>
      </c>
      <c r="D51">
        <f t="shared" si="46"/>
        <v>0</v>
      </c>
      <c r="E51">
        <v>19</v>
      </c>
      <c r="G51">
        <f t="shared" si="25"/>
        <v>5722866.4488198198</v>
      </c>
      <c r="H51">
        <f t="shared" si="26"/>
        <v>7842334.6625406109</v>
      </c>
      <c r="I51">
        <f t="shared" si="27"/>
        <v>0</v>
      </c>
      <c r="J51">
        <f t="shared" si="28"/>
        <v>2293664.2112239338</v>
      </c>
      <c r="K51">
        <f t="shared" si="29"/>
        <v>15858865.322584365</v>
      </c>
    </row>
    <row r="52" spans="1:11" x14ac:dyDescent="0.25">
      <c r="A52" s="17">
        <v>40238</v>
      </c>
      <c r="B52" s="18">
        <f>'Monthly Data'!B52</f>
        <v>13997010.93</v>
      </c>
      <c r="C52">
        <f t="shared" ref="C52:D52" si="47">C40</f>
        <v>739.38499999999999</v>
      </c>
      <c r="D52">
        <f t="shared" si="47"/>
        <v>0</v>
      </c>
      <c r="E52">
        <v>23</v>
      </c>
      <c r="G52">
        <f t="shared" si="25"/>
        <v>5722866.4488198198</v>
      </c>
      <c r="H52">
        <f t="shared" si="26"/>
        <v>6997405.0001660381</v>
      </c>
      <c r="I52">
        <f t="shared" si="27"/>
        <v>0</v>
      </c>
      <c r="J52">
        <f t="shared" si="28"/>
        <v>2776540.8872710778</v>
      </c>
      <c r="K52">
        <f t="shared" si="29"/>
        <v>15496812.336256936</v>
      </c>
    </row>
    <row r="53" spans="1:11" x14ac:dyDescent="0.25">
      <c r="A53" s="17">
        <v>40269</v>
      </c>
      <c r="B53" s="18">
        <f>'Monthly Data'!B53</f>
        <v>10847949.960000001</v>
      </c>
      <c r="C53">
        <f t="shared" ref="C53:D53" si="48">C41</f>
        <v>493.09500000000003</v>
      </c>
      <c r="D53">
        <f t="shared" si="48"/>
        <v>0</v>
      </c>
      <c r="E53">
        <v>20</v>
      </c>
      <c r="G53">
        <f t="shared" si="25"/>
        <v>5722866.4488198198</v>
      </c>
      <c r="H53">
        <f t="shared" si="26"/>
        <v>4666561.2888506977</v>
      </c>
      <c r="I53">
        <f t="shared" si="27"/>
        <v>0</v>
      </c>
      <c r="J53">
        <f t="shared" si="28"/>
        <v>2414383.38023572</v>
      </c>
      <c r="K53">
        <f t="shared" si="29"/>
        <v>12803811.117906239</v>
      </c>
    </row>
    <row r="54" spans="1:11" x14ac:dyDescent="0.25">
      <c r="A54" s="17">
        <v>40299</v>
      </c>
      <c r="B54" s="18">
        <f>'Monthly Data'!B54</f>
        <v>10080566.119999999</v>
      </c>
      <c r="C54">
        <f t="shared" ref="C54:D54" si="49">C42</f>
        <v>303.91500000000002</v>
      </c>
      <c r="D54">
        <f t="shared" si="49"/>
        <v>1.4950000000000001</v>
      </c>
      <c r="E54">
        <v>20</v>
      </c>
      <c r="G54">
        <f t="shared" si="25"/>
        <v>5722866.4488198198</v>
      </c>
      <c r="H54">
        <f t="shared" si="26"/>
        <v>2876196.2179723172</v>
      </c>
      <c r="I54">
        <f t="shared" si="27"/>
        <v>100895.96616178782</v>
      </c>
      <c r="J54">
        <f t="shared" si="28"/>
        <v>2414383.38023572</v>
      </c>
      <c r="K54">
        <f t="shared" si="29"/>
        <v>11114342.013189645</v>
      </c>
    </row>
    <row r="55" spans="1:11" x14ac:dyDescent="0.25">
      <c r="A55" s="17">
        <v>40330</v>
      </c>
      <c r="B55" s="18">
        <f>'Monthly Data'!B55</f>
        <v>9283863.4100000001</v>
      </c>
      <c r="C55">
        <f t="shared" ref="C55:D55" si="50">C43</f>
        <v>141.69</v>
      </c>
      <c r="D55">
        <f t="shared" si="50"/>
        <v>7.27</v>
      </c>
      <c r="E55">
        <v>22</v>
      </c>
      <c r="G55">
        <f t="shared" si="25"/>
        <v>5722866.4488198198</v>
      </c>
      <c r="H55">
        <f t="shared" si="26"/>
        <v>1340928.3586677115</v>
      </c>
      <c r="I55">
        <f t="shared" si="27"/>
        <v>490644.59799076745</v>
      </c>
      <c r="J55">
        <f t="shared" si="28"/>
        <v>2655821.7182592917</v>
      </c>
      <c r="K55">
        <f t="shared" si="29"/>
        <v>10210261.12373759</v>
      </c>
    </row>
    <row r="56" spans="1:11" x14ac:dyDescent="0.25">
      <c r="A56" s="17">
        <v>40360</v>
      </c>
      <c r="B56" s="18">
        <f>'Monthly Data'!B56</f>
        <v>10277037.66</v>
      </c>
      <c r="C56">
        <f t="shared" ref="C56:D56" si="51">C44</f>
        <v>87.87</v>
      </c>
      <c r="D56">
        <f t="shared" si="51"/>
        <v>12.025</v>
      </c>
      <c r="E56">
        <v>21</v>
      </c>
      <c r="G56">
        <f t="shared" si="25"/>
        <v>5722866.4488198198</v>
      </c>
      <c r="H56">
        <f t="shared" si="26"/>
        <v>831585.6791314265</v>
      </c>
      <c r="I56">
        <f t="shared" si="27"/>
        <v>811554.51043177152</v>
      </c>
      <c r="J56">
        <f t="shared" si="28"/>
        <v>2535102.5492475061</v>
      </c>
      <c r="K56">
        <f t="shared" si="29"/>
        <v>9901109.187630523</v>
      </c>
    </row>
    <row r="57" spans="1:11" x14ac:dyDescent="0.25">
      <c r="A57" s="17">
        <v>40391</v>
      </c>
      <c r="B57" s="18">
        <f>'Monthly Data'!B57</f>
        <v>10298675.939999999</v>
      </c>
      <c r="C57">
        <f t="shared" ref="C57:D57" si="52">C45</f>
        <v>84.79</v>
      </c>
      <c r="D57">
        <f t="shared" si="52"/>
        <v>12.805</v>
      </c>
      <c r="E57">
        <v>21</v>
      </c>
      <c r="G57">
        <f t="shared" si="25"/>
        <v>5722866.4488198198</v>
      </c>
      <c r="H57">
        <f t="shared" si="26"/>
        <v>802437.11999036826</v>
      </c>
      <c r="I57">
        <f t="shared" si="27"/>
        <v>864195.88408139988</v>
      </c>
      <c r="J57">
        <f t="shared" si="28"/>
        <v>2535102.5492475061</v>
      </c>
      <c r="K57">
        <f t="shared" si="29"/>
        <v>9924602.0021390952</v>
      </c>
    </row>
    <row r="58" spans="1:11" x14ac:dyDescent="0.25">
      <c r="A58" s="17">
        <v>40422</v>
      </c>
      <c r="B58" s="18">
        <f>'Monthly Data'!B58</f>
        <v>9789881.8000000007</v>
      </c>
      <c r="C58">
        <f t="shared" ref="C58:D58" si="53">C46</f>
        <v>183.58500000000001</v>
      </c>
      <c r="D58">
        <f t="shared" si="53"/>
        <v>3.88</v>
      </c>
      <c r="E58">
        <v>21</v>
      </c>
      <c r="G58">
        <f t="shared" si="25"/>
        <v>5722866.4488198198</v>
      </c>
      <c r="H58">
        <f t="shared" si="26"/>
        <v>1737415.0097114253</v>
      </c>
      <c r="I58">
        <f t="shared" si="27"/>
        <v>261857.08943661317</v>
      </c>
      <c r="J58">
        <f t="shared" si="28"/>
        <v>2535102.5492475061</v>
      </c>
      <c r="K58">
        <f t="shared" si="29"/>
        <v>10257241.097215366</v>
      </c>
    </row>
    <row r="59" spans="1:11" x14ac:dyDescent="0.25">
      <c r="A59" s="17">
        <v>40452</v>
      </c>
      <c r="B59" s="18">
        <f>'Monthly Data'!B59</f>
        <v>10854951.359999999</v>
      </c>
      <c r="C59">
        <f t="shared" ref="C59:D59" si="54">C47</f>
        <v>380.13499999999999</v>
      </c>
      <c r="D59">
        <f t="shared" si="54"/>
        <v>0.18</v>
      </c>
      <c r="E59">
        <v>20</v>
      </c>
      <c r="G59">
        <f t="shared" si="25"/>
        <v>5722866.4488198198</v>
      </c>
      <c r="H59">
        <f t="shared" si="26"/>
        <v>3597528.4185344805</v>
      </c>
      <c r="I59">
        <f t="shared" si="27"/>
        <v>12148.009303760404</v>
      </c>
      <c r="J59">
        <f t="shared" si="28"/>
        <v>2414383.38023572</v>
      </c>
      <c r="K59">
        <f t="shared" si="29"/>
        <v>11746926.25689378</v>
      </c>
    </row>
    <row r="60" spans="1:11" x14ac:dyDescent="0.25">
      <c r="A60" s="17">
        <v>40483</v>
      </c>
      <c r="B60" s="18">
        <f>'Monthly Data'!B60</f>
        <v>12307817.600000001</v>
      </c>
      <c r="C60">
        <f t="shared" ref="C60:D60" si="55">C48</f>
        <v>574.01</v>
      </c>
      <c r="D60">
        <f t="shared" si="55"/>
        <v>0</v>
      </c>
      <c r="E60">
        <v>22</v>
      </c>
      <c r="G60">
        <f t="shared" si="25"/>
        <v>5722866.4488198198</v>
      </c>
      <c r="H60">
        <f t="shared" si="26"/>
        <v>5432326.1144671692</v>
      </c>
      <c r="I60">
        <f t="shared" si="27"/>
        <v>0</v>
      </c>
      <c r="J60">
        <f t="shared" si="28"/>
        <v>2655821.7182592917</v>
      </c>
      <c r="K60">
        <f t="shared" si="29"/>
        <v>13811014.281546282</v>
      </c>
    </row>
    <row r="61" spans="1:11" x14ac:dyDescent="0.25">
      <c r="A61" s="17">
        <v>40513</v>
      </c>
      <c r="B61" s="18">
        <f>'Monthly Data'!B61</f>
        <v>16509634.079999998</v>
      </c>
      <c r="C61">
        <f t="shared" ref="C61:D61" si="56">C49</f>
        <v>822.67</v>
      </c>
      <c r="D61">
        <f t="shared" si="56"/>
        <v>0</v>
      </c>
      <c r="E61">
        <v>21</v>
      </c>
      <c r="G61">
        <f t="shared" si="25"/>
        <v>5722866.4488198198</v>
      </c>
      <c r="H61">
        <f t="shared" si="26"/>
        <v>7785599.0742124794</v>
      </c>
      <c r="I61">
        <f t="shared" si="27"/>
        <v>0</v>
      </c>
      <c r="J61">
        <f t="shared" si="28"/>
        <v>2535102.5492475061</v>
      </c>
      <c r="K61">
        <f t="shared" si="29"/>
        <v>16043568.072279807</v>
      </c>
    </row>
    <row r="62" spans="1:11" x14ac:dyDescent="0.25">
      <c r="A62" s="17">
        <v>40544</v>
      </c>
      <c r="B62" s="18">
        <f>'Monthly Data'!B62</f>
        <v>18210954.41</v>
      </c>
      <c r="C62">
        <f t="shared" ref="C62:D62" si="57">C50</f>
        <v>975.55</v>
      </c>
      <c r="D62">
        <f t="shared" si="57"/>
        <v>0</v>
      </c>
      <c r="E62">
        <v>20</v>
      </c>
      <c r="G62">
        <f t="shared" si="25"/>
        <v>5722866.4488198198</v>
      </c>
      <c r="H62">
        <f t="shared" si="26"/>
        <v>9232427.5552141014</v>
      </c>
      <c r="I62">
        <f t="shared" si="27"/>
        <v>0</v>
      </c>
      <c r="J62">
        <f t="shared" si="28"/>
        <v>2414383.38023572</v>
      </c>
      <c r="K62">
        <f t="shared" si="29"/>
        <v>17369677.38426964</v>
      </c>
    </row>
    <row r="63" spans="1:11" x14ac:dyDescent="0.25">
      <c r="A63" s="17">
        <v>40575</v>
      </c>
      <c r="B63" s="18">
        <f>'Monthly Data'!B63</f>
        <v>15275983.57</v>
      </c>
      <c r="C63">
        <f t="shared" ref="C63:D63" si="58">C51</f>
        <v>828.66499999999996</v>
      </c>
      <c r="D63">
        <f t="shared" si="58"/>
        <v>0</v>
      </c>
      <c r="E63">
        <v>19</v>
      </c>
      <c r="G63">
        <f t="shared" si="25"/>
        <v>5722866.4488198198</v>
      </c>
      <c r="H63">
        <f t="shared" si="26"/>
        <v>7842334.6625406109</v>
      </c>
      <c r="I63">
        <f t="shared" si="27"/>
        <v>0</v>
      </c>
      <c r="J63">
        <f t="shared" si="28"/>
        <v>2293664.2112239338</v>
      </c>
      <c r="K63">
        <f t="shared" si="29"/>
        <v>15858865.322584365</v>
      </c>
    </row>
    <row r="64" spans="1:11" x14ac:dyDescent="0.25">
      <c r="A64" s="17">
        <v>40603</v>
      </c>
      <c r="B64" s="18">
        <f>'Monthly Data'!B64</f>
        <v>14923502.969999999</v>
      </c>
      <c r="C64">
        <f t="shared" ref="C64:D64" si="59">C52</f>
        <v>739.38499999999999</v>
      </c>
      <c r="D64">
        <f t="shared" si="59"/>
        <v>0</v>
      </c>
      <c r="E64">
        <v>23</v>
      </c>
      <c r="G64">
        <f t="shared" si="25"/>
        <v>5722866.4488198198</v>
      </c>
      <c r="H64">
        <f t="shared" si="26"/>
        <v>6997405.0001660381</v>
      </c>
      <c r="I64">
        <f t="shared" si="27"/>
        <v>0</v>
      </c>
      <c r="J64">
        <f t="shared" si="28"/>
        <v>2776540.8872710778</v>
      </c>
      <c r="K64">
        <f t="shared" si="29"/>
        <v>15496812.336256936</v>
      </c>
    </row>
    <row r="65" spans="1:11" x14ac:dyDescent="0.25">
      <c r="A65" s="17">
        <v>40634</v>
      </c>
      <c r="B65" s="18">
        <f>'Monthly Data'!B65</f>
        <v>12118407.5</v>
      </c>
      <c r="C65">
        <f t="shared" ref="C65:D65" si="60">C53</f>
        <v>493.09500000000003</v>
      </c>
      <c r="D65">
        <f t="shared" si="60"/>
        <v>0</v>
      </c>
      <c r="E65">
        <v>19</v>
      </c>
      <c r="G65">
        <f t="shared" si="25"/>
        <v>5722866.4488198198</v>
      </c>
      <c r="H65">
        <f t="shared" si="26"/>
        <v>4666561.2888506977</v>
      </c>
      <c r="I65">
        <f t="shared" si="27"/>
        <v>0</v>
      </c>
      <c r="J65">
        <f t="shared" si="28"/>
        <v>2293664.2112239338</v>
      </c>
      <c r="K65">
        <f t="shared" si="29"/>
        <v>12683091.948894452</v>
      </c>
    </row>
    <row r="66" spans="1:11" x14ac:dyDescent="0.25">
      <c r="A66" s="17">
        <v>40664</v>
      </c>
      <c r="B66" s="18">
        <f>'Monthly Data'!B66</f>
        <v>10132000.65</v>
      </c>
      <c r="C66">
        <f t="shared" ref="C66:D66" si="61">C54</f>
        <v>303.91500000000002</v>
      </c>
      <c r="D66">
        <f t="shared" si="61"/>
        <v>1.4950000000000001</v>
      </c>
      <c r="E66">
        <v>21</v>
      </c>
      <c r="G66">
        <f t="shared" ref="G66:G97" si="62">const</f>
        <v>5722866.4488198198</v>
      </c>
      <c r="H66">
        <f t="shared" ref="H66:H97" si="63">MonthlyHDD*C66</f>
        <v>2876196.2179723172</v>
      </c>
      <c r="I66">
        <f t="shared" ref="I66:I97" si="64">MonthlyCDD*D66</f>
        <v>100895.96616178782</v>
      </c>
      <c r="J66">
        <f t="shared" ref="J66:J97" si="65">PeakDays*E66</f>
        <v>2535102.5492475061</v>
      </c>
      <c r="K66">
        <f t="shared" ref="K66:K97" si="66">SUM(G66:J66)</f>
        <v>11235061.18220143</v>
      </c>
    </row>
    <row r="67" spans="1:11" x14ac:dyDescent="0.25">
      <c r="A67" s="17">
        <v>40695</v>
      </c>
      <c r="B67" s="18">
        <f>'Monthly Data'!B67</f>
        <v>9032152.8599999994</v>
      </c>
      <c r="C67">
        <f t="shared" ref="C67:D67" si="67">C55</f>
        <v>141.69</v>
      </c>
      <c r="D67">
        <f t="shared" si="67"/>
        <v>7.27</v>
      </c>
      <c r="E67">
        <v>22</v>
      </c>
      <c r="G67">
        <f t="shared" si="62"/>
        <v>5722866.4488198198</v>
      </c>
      <c r="H67">
        <f t="shared" si="63"/>
        <v>1340928.3586677115</v>
      </c>
      <c r="I67">
        <f t="shared" si="64"/>
        <v>490644.59799076745</v>
      </c>
      <c r="J67">
        <f t="shared" si="65"/>
        <v>2655821.7182592917</v>
      </c>
      <c r="K67">
        <f t="shared" si="66"/>
        <v>10210261.12373759</v>
      </c>
    </row>
    <row r="68" spans="1:11" x14ac:dyDescent="0.25">
      <c r="A68" s="17">
        <v>40725</v>
      </c>
      <c r="B68" s="18">
        <f>'Monthly Data'!B68</f>
        <v>10244088.84</v>
      </c>
      <c r="C68">
        <f t="shared" ref="C68:D68" si="68">C56</f>
        <v>87.87</v>
      </c>
      <c r="D68">
        <f t="shared" si="68"/>
        <v>12.025</v>
      </c>
      <c r="E68">
        <v>20</v>
      </c>
      <c r="G68">
        <f t="shared" si="62"/>
        <v>5722866.4488198198</v>
      </c>
      <c r="H68">
        <f t="shared" si="63"/>
        <v>831585.6791314265</v>
      </c>
      <c r="I68">
        <f t="shared" si="64"/>
        <v>811554.51043177152</v>
      </c>
      <c r="J68">
        <f t="shared" si="65"/>
        <v>2414383.38023572</v>
      </c>
      <c r="K68">
        <f t="shared" si="66"/>
        <v>9780390.0186187383</v>
      </c>
    </row>
    <row r="69" spans="1:11" x14ac:dyDescent="0.25">
      <c r="A69" s="17">
        <v>40756</v>
      </c>
      <c r="B69" s="18">
        <f>'Monthly Data'!B69</f>
        <v>10453709.460000001</v>
      </c>
      <c r="C69">
        <f t="shared" ref="C69:D69" si="69">C57</f>
        <v>84.79</v>
      </c>
      <c r="D69">
        <f t="shared" si="69"/>
        <v>12.805</v>
      </c>
      <c r="E69">
        <v>22</v>
      </c>
      <c r="G69">
        <f t="shared" si="62"/>
        <v>5722866.4488198198</v>
      </c>
      <c r="H69">
        <f t="shared" si="63"/>
        <v>802437.11999036826</v>
      </c>
      <c r="I69">
        <f t="shared" si="64"/>
        <v>864195.88408139988</v>
      </c>
      <c r="J69">
        <f t="shared" si="65"/>
        <v>2655821.7182592917</v>
      </c>
      <c r="K69">
        <f t="shared" si="66"/>
        <v>10045321.17115088</v>
      </c>
    </row>
    <row r="70" spans="1:11" x14ac:dyDescent="0.25">
      <c r="A70" s="17">
        <v>40787</v>
      </c>
      <c r="B70" s="18">
        <f>'Monthly Data'!B70</f>
        <v>9912883.3800000008</v>
      </c>
      <c r="C70">
        <f t="shared" ref="C70:D70" si="70">C58</f>
        <v>183.58500000000001</v>
      </c>
      <c r="D70">
        <f t="shared" si="70"/>
        <v>3.88</v>
      </c>
      <c r="E70">
        <v>21</v>
      </c>
      <c r="G70">
        <f t="shared" si="62"/>
        <v>5722866.4488198198</v>
      </c>
      <c r="H70">
        <f t="shared" si="63"/>
        <v>1737415.0097114253</v>
      </c>
      <c r="I70">
        <f t="shared" si="64"/>
        <v>261857.08943661317</v>
      </c>
      <c r="J70">
        <f t="shared" si="65"/>
        <v>2535102.5492475061</v>
      </c>
      <c r="K70">
        <f t="shared" si="66"/>
        <v>10257241.097215366</v>
      </c>
    </row>
    <row r="71" spans="1:11" x14ac:dyDescent="0.25">
      <c r="A71" s="17">
        <v>40817</v>
      </c>
      <c r="B71" s="18">
        <f>'Monthly Data'!B71</f>
        <v>10981342.77</v>
      </c>
      <c r="C71">
        <f t="shared" ref="C71:D71" si="71">C59</f>
        <v>380.13499999999999</v>
      </c>
      <c r="D71">
        <f t="shared" si="71"/>
        <v>0.18</v>
      </c>
      <c r="E71">
        <v>20</v>
      </c>
      <c r="G71">
        <f t="shared" si="62"/>
        <v>5722866.4488198198</v>
      </c>
      <c r="H71">
        <f t="shared" si="63"/>
        <v>3597528.4185344805</v>
      </c>
      <c r="I71">
        <f t="shared" si="64"/>
        <v>12148.009303760404</v>
      </c>
      <c r="J71">
        <f t="shared" si="65"/>
        <v>2414383.38023572</v>
      </c>
      <c r="K71">
        <f t="shared" si="66"/>
        <v>11746926.25689378</v>
      </c>
    </row>
    <row r="72" spans="1:11" x14ac:dyDescent="0.25">
      <c r="A72" s="17">
        <v>40848</v>
      </c>
      <c r="B72" s="18">
        <f>'Monthly Data'!B72</f>
        <v>12396977.68</v>
      </c>
      <c r="C72">
        <f t="shared" ref="C72:D72" si="72">C60</f>
        <v>574.01</v>
      </c>
      <c r="D72">
        <f t="shared" si="72"/>
        <v>0</v>
      </c>
      <c r="E72">
        <v>22</v>
      </c>
      <c r="G72">
        <f t="shared" si="62"/>
        <v>5722866.4488198198</v>
      </c>
      <c r="H72">
        <f t="shared" si="63"/>
        <v>5432326.1144671692</v>
      </c>
      <c r="I72">
        <f t="shared" si="64"/>
        <v>0</v>
      </c>
      <c r="J72">
        <f t="shared" si="65"/>
        <v>2655821.7182592917</v>
      </c>
      <c r="K72">
        <f t="shared" si="66"/>
        <v>13811014.281546282</v>
      </c>
    </row>
    <row r="73" spans="1:11" x14ac:dyDescent="0.25">
      <c r="A73" s="17">
        <v>40878</v>
      </c>
      <c r="B73" s="18">
        <f>'Monthly Data'!B73</f>
        <v>15364156.579999998</v>
      </c>
      <c r="C73">
        <f t="shared" ref="C73:D73" si="73">C61</f>
        <v>822.67</v>
      </c>
      <c r="D73">
        <f t="shared" si="73"/>
        <v>0</v>
      </c>
      <c r="E73">
        <v>20</v>
      </c>
      <c r="G73">
        <f t="shared" si="62"/>
        <v>5722866.4488198198</v>
      </c>
      <c r="H73">
        <f t="shared" si="63"/>
        <v>7785599.0742124794</v>
      </c>
      <c r="I73">
        <f t="shared" si="64"/>
        <v>0</v>
      </c>
      <c r="J73">
        <f t="shared" si="65"/>
        <v>2414383.38023572</v>
      </c>
      <c r="K73">
        <f t="shared" si="66"/>
        <v>15922848.903268021</v>
      </c>
    </row>
    <row r="74" spans="1:11" x14ac:dyDescent="0.25">
      <c r="A74" s="17">
        <v>40909</v>
      </c>
      <c r="B74" s="18">
        <f>'Monthly Data'!B74</f>
        <v>16257178</v>
      </c>
      <c r="C74">
        <f t="shared" ref="C74:D74" si="74">C62</f>
        <v>975.55</v>
      </c>
      <c r="D74">
        <f t="shared" si="74"/>
        <v>0</v>
      </c>
      <c r="E74">
        <v>21</v>
      </c>
      <c r="G74">
        <f t="shared" si="62"/>
        <v>5722866.4488198198</v>
      </c>
      <c r="H74">
        <f t="shared" si="63"/>
        <v>9232427.5552141014</v>
      </c>
      <c r="I74">
        <f t="shared" si="64"/>
        <v>0</v>
      </c>
      <c r="J74">
        <f t="shared" si="65"/>
        <v>2535102.5492475061</v>
      </c>
      <c r="K74">
        <f t="shared" si="66"/>
        <v>17490396.553281426</v>
      </c>
    </row>
    <row r="75" spans="1:11" x14ac:dyDescent="0.25">
      <c r="A75" s="17">
        <v>40940</v>
      </c>
      <c r="B75" s="18">
        <f>'Monthly Data'!B75</f>
        <v>14151568</v>
      </c>
      <c r="C75">
        <f t="shared" ref="C75:D75" si="75">C63</f>
        <v>828.66499999999996</v>
      </c>
      <c r="D75">
        <f t="shared" si="75"/>
        <v>0</v>
      </c>
      <c r="E75">
        <v>20</v>
      </c>
      <c r="G75">
        <f t="shared" si="62"/>
        <v>5722866.4488198198</v>
      </c>
      <c r="H75">
        <f t="shared" si="63"/>
        <v>7842334.6625406109</v>
      </c>
      <c r="I75">
        <f t="shared" si="64"/>
        <v>0</v>
      </c>
      <c r="J75">
        <f t="shared" si="65"/>
        <v>2414383.38023572</v>
      </c>
      <c r="K75">
        <f t="shared" si="66"/>
        <v>15979584.491596151</v>
      </c>
    </row>
    <row r="76" spans="1:11" x14ac:dyDescent="0.25">
      <c r="A76" s="17">
        <v>40969</v>
      </c>
      <c r="B76" s="18">
        <f>'Monthly Data'!B76</f>
        <v>13453783</v>
      </c>
      <c r="C76">
        <f t="shared" ref="C76:D76" si="76">C64</f>
        <v>739.38499999999999</v>
      </c>
      <c r="D76">
        <f t="shared" si="76"/>
        <v>0</v>
      </c>
      <c r="E76">
        <v>22</v>
      </c>
      <c r="G76">
        <f t="shared" si="62"/>
        <v>5722866.4488198198</v>
      </c>
      <c r="H76">
        <f t="shared" si="63"/>
        <v>6997405.0001660381</v>
      </c>
      <c r="I76">
        <f t="shared" si="64"/>
        <v>0</v>
      </c>
      <c r="J76">
        <f t="shared" si="65"/>
        <v>2655821.7182592917</v>
      </c>
      <c r="K76">
        <f t="shared" si="66"/>
        <v>15376093.16724515</v>
      </c>
    </row>
    <row r="77" spans="1:11" x14ac:dyDescent="0.25">
      <c r="A77" s="17">
        <v>41000</v>
      </c>
      <c r="B77" s="18">
        <f>'Monthly Data'!B77</f>
        <v>11682191</v>
      </c>
      <c r="C77">
        <f t="shared" ref="C77:D77" si="77">C65</f>
        <v>493.09500000000003</v>
      </c>
      <c r="D77">
        <f t="shared" si="77"/>
        <v>0</v>
      </c>
      <c r="E77">
        <v>19</v>
      </c>
      <c r="G77">
        <f t="shared" si="62"/>
        <v>5722866.4488198198</v>
      </c>
      <c r="H77">
        <f t="shared" si="63"/>
        <v>4666561.2888506977</v>
      </c>
      <c r="I77">
        <f t="shared" si="64"/>
        <v>0</v>
      </c>
      <c r="J77">
        <f t="shared" si="65"/>
        <v>2293664.2112239338</v>
      </c>
      <c r="K77">
        <f t="shared" si="66"/>
        <v>12683091.948894452</v>
      </c>
    </row>
    <row r="78" spans="1:11" x14ac:dyDescent="0.25">
      <c r="A78" s="17">
        <v>41030</v>
      </c>
      <c r="B78" s="18">
        <f>'Monthly Data'!B78</f>
        <v>10307176</v>
      </c>
      <c r="C78">
        <f t="shared" ref="C78:D78" si="78">C66</f>
        <v>303.91500000000002</v>
      </c>
      <c r="D78">
        <f t="shared" si="78"/>
        <v>1.4950000000000001</v>
      </c>
      <c r="E78">
        <v>22</v>
      </c>
      <c r="G78">
        <f t="shared" si="62"/>
        <v>5722866.4488198198</v>
      </c>
      <c r="H78">
        <f t="shared" si="63"/>
        <v>2876196.2179723172</v>
      </c>
      <c r="I78">
        <f t="shared" si="64"/>
        <v>100895.96616178782</v>
      </c>
      <c r="J78">
        <f t="shared" si="65"/>
        <v>2655821.7182592917</v>
      </c>
      <c r="K78">
        <f t="shared" si="66"/>
        <v>11355780.351213217</v>
      </c>
    </row>
    <row r="79" spans="1:11" x14ac:dyDescent="0.25">
      <c r="A79" s="17">
        <v>41061</v>
      </c>
      <c r="B79" s="18">
        <f>'Monthly Data'!B79</f>
        <v>9779424</v>
      </c>
      <c r="C79">
        <f t="shared" ref="C79:D79" si="79">C67</f>
        <v>141.69</v>
      </c>
      <c r="D79">
        <f t="shared" si="79"/>
        <v>7.27</v>
      </c>
      <c r="E79">
        <v>21</v>
      </c>
      <c r="G79">
        <f t="shared" si="62"/>
        <v>5722866.4488198198</v>
      </c>
      <c r="H79">
        <f t="shared" si="63"/>
        <v>1340928.3586677115</v>
      </c>
      <c r="I79">
        <f t="shared" si="64"/>
        <v>490644.59799076745</v>
      </c>
      <c r="J79">
        <f t="shared" si="65"/>
        <v>2535102.5492475061</v>
      </c>
      <c r="K79">
        <f t="shared" si="66"/>
        <v>10089541.954725806</v>
      </c>
    </row>
    <row r="80" spans="1:11" x14ac:dyDescent="0.25">
      <c r="A80" s="17">
        <v>41091</v>
      </c>
      <c r="B80" s="18">
        <f>'Monthly Data'!B80</f>
        <v>10817789</v>
      </c>
      <c r="C80">
        <f t="shared" ref="C80:D80" si="80">C68</f>
        <v>87.87</v>
      </c>
      <c r="D80">
        <f t="shared" si="80"/>
        <v>12.025</v>
      </c>
      <c r="E80">
        <v>21</v>
      </c>
      <c r="G80">
        <f t="shared" si="62"/>
        <v>5722866.4488198198</v>
      </c>
      <c r="H80">
        <f t="shared" si="63"/>
        <v>831585.6791314265</v>
      </c>
      <c r="I80">
        <f t="shared" si="64"/>
        <v>811554.51043177152</v>
      </c>
      <c r="J80">
        <f t="shared" si="65"/>
        <v>2535102.5492475061</v>
      </c>
      <c r="K80">
        <f t="shared" si="66"/>
        <v>9901109.187630523</v>
      </c>
    </row>
    <row r="81" spans="1:11" x14ac:dyDescent="0.25">
      <c r="A81" s="17">
        <v>41122</v>
      </c>
      <c r="B81" s="18">
        <f>'Monthly Data'!B81</f>
        <v>10717021</v>
      </c>
      <c r="C81">
        <f t="shared" ref="C81:D81" si="81">C69</f>
        <v>84.79</v>
      </c>
      <c r="D81">
        <f t="shared" si="81"/>
        <v>12.805</v>
      </c>
      <c r="E81">
        <v>22</v>
      </c>
      <c r="G81">
        <f t="shared" si="62"/>
        <v>5722866.4488198198</v>
      </c>
      <c r="H81">
        <f t="shared" si="63"/>
        <v>802437.11999036826</v>
      </c>
      <c r="I81">
        <f t="shared" si="64"/>
        <v>864195.88408139988</v>
      </c>
      <c r="J81">
        <f t="shared" si="65"/>
        <v>2655821.7182592917</v>
      </c>
      <c r="K81">
        <f t="shared" si="66"/>
        <v>10045321.17115088</v>
      </c>
    </row>
    <row r="82" spans="1:11" x14ac:dyDescent="0.25">
      <c r="A82" s="17">
        <v>41153</v>
      </c>
      <c r="B82" s="18">
        <f>'Monthly Data'!B82</f>
        <v>10163216</v>
      </c>
      <c r="C82">
        <f t="shared" ref="C82:D82" si="82">C70</f>
        <v>183.58500000000001</v>
      </c>
      <c r="D82">
        <f t="shared" si="82"/>
        <v>3.88</v>
      </c>
      <c r="E82">
        <v>19</v>
      </c>
      <c r="G82">
        <f t="shared" si="62"/>
        <v>5722866.4488198198</v>
      </c>
      <c r="H82">
        <f t="shared" si="63"/>
        <v>1737415.0097114253</v>
      </c>
      <c r="I82">
        <f t="shared" si="64"/>
        <v>261857.08943661317</v>
      </c>
      <c r="J82">
        <f t="shared" si="65"/>
        <v>2293664.2112239338</v>
      </c>
      <c r="K82">
        <f t="shared" si="66"/>
        <v>10015802.759191792</v>
      </c>
    </row>
    <row r="83" spans="1:11" x14ac:dyDescent="0.25">
      <c r="A83" s="17">
        <v>41183</v>
      </c>
      <c r="B83" s="18">
        <f>'Monthly Data'!B83</f>
        <v>11586791</v>
      </c>
      <c r="C83">
        <f t="shared" ref="C83:D83" si="83">C71</f>
        <v>380.13499999999999</v>
      </c>
      <c r="D83">
        <f t="shared" si="83"/>
        <v>0.18</v>
      </c>
      <c r="E83">
        <v>22</v>
      </c>
      <c r="G83">
        <f t="shared" si="62"/>
        <v>5722866.4488198198</v>
      </c>
      <c r="H83">
        <f t="shared" si="63"/>
        <v>3597528.4185344805</v>
      </c>
      <c r="I83">
        <f t="shared" si="64"/>
        <v>12148.009303760404</v>
      </c>
      <c r="J83">
        <f t="shared" si="65"/>
        <v>2655821.7182592917</v>
      </c>
      <c r="K83">
        <f t="shared" si="66"/>
        <v>11988364.594917351</v>
      </c>
    </row>
    <row r="84" spans="1:11" x14ac:dyDescent="0.25">
      <c r="A84" s="17">
        <v>41214</v>
      </c>
      <c r="B84" s="18">
        <f>'Monthly Data'!B84</f>
        <v>13032681</v>
      </c>
      <c r="C84">
        <f t="shared" ref="C84:D84" si="84">C72</f>
        <v>574.01</v>
      </c>
      <c r="D84">
        <f t="shared" si="84"/>
        <v>0</v>
      </c>
      <c r="E84">
        <v>22</v>
      </c>
      <c r="G84">
        <f t="shared" si="62"/>
        <v>5722866.4488198198</v>
      </c>
      <c r="H84">
        <f t="shared" si="63"/>
        <v>5432326.1144671692</v>
      </c>
      <c r="I84">
        <f t="shared" si="64"/>
        <v>0</v>
      </c>
      <c r="J84">
        <f t="shared" si="65"/>
        <v>2655821.7182592917</v>
      </c>
      <c r="K84">
        <f t="shared" si="66"/>
        <v>13811014.281546282</v>
      </c>
    </row>
    <row r="85" spans="1:11" x14ac:dyDescent="0.25">
      <c r="A85" s="17">
        <v>41244</v>
      </c>
      <c r="B85" s="18">
        <f>'Monthly Data'!B85</f>
        <v>15521871</v>
      </c>
      <c r="C85">
        <f t="shared" ref="C85:D85" si="85">C73</f>
        <v>822.67</v>
      </c>
      <c r="D85">
        <f t="shared" si="85"/>
        <v>0</v>
      </c>
      <c r="E85">
        <v>19</v>
      </c>
      <c r="G85">
        <f t="shared" si="62"/>
        <v>5722866.4488198198</v>
      </c>
      <c r="H85">
        <f t="shared" si="63"/>
        <v>7785599.0742124794</v>
      </c>
      <c r="I85">
        <f t="shared" si="64"/>
        <v>0</v>
      </c>
      <c r="J85">
        <f t="shared" si="65"/>
        <v>2293664.2112239338</v>
      </c>
      <c r="K85">
        <f t="shared" si="66"/>
        <v>15802129.734256234</v>
      </c>
    </row>
    <row r="86" spans="1:11" x14ac:dyDescent="0.25">
      <c r="A86" s="17">
        <v>41275</v>
      </c>
      <c r="B86" s="18">
        <f>'Monthly Data'!B86</f>
        <v>16693786</v>
      </c>
      <c r="C86">
        <f t="shared" ref="C86:D86" si="86">C74</f>
        <v>975.55</v>
      </c>
      <c r="D86">
        <f t="shared" si="86"/>
        <v>0</v>
      </c>
      <c r="E86">
        <v>22</v>
      </c>
      <c r="G86">
        <f t="shared" si="62"/>
        <v>5722866.4488198198</v>
      </c>
      <c r="H86">
        <f t="shared" si="63"/>
        <v>9232427.5552141014</v>
      </c>
      <c r="I86">
        <f t="shared" si="64"/>
        <v>0</v>
      </c>
      <c r="J86">
        <f t="shared" si="65"/>
        <v>2655821.7182592917</v>
      </c>
      <c r="K86">
        <f t="shared" si="66"/>
        <v>17611115.722293213</v>
      </c>
    </row>
    <row r="87" spans="1:11" x14ac:dyDescent="0.25">
      <c r="A87" s="17">
        <v>41306</v>
      </c>
      <c r="B87" s="18">
        <f>'Monthly Data'!B87</f>
        <v>15174191</v>
      </c>
      <c r="C87">
        <f t="shared" ref="C87:D87" si="87">C75</f>
        <v>828.66499999999996</v>
      </c>
      <c r="D87">
        <f t="shared" si="87"/>
        <v>0</v>
      </c>
      <c r="E87">
        <v>19</v>
      </c>
      <c r="G87">
        <f t="shared" si="62"/>
        <v>5722866.4488198198</v>
      </c>
      <c r="H87">
        <f t="shared" si="63"/>
        <v>7842334.6625406109</v>
      </c>
      <c r="I87">
        <f t="shared" si="64"/>
        <v>0</v>
      </c>
      <c r="J87">
        <f t="shared" si="65"/>
        <v>2293664.2112239338</v>
      </c>
      <c r="K87">
        <f t="shared" si="66"/>
        <v>15858865.322584365</v>
      </c>
    </row>
    <row r="88" spans="1:11" x14ac:dyDescent="0.25">
      <c r="A88" s="17">
        <v>41334</v>
      </c>
      <c r="B88" s="18">
        <f>'Monthly Data'!B88</f>
        <v>14601438</v>
      </c>
      <c r="C88">
        <f t="shared" ref="C88:D88" si="88">C76</f>
        <v>739.38499999999999</v>
      </c>
      <c r="D88">
        <f t="shared" si="88"/>
        <v>0</v>
      </c>
      <c r="E88">
        <v>20</v>
      </c>
      <c r="G88">
        <f t="shared" si="62"/>
        <v>5722866.4488198198</v>
      </c>
      <c r="H88">
        <f t="shared" si="63"/>
        <v>6997405.0001660381</v>
      </c>
      <c r="I88">
        <f t="shared" si="64"/>
        <v>0</v>
      </c>
      <c r="J88">
        <f t="shared" si="65"/>
        <v>2414383.38023572</v>
      </c>
      <c r="K88">
        <f t="shared" si="66"/>
        <v>15134654.829221578</v>
      </c>
    </row>
    <row r="89" spans="1:11" x14ac:dyDescent="0.25">
      <c r="A89" s="17">
        <v>41365</v>
      </c>
      <c r="B89" s="18">
        <f>'Monthly Data'!B89</f>
        <v>13150077</v>
      </c>
      <c r="C89">
        <f t="shared" ref="C89:D89" si="89">C77</f>
        <v>493.09500000000003</v>
      </c>
      <c r="D89">
        <f t="shared" si="89"/>
        <v>0</v>
      </c>
      <c r="E89">
        <v>21</v>
      </c>
      <c r="G89">
        <f t="shared" si="62"/>
        <v>5722866.4488198198</v>
      </c>
      <c r="H89">
        <f t="shared" si="63"/>
        <v>4666561.2888506977</v>
      </c>
      <c r="I89">
        <f t="shared" si="64"/>
        <v>0</v>
      </c>
      <c r="J89">
        <f t="shared" si="65"/>
        <v>2535102.5492475061</v>
      </c>
      <c r="K89">
        <f t="shared" si="66"/>
        <v>12924530.286918025</v>
      </c>
    </row>
    <row r="90" spans="1:11" x14ac:dyDescent="0.25">
      <c r="A90" s="17">
        <v>41395</v>
      </c>
      <c r="B90" s="18">
        <f>'Monthly Data'!B90</f>
        <v>10553126</v>
      </c>
      <c r="C90">
        <f t="shared" ref="C90:D90" si="90">C78</f>
        <v>303.91500000000002</v>
      </c>
      <c r="D90">
        <f t="shared" si="90"/>
        <v>1.4950000000000001</v>
      </c>
      <c r="E90">
        <v>22</v>
      </c>
      <c r="G90">
        <f t="shared" si="62"/>
        <v>5722866.4488198198</v>
      </c>
      <c r="H90">
        <f t="shared" si="63"/>
        <v>2876196.2179723172</v>
      </c>
      <c r="I90">
        <f t="shared" si="64"/>
        <v>100895.96616178782</v>
      </c>
      <c r="J90">
        <f t="shared" si="65"/>
        <v>2655821.7182592917</v>
      </c>
      <c r="K90">
        <f t="shared" si="66"/>
        <v>11355780.351213217</v>
      </c>
    </row>
    <row r="91" spans="1:11" x14ac:dyDescent="0.25">
      <c r="A91" s="17">
        <v>41426</v>
      </c>
      <c r="B91" s="18">
        <f>'Monthly Data'!B91</f>
        <v>9632056</v>
      </c>
      <c r="C91">
        <f t="shared" ref="C91:D91" si="91">C79</f>
        <v>141.69</v>
      </c>
      <c r="D91">
        <f t="shared" si="91"/>
        <v>7.27</v>
      </c>
      <c r="E91">
        <v>20</v>
      </c>
      <c r="G91">
        <f t="shared" si="62"/>
        <v>5722866.4488198198</v>
      </c>
      <c r="H91">
        <f t="shared" si="63"/>
        <v>1340928.3586677115</v>
      </c>
      <c r="I91">
        <f t="shared" si="64"/>
        <v>490644.59799076745</v>
      </c>
      <c r="J91">
        <f t="shared" si="65"/>
        <v>2414383.38023572</v>
      </c>
      <c r="K91">
        <f t="shared" si="66"/>
        <v>9968822.7857140191</v>
      </c>
    </row>
    <row r="92" spans="1:11" x14ac:dyDescent="0.25">
      <c r="A92" s="17">
        <v>41456</v>
      </c>
      <c r="B92" s="18">
        <f>'Monthly Data'!B92</f>
        <v>10454381</v>
      </c>
      <c r="C92">
        <f t="shared" ref="C92:D92" si="92">C80</f>
        <v>87.87</v>
      </c>
      <c r="D92">
        <f t="shared" si="92"/>
        <v>12.025</v>
      </c>
      <c r="E92">
        <v>22</v>
      </c>
      <c r="G92">
        <f t="shared" si="62"/>
        <v>5722866.4488198198</v>
      </c>
      <c r="H92">
        <f t="shared" si="63"/>
        <v>831585.6791314265</v>
      </c>
      <c r="I92">
        <f t="shared" si="64"/>
        <v>811554.51043177152</v>
      </c>
      <c r="J92">
        <f t="shared" si="65"/>
        <v>2655821.7182592917</v>
      </c>
      <c r="K92">
        <f t="shared" si="66"/>
        <v>10021828.35664231</v>
      </c>
    </row>
    <row r="93" spans="1:11" x14ac:dyDescent="0.25">
      <c r="A93" s="17">
        <v>41487</v>
      </c>
      <c r="B93" s="18">
        <f>'Monthly Data'!B93</f>
        <v>10345419</v>
      </c>
      <c r="C93">
        <f t="shared" ref="C93:D93" si="93">C81</f>
        <v>84.79</v>
      </c>
      <c r="D93">
        <f t="shared" si="93"/>
        <v>12.805</v>
      </c>
      <c r="E93">
        <v>21</v>
      </c>
      <c r="G93">
        <f t="shared" si="62"/>
        <v>5722866.4488198198</v>
      </c>
      <c r="H93">
        <f t="shared" si="63"/>
        <v>802437.11999036826</v>
      </c>
      <c r="I93">
        <f t="shared" si="64"/>
        <v>864195.88408139988</v>
      </c>
      <c r="J93">
        <f t="shared" si="65"/>
        <v>2535102.5492475061</v>
      </c>
      <c r="K93">
        <f t="shared" si="66"/>
        <v>9924602.0021390952</v>
      </c>
    </row>
    <row r="94" spans="1:11" x14ac:dyDescent="0.25">
      <c r="A94" s="17">
        <v>41518</v>
      </c>
      <c r="B94" s="18">
        <f>'Monthly Data'!B94</f>
        <v>10224461</v>
      </c>
      <c r="C94">
        <f t="shared" ref="C94:D94" si="94">C82</f>
        <v>183.58500000000001</v>
      </c>
      <c r="D94">
        <f t="shared" si="94"/>
        <v>3.88</v>
      </c>
      <c r="E94">
        <v>20</v>
      </c>
      <c r="G94">
        <f t="shared" si="62"/>
        <v>5722866.4488198198</v>
      </c>
      <c r="H94">
        <f t="shared" si="63"/>
        <v>1737415.0097114253</v>
      </c>
      <c r="I94">
        <f t="shared" si="64"/>
        <v>261857.08943661317</v>
      </c>
      <c r="J94">
        <f t="shared" si="65"/>
        <v>2414383.38023572</v>
      </c>
      <c r="K94">
        <f t="shared" si="66"/>
        <v>10136521.928203579</v>
      </c>
    </row>
    <row r="95" spans="1:11" x14ac:dyDescent="0.25">
      <c r="A95" s="17">
        <v>41548</v>
      </c>
      <c r="B95" s="18">
        <f>'Monthly Data'!B95</f>
        <v>12045684</v>
      </c>
      <c r="C95">
        <f t="shared" ref="C95:D95" si="95">C83</f>
        <v>380.13499999999999</v>
      </c>
      <c r="D95">
        <f t="shared" si="95"/>
        <v>0.18</v>
      </c>
      <c r="E95">
        <v>22</v>
      </c>
      <c r="G95">
        <f t="shared" si="62"/>
        <v>5722866.4488198198</v>
      </c>
      <c r="H95">
        <f t="shared" si="63"/>
        <v>3597528.4185344805</v>
      </c>
      <c r="I95">
        <f t="shared" si="64"/>
        <v>12148.009303760404</v>
      </c>
      <c r="J95">
        <f t="shared" si="65"/>
        <v>2655821.7182592917</v>
      </c>
      <c r="K95">
        <f t="shared" si="66"/>
        <v>11988364.594917351</v>
      </c>
    </row>
    <row r="96" spans="1:11" x14ac:dyDescent="0.25">
      <c r="A96" s="17">
        <v>41579</v>
      </c>
      <c r="B96" s="18">
        <f>'Monthly Data'!B96</f>
        <v>14228773</v>
      </c>
      <c r="C96">
        <f t="shared" ref="C96:D96" si="96">C84</f>
        <v>574.01</v>
      </c>
      <c r="D96">
        <f t="shared" si="96"/>
        <v>0</v>
      </c>
      <c r="E96">
        <v>21</v>
      </c>
      <c r="G96">
        <f t="shared" si="62"/>
        <v>5722866.4488198198</v>
      </c>
      <c r="H96">
        <f t="shared" si="63"/>
        <v>5432326.1144671692</v>
      </c>
      <c r="I96">
        <f t="shared" si="64"/>
        <v>0</v>
      </c>
      <c r="J96">
        <f t="shared" si="65"/>
        <v>2535102.5492475061</v>
      </c>
      <c r="K96">
        <f t="shared" si="66"/>
        <v>13690295.112534497</v>
      </c>
    </row>
    <row r="97" spans="1:11" x14ac:dyDescent="0.25">
      <c r="A97" s="17">
        <v>41609</v>
      </c>
      <c r="B97" s="18">
        <f>'Monthly Data'!B97</f>
        <v>18557256</v>
      </c>
      <c r="C97">
        <f t="shared" ref="C97:D97" si="97">C85</f>
        <v>822.67</v>
      </c>
      <c r="D97">
        <f t="shared" si="97"/>
        <v>0</v>
      </c>
      <c r="E97">
        <v>20</v>
      </c>
      <c r="G97">
        <f t="shared" si="62"/>
        <v>5722866.4488198198</v>
      </c>
      <c r="H97">
        <f t="shared" si="63"/>
        <v>7785599.0742124794</v>
      </c>
      <c r="I97">
        <f t="shared" si="64"/>
        <v>0</v>
      </c>
      <c r="J97">
        <f t="shared" si="65"/>
        <v>2414383.38023572</v>
      </c>
      <c r="K97">
        <f t="shared" si="66"/>
        <v>15922848.903268021</v>
      </c>
    </row>
    <row r="98" spans="1:11" x14ac:dyDescent="0.25">
      <c r="A98" s="17">
        <v>41640</v>
      </c>
      <c r="C98">
        <f t="shared" ref="C98:D98" si="98">C86</f>
        <v>975.55</v>
      </c>
      <c r="D98">
        <f t="shared" si="98"/>
        <v>0</v>
      </c>
      <c r="E98">
        <v>22</v>
      </c>
      <c r="G98">
        <f t="shared" ref="G98:G121" si="99">const</f>
        <v>5722866.4488198198</v>
      </c>
      <c r="H98">
        <f t="shared" ref="H98:H121" si="100">MonthlyHDD*C98</f>
        <v>9232427.5552141014</v>
      </c>
      <c r="I98">
        <f t="shared" ref="I98:I121" si="101">MonthlyCDD*D98</f>
        <v>0</v>
      </c>
      <c r="J98">
        <f t="shared" ref="J98:J121" si="102">PeakDays*E98</f>
        <v>2655821.7182592917</v>
      </c>
      <c r="K98">
        <f t="shared" ref="K98:K121" si="103">SUM(G98:J98)</f>
        <v>17611115.722293213</v>
      </c>
    </row>
    <row r="99" spans="1:11" x14ac:dyDescent="0.25">
      <c r="A99" s="17">
        <v>41671</v>
      </c>
      <c r="C99">
        <f t="shared" ref="C99:D99" si="104">C87</f>
        <v>828.66499999999996</v>
      </c>
      <c r="D99">
        <f t="shared" si="104"/>
        <v>0</v>
      </c>
      <c r="E99">
        <v>19</v>
      </c>
      <c r="G99">
        <f t="shared" si="99"/>
        <v>5722866.4488198198</v>
      </c>
      <c r="H99">
        <f t="shared" si="100"/>
        <v>7842334.6625406109</v>
      </c>
      <c r="I99">
        <f t="shared" si="101"/>
        <v>0</v>
      </c>
      <c r="J99">
        <f t="shared" si="102"/>
        <v>2293664.2112239338</v>
      </c>
      <c r="K99">
        <f t="shared" si="103"/>
        <v>15858865.322584365</v>
      </c>
    </row>
    <row r="100" spans="1:11" x14ac:dyDescent="0.25">
      <c r="A100" s="17">
        <v>41699</v>
      </c>
      <c r="C100">
        <f t="shared" ref="C100:D100" si="105">C88</f>
        <v>739.38499999999999</v>
      </c>
      <c r="D100">
        <f t="shared" si="105"/>
        <v>0</v>
      </c>
      <c r="E100">
        <v>21</v>
      </c>
      <c r="G100">
        <f t="shared" si="99"/>
        <v>5722866.4488198198</v>
      </c>
      <c r="H100">
        <f t="shared" si="100"/>
        <v>6997405.0001660381</v>
      </c>
      <c r="I100">
        <f t="shared" si="101"/>
        <v>0</v>
      </c>
      <c r="J100">
        <f t="shared" si="102"/>
        <v>2535102.5492475061</v>
      </c>
      <c r="K100">
        <f t="shared" si="103"/>
        <v>15255373.998233363</v>
      </c>
    </row>
    <row r="101" spans="1:11" x14ac:dyDescent="0.25">
      <c r="A101" s="17">
        <v>41730</v>
      </c>
      <c r="C101">
        <f t="shared" ref="C101:D101" si="106">C89</f>
        <v>493.09500000000003</v>
      </c>
      <c r="D101">
        <f t="shared" si="106"/>
        <v>0</v>
      </c>
      <c r="E101">
        <v>20</v>
      </c>
      <c r="G101">
        <f t="shared" si="99"/>
        <v>5722866.4488198198</v>
      </c>
      <c r="H101">
        <f t="shared" si="100"/>
        <v>4666561.2888506977</v>
      </c>
      <c r="I101">
        <f t="shared" si="101"/>
        <v>0</v>
      </c>
      <c r="J101">
        <f t="shared" si="102"/>
        <v>2414383.38023572</v>
      </c>
      <c r="K101">
        <f t="shared" si="103"/>
        <v>12803811.117906239</v>
      </c>
    </row>
    <row r="102" spans="1:11" x14ac:dyDescent="0.25">
      <c r="A102" s="17">
        <v>41760</v>
      </c>
      <c r="C102">
        <f t="shared" ref="C102:D102" si="107">C90</f>
        <v>303.91500000000002</v>
      </c>
      <c r="D102">
        <f t="shared" si="107"/>
        <v>1.4950000000000001</v>
      </c>
      <c r="E102">
        <v>21</v>
      </c>
      <c r="G102">
        <f t="shared" si="99"/>
        <v>5722866.4488198198</v>
      </c>
      <c r="H102">
        <f t="shared" si="100"/>
        <v>2876196.2179723172</v>
      </c>
      <c r="I102">
        <f t="shared" si="101"/>
        <v>100895.96616178782</v>
      </c>
      <c r="J102">
        <f t="shared" si="102"/>
        <v>2535102.5492475061</v>
      </c>
      <c r="K102">
        <f t="shared" si="103"/>
        <v>11235061.18220143</v>
      </c>
    </row>
    <row r="103" spans="1:11" x14ac:dyDescent="0.25">
      <c r="A103" s="17">
        <v>41791</v>
      </c>
      <c r="C103">
        <f t="shared" ref="C103:D103" si="108">C91</f>
        <v>141.69</v>
      </c>
      <c r="D103">
        <f t="shared" si="108"/>
        <v>7.27</v>
      </c>
      <c r="E103">
        <v>21</v>
      </c>
      <c r="G103">
        <f t="shared" si="99"/>
        <v>5722866.4488198198</v>
      </c>
      <c r="H103">
        <f t="shared" si="100"/>
        <v>1340928.3586677115</v>
      </c>
      <c r="I103">
        <f t="shared" si="101"/>
        <v>490644.59799076745</v>
      </c>
      <c r="J103">
        <f t="shared" si="102"/>
        <v>2535102.5492475061</v>
      </c>
      <c r="K103">
        <f t="shared" si="103"/>
        <v>10089541.954725806</v>
      </c>
    </row>
    <row r="104" spans="1:11" x14ac:dyDescent="0.25">
      <c r="A104" s="17">
        <v>41821</v>
      </c>
      <c r="C104">
        <f t="shared" ref="C104:D104" si="109">C92</f>
        <v>87.87</v>
      </c>
      <c r="D104">
        <f t="shared" si="109"/>
        <v>12.025</v>
      </c>
      <c r="E104">
        <v>22</v>
      </c>
      <c r="G104">
        <f t="shared" si="99"/>
        <v>5722866.4488198198</v>
      </c>
      <c r="H104">
        <f t="shared" si="100"/>
        <v>831585.6791314265</v>
      </c>
      <c r="I104">
        <f t="shared" si="101"/>
        <v>811554.51043177152</v>
      </c>
      <c r="J104">
        <f t="shared" si="102"/>
        <v>2655821.7182592917</v>
      </c>
      <c r="K104">
        <f t="shared" si="103"/>
        <v>10021828.35664231</v>
      </c>
    </row>
    <row r="105" spans="1:11" x14ac:dyDescent="0.25">
      <c r="A105" s="17">
        <v>41852</v>
      </c>
      <c r="C105">
        <f t="shared" ref="C105:D105" si="110">C93</f>
        <v>84.79</v>
      </c>
      <c r="D105">
        <f t="shared" si="110"/>
        <v>12.805</v>
      </c>
      <c r="E105">
        <v>20</v>
      </c>
      <c r="G105">
        <f t="shared" si="99"/>
        <v>5722866.4488198198</v>
      </c>
      <c r="H105">
        <f t="shared" si="100"/>
        <v>802437.11999036826</v>
      </c>
      <c r="I105">
        <f t="shared" si="101"/>
        <v>864195.88408139988</v>
      </c>
      <c r="J105">
        <f t="shared" si="102"/>
        <v>2414383.38023572</v>
      </c>
      <c r="K105">
        <f t="shared" si="103"/>
        <v>9803882.8331273086</v>
      </c>
    </row>
    <row r="106" spans="1:11" x14ac:dyDescent="0.25">
      <c r="A106" s="17">
        <v>41883</v>
      </c>
      <c r="C106">
        <f t="shared" ref="C106:D106" si="111">C94</f>
        <v>183.58500000000001</v>
      </c>
      <c r="D106">
        <f t="shared" si="111"/>
        <v>3.88</v>
      </c>
      <c r="E106">
        <v>21</v>
      </c>
      <c r="G106">
        <f t="shared" si="99"/>
        <v>5722866.4488198198</v>
      </c>
      <c r="H106">
        <f t="shared" si="100"/>
        <v>1737415.0097114253</v>
      </c>
      <c r="I106">
        <f t="shared" si="101"/>
        <v>261857.08943661317</v>
      </c>
      <c r="J106">
        <f t="shared" si="102"/>
        <v>2535102.5492475061</v>
      </c>
      <c r="K106">
        <f t="shared" si="103"/>
        <v>10257241.097215366</v>
      </c>
    </row>
    <row r="107" spans="1:11" x14ac:dyDescent="0.25">
      <c r="A107" s="17">
        <v>41913</v>
      </c>
      <c r="C107">
        <f t="shared" ref="C107:D107" si="112">C95</f>
        <v>380.13499999999999</v>
      </c>
      <c r="D107">
        <f t="shared" si="112"/>
        <v>0.18</v>
      </c>
      <c r="E107">
        <v>22</v>
      </c>
      <c r="G107">
        <f t="shared" si="99"/>
        <v>5722866.4488198198</v>
      </c>
      <c r="H107">
        <f t="shared" si="100"/>
        <v>3597528.4185344805</v>
      </c>
      <c r="I107">
        <f t="shared" si="101"/>
        <v>12148.009303760404</v>
      </c>
      <c r="J107">
        <f t="shared" si="102"/>
        <v>2655821.7182592917</v>
      </c>
      <c r="K107">
        <f t="shared" si="103"/>
        <v>11988364.594917351</v>
      </c>
    </row>
    <row r="108" spans="1:11" x14ac:dyDescent="0.25">
      <c r="A108" s="17">
        <v>41944</v>
      </c>
      <c r="C108">
        <f t="shared" ref="C108:D108" si="113">C96</f>
        <v>574.01</v>
      </c>
      <c r="D108">
        <f t="shared" si="113"/>
        <v>0</v>
      </c>
      <c r="E108">
        <v>20</v>
      </c>
      <c r="G108">
        <f t="shared" si="99"/>
        <v>5722866.4488198198</v>
      </c>
      <c r="H108">
        <f t="shared" si="100"/>
        <v>5432326.1144671692</v>
      </c>
      <c r="I108">
        <f t="shared" si="101"/>
        <v>0</v>
      </c>
      <c r="J108">
        <f t="shared" si="102"/>
        <v>2414383.38023572</v>
      </c>
      <c r="K108">
        <f t="shared" si="103"/>
        <v>13569575.94352271</v>
      </c>
    </row>
    <row r="109" spans="1:11" x14ac:dyDescent="0.25">
      <c r="A109" s="17">
        <v>41974</v>
      </c>
      <c r="C109">
        <f t="shared" ref="C109:D109" si="114">C97</f>
        <v>822.67</v>
      </c>
      <c r="D109">
        <f t="shared" si="114"/>
        <v>0</v>
      </c>
      <c r="E109">
        <v>21</v>
      </c>
      <c r="G109">
        <f t="shared" si="99"/>
        <v>5722866.4488198198</v>
      </c>
      <c r="H109">
        <f t="shared" si="100"/>
        <v>7785599.0742124794</v>
      </c>
      <c r="I109">
        <f t="shared" si="101"/>
        <v>0</v>
      </c>
      <c r="J109">
        <f t="shared" si="102"/>
        <v>2535102.5492475061</v>
      </c>
      <c r="K109">
        <f t="shared" si="103"/>
        <v>16043568.072279807</v>
      </c>
    </row>
    <row r="110" spans="1:11" x14ac:dyDescent="0.25">
      <c r="A110" s="17">
        <v>42005</v>
      </c>
      <c r="C110">
        <f t="shared" ref="C110:D110" si="115">C98</f>
        <v>975.55</v>
      </c>
      <c r="D110">
        <f t="shared" si="115"/>
        <v>0</v>
      </c>
      <c r="E110">
        <v>21</v>
      </c>
      <c r="G110">
        <f t="shared" si="99"/>
        <v>5722866.4488198198</v>
      </c>
      <c r="H110">
        <f t="shared" si="100"/>
        <v>9232427.5552141014</v>
      </c>
      <c r="I110">
        <f t="shared" si="101"/>
        <v>0</v>
      </c>
      <c r="J110">
        <f t="shared" si="102"/>
        <v>2535102.5492475061</v>
      </c>
      <c r="K110">
        <f t="shared" si="103"/>
        <v>17490396.553281426</v>
      </c>
    </row>
    <row r="111" spans="1:11" x14ac:dyDescent="0.25">
      <c r="A111" s="17">
        <v>42036</v>
      </c>
      <c r="C111">
        <f t="shared" ref="C111:D111" si="116">C99</f>
        <v>828.66499999999996</v>
      </c>
      <c r="D111">
        <f t="shared" si="116"/>
        <v>0</v>
      </c>
      <c r="E111">
        <v>19</v>
      </c>
      <c r="G111">
        <f t="shared" si="99"/>
        <v>5722866.4488198198</v>
      </c>
      <c r="H111">
        <f t="shared" si="100"/>
        <v>7842334.6625406109</v>
      </c>
      <c r="I111">
        <f t="shared" si="101"/>
        <v>0</v>
      </c>
      <c r="J111">
        <f t="shared" si="102"/>
        <v>2293664.2112239338</v>
      </c>
      <c r="K111">
        <f t="shared" si="103"/>
        <v>15858865.322584365</v>
      </c>
    </row>
    <row r="112" spans="1:11" x14ac:dyDescent="0.25">
      <c r="A112" s="17">
        <v>42064</v>
      </c>
      <c r="C112">
        <f t="shared" ref="C112:D112" si="117">C100</f>
        <v>739.38499999999999</v>
      </c>
      <c r="D112">
        <f t="shared" si="117"/>
        <v>0</v>
      </c>
      <c r="E112">
        <v>22</v>
      </c>
      <c r="G112">
        <f t="shared" si="99"/>
        <v>5722866.4488198198</v>
      </c>
      <c r="H112">
        <f t="shared" si="100"/>
        <v>6997405.0001660381</v>
      </c>
      <c r="I112">
        <f t="shared" si="101"/>
        <v>0</v>
      </c>
      <c r="J112">
        <f t="shared" si="102"/>
        <v>2655821.7182592917</v>
      </c>
      <c r="K112">
        <f t="shared" si="103"/>
        <v>15376093.16724515</v>
      </c>
    </row>
    <row r="113" spans="1:11" x14ac:dyDescent="0.25">
      <c r="A113" s="17">
        <v>42095</v>
      </c>
      <c r="C113">
        <f t="shared" ref="C113:D113" si="118">C101</f>
        <v>493.09500000000003</v>
      </c>
      <c r="D113">
        <f t="shared" si="118"/>
        <v>0</v>
      </c>
      <c r="E113">
        <v>20</v>
      </c>
      <c r="G113">
        <f t="shared" si="99"/>
        <v>5722866.4488198198</v>
      </c>
      <c r="H113">
        <f t="shared" si="100"/>
        <v>4666561.2888506977</v>
      </c>
      <c r="I113">
        <f t="shared" si="101"/>
        <v>0</v>
      </c>
      <c r="J113">
        <f t="shared" si="102"/>
        <v>2414383.38023572</v>
      </c>
      <c r="K113">
        <f t="shared" si="103"/>
        <v>12803811.117906239</v>
      </c>
    </row>
    <row r="114" spans="1:11" x14ac:dyDescent="0.25">
      <c r="A114" s="17">
        <v>42125</v>
      </c>
      <c r="C114">
        <f t="shared" ref="C114:D114" si="119">C102</f>
        <v>303.91500000000002</v>
      </c>
      <c r="D114">
        <f t="shared" si="119"/>
        <v>1.4950000000000001</v>
      </c>
      <c r="E114">
        <v>20</v>
      </c>
      <c r="G114">
        <f t="shared" si="99"/>
        <v>5722866.4488198198</v>
      </c>
      <c r="H114">
        <f t="shared" si="100"/>
        <v>2876196.2179723172</v>
      </c>
      <c r="I114">
        <f t="shared" si="101"/>
        <v>100895.96616178782</v>
      </c>
      <c r="J114">
        <f t="shared" si="102"/>
        <v>2414383.38023572</v>
      </c>
      <c r="K114">
        <f t="shared" si="103"/>
        <v>11114342.013189645</v>
      </c>
    </row>
    <row r="115" spans="1:11" x14ac:dyDescent="0.25">
      <c r="A115" s="17">
        <v>42156</v>
      </c>
      <c r="C115">
        <f t="shared" ref="C115:D115" si="120">C103</f>
        <v>141.69</v>
      </c>
      <c r="D115">
        <f t="shared" si="120"/>
        <v>7.27</v>
      </c>
      <c r="E115">
        <v>22</v>
      </c>
      <c r="G115">
        <f t="shared" si="99"/>
        <v>5722866.4488198198</v>
      </c>
      <c r="H115">
        <f t="shared" si="100"/>
        <v>1340928.3586677115</v>
      </c>
      <c r="I115">
        <f t="shared" si="101"/>
        <v>490644.59799076745</v>
      </c>
      <c r="J115">
        <f t="shared" si="102"/>
        <v>2655821.7182592917</v>
      </c>
      <c r="K115">
        <f t="shared" si="103"/>
        <v>10210261.12373759</v>
      </c>
    </row>
    <row r="116" spans="1:11" x14ac:dyDescent="0.25">
      <c r="A116" s="17">
        <v>42186</v>
      </c>
      <c r="C116">
        <f t="shared" ref="C116:D116" si="121">C104</f>
        <v>87.87</v>
      </c>
      <c r="D116">
        <f t="shared" si="121"/>
        <v>12.025</v>
      </c>
      <c r="E116">
        <v>22</v>
      </c>
      <c r="G116">
        <f t="shared" si="99"/>
        <v>5722866.4488198198</v>
      </c>
      <c r="H116">
        <f t="shared" si="100"/>
        <v>831585.6791314265</v>
      </c>
      <c r="I116">
        <f t="shared" si="101"/>
        <v>811554.51043177152</v>
      </c>
      <c r="J116">
        <f t="shared" si="102"/>
        <v>2655821.7182592917</v>
      </c>
      <c r="K116">
        <f t="shared" si="103"/>
        <v>10021828.35664231</v>
      </c>
    </row>
    <row r="117" spans="1:11" x14ac:dyDescent="0.25">
      <c r="A117" s="17">
        <v>42217</v>
      </c>
      <c r="C117">
        <f t="shared" ref="C117:D117" si="122">C105</f>
        <v>84.79</v>
      </c>
      <c r="D117">
        <f t="shared" si="122"/>
        <v>12.805</v>
      </c>
      <c r="E117">
        <v>20</v>
      </c>
      <c r="G117">
        <f t="shared" si="99"/>
        <v>5722866.4488198198</v>
      </c>
      <c r="H117">
        <f t="shared" si="100"/>
        <v>802437.11999036826</v>
      </c>
      <c r="I117">
        <f t="shared" si="101"/>
        <v>864195.88408139988</v>
      </c>
      <c r="J117">
        <f t="shared" si="102"/>
        <v>2414383.38023572</v>
      </c>
      <c r="K117">
        <f t="shared" si="103"/>
        <v>9803882.8331273086</v>
      </c>
    </row>
    <row r="118" spans="1:11" x14ac:dyDescent="0.25">
      <c r="A118" s="17">
        <v>42248</v>
      </c>
      <c r="C118">
        <f t="shared" ref="C118:D118" si="123">C106</f>
        <v>183.58500000000001</v>
      </c>
      <c r="D118">
        <f t="shared" si="123"/>
        <v>3.88</v>
      </c>
      <c r="E118">
        <v>21</v>
      </c>
      <c r="G118">
        <f t="shared" si="99"/>
        <v>5722866.4488198198</v>
      </c>
      <c r="H118">
        <f t="shared" si="100"/>
        <v>1737415.0097114253</v>
      </c>
      <c r="I118">
        <f t="shared" si="101"/>
        <v>261857.08943661317</v>
      </c>
      <c r="J118">
        <f t="shared" si="102"/>
        <v>2535102.5492475061</v>
      </c>
      <c r="K118">
        <f t="shared" si="103"/>
        <v>10257241.097215366</v>
      </c>
    </row>
    <row r="119" spans="1:11" x14ac:dyDescent="0.25">
      <c r="A119" s="17">
        <v>42278</v>
      </c>
      <c r="C119">
        <f t="shared" ref="C119:D119" si="124">C107</f>
        <v>380.13499999999999</v>
      </c>
      <c r="D119">
        <f t="shared" si="124"/>
        <v>0.18</v>
      </c>
      <c r="E119">
        <v>21</v>
      </c>
      <c r="G119">
        <f t="shared" si="99"/>
        <v>5722866.4488198198</v>
      </c>
      <c r="H119">
        <f t="shared" si="100"/>
        <v>3597528.4185344805</v>
      </c>
      <c r="I119">
        <f t="shared" si="101"/>
        <v>12148.009303760404</v>
      </c>
      <c r="J119">
        <f t="shared" si="102"/>
        <v>2535102.5492475061</v>
      </c>
      <c r="K119">
        <f t="shared" si="103"/>
        <v>11867645.425905567</v>
      </c>
    </row>
    <row r="120" spans="1:11" x14ac:dyDescent="0.25">
      <c r="A120" s="17">
        <v>42309</v>
      </c>
      <c r="C120">
        <f t="shared" ref="C120:D120" si="125">C108</f>
        <v>574.01</v>
      </c>
      <c r="D120">
        <f t="shared" si="125"/>
        <v>0</v>
      </c>
      <c r="E120">
        <v>21</v>
      </c>
      <c r="G120">
        <f t="shared" si="99"/>
        <v>5722866.4488198198</v>
      </c>
      <c r="H120">
        <f t="shared" si="100"/>
        <v>5432326.1144671692</v>
      </c>
      <c r="I120">
        <f t="shared" si="101"/>
        <v>0</v>
      </c>
      <c r="J120">
        <f t="shared" si="102"/>
        <v>2535102.5492475061</v>
      </c>
      <c r="K120">
        <f t="shared" si="103"/>
        <v>13690295.112534497</v>
      </c>
    </row>
    <row r="121" spans="1:11" x14ac:dyDescent="0.25">
      <c r="A121" s="17">
        <v>42339</v>
      </c>
      <c r="C121">
        <f t="shared" ref="C121:D121" si="126">C109</f>
        <v>822.67</v>
      </c>
      <c r="D121">
        <f t="shared" si="126"/>
        <v>0</v>
      </c>
      <c r="E121">
        <v>21</v>
      </c>
      <c r="G121">
        <f t="shared" si="99"/>
        <v>5722866.4488198198</v>
      </c>
      <c r="H121">
        <f t="shared" si="100"/>
        <v>7785599.0742124794</v>
      </c>
      <c r="I121">
        <f t="shared" si="101"/>
        <v>0</v>
      </c>
      <c r="J121">
        <f t="shared" si="102"/>
        <v>2535102.5492475061</v>
      </c>
      <c r="K121">
        <f t="shared" si="103"/>
        <v>16043568.072279807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21"/>
  <sheetViews>
    <sheetView workbookViewId="0">
      <selection activeCell="D7" sqref="D7"/>
    </sheetView>
  </sheetViews>
  <sheetFormatPr defaultColWidth="10.85546875" defaultRowHeight="15" x14ac:dyDescent="0.25"/>
  <cols>
    <col min="1" max="2" width="10.85546875" style="17"/>
    <col min="3" max="3" width="14.28515625" style="18" bestFit="1" customWidth="1"/>
  </cols>
  <sheetData>
    <row r="1" spans="1:4" x14ac:dyDescent="0.25">
      <c r="A1" s="17" t="s">
        <v>10</v>
      </c>
      <c r="B1" s="17" t="s">
        <v>1</v>
      </c>
      <c r="C1" s="18" t="s">
        <v>40</v>
      </c>
      <c r="D1" t="s">
        <v>37</v>
      </c>
    </row>
    <row r="2" spans="1:4" x14ac:dyDescent="0.25">
      <c r="A2" s="17">
        <v>38718</v>
      </c>
      <c r="B2" s="20">
        <f t="shared" ref="B2:B33" si="0">YEAR(A2)</f>
        <v>2006</v>
      </c>
      <c r="C2" s="18">
        <f>'Monthly Data'!B2</f>
        <v>16432360.530000001</v>
      </c>
      <c r="D2">
        <f>'Normalized Monthly Data'!K2</f>
        <v>17490396.553281426</v>
      </c>
    </row>
    <row r="3" spans="1:4" x14ac:dyDescent="0.25">
      <c r="A3" s="17">
        <v>38749</v>
      </c>
      <c r="B3" s="20">
        <f t="shared" si="0"/>
        <v>2006</v>
      </c>
      <c r="C3" s="18">
        <f>'Monthly Data'!B3</f>
        <v>15254915.93</v>
      </c>
      <c r="D3">
        <f>'Normalized Monthly Data'!K3</f>
        <v>15979584.491596151</v>
      </c>
    </row>
    <row r="4" spans="1:4" x14ac:dyDescent="0.25">
      <c r="A4" s="17">
        <v>38777</v>
      </c>
      <c r="B4" s="20">
        <f t="shared" si="0"/>
        <v>2006</v>
      </c>
      <c r="C4" s="18">
        <f>'Monthly Data'!B4</f>
        <v>14730427.050000001</v>
      </c>
      <c r="D4">
        <f>'Normalized Monthly Data'!K4</f>
        <v>15496812.336256936</v>
      </c>
    </row>
    <row r="5" spans="1:4" x14ac:dyDescent="0.25">
      <c r="A5" s="17">
        <v>38808</v>
      </c>
      <c r="B5" s="20">
        <f t="shared" si="0"/>
        <v>2006</v>
      </c>
      <c r="C5" s="18">
        <f>'Monthly Data'!B5</f>
        <v>11361311.199999999</v>
      </c>
      <c r="D5">
        <f>'Normalized Monthly Data'!K5</f>
        <v>12562372.779882666</v>
      </c>
    </row>
    <row r="6" spans="1:4" x14ac:dyDescent="0.25">
      <c r="A6" s="17">
        <v>38838</v>
      </c>
      <c r="B6" s="20">
        <f t="shared" si="0"/>
        <v>2006</v>
      </c>
      <c r="C6" s="18">
        <f>'Monthly Data'!B6</f>
        <v>10639715.810000001</v>
      </c>
      <c r="D6">
        <f>'Normalized Monthly Data'!K6</f>
        <v>11355780.351213217</v>
      </c>
    </row>
    <row r="7" spans="1:4" x14ac:dyDescent="0.25">
      <c r="A7" s="17">
        <v>38869</v>
      </c>
      <c r="B7" s="20">
        <f t="shared" si="0"/>
        <v>2006</v>
      </c>
      <c r="C7" s="18">
        <f>'Monthly Data'!B7</f>
        <v>9655562.2699999996</v>
      </c>
      <c r="D7">
        <f>'Normalized Monthly Data'!K7</f>
        <v>10210261.12373759</v>
      </c>
    </row>
    <row r="8" spans="1:4" x14ac:dyDescent="0.25">
      <c r="A8" s="17">
        <v>38899</v>
      </c>
      <c r="B8" s="20">
        <f t="shared" si="0"/>
        <v>2006</v>
      </c>
      <c r="C8" s="18">
        <f>'Monthly Data'!B8</f>
        <v>10846451.32</v>
      </c>
      <c r="D8">
        <f>'Normalized Monthly Data'!K8</f>
        <v>9780390.0186187383</v>
      </c>
    </row>
    <row r="9" spans="1:4" x14ac:dyDescent="0.25">
      <c r="A9" s="17">
        <v>38930</v>
      </c>
      <c r="B9" s="20">
        <f t="shared" si="0"/>
        <v>2006</v>
      </c>
      <c r="C9" s="18">
        <f>'Monthly Data'!B9</f>
        <v>10694433.439999999</v>
      </c>
      <c r="D9">
        <f>'Normalized Monthly Data'!K9</f>
        <v>10045321.17115088</v>
      </c>
    </row>
    <row r="10" spans="1:4" x14ac:dyDescent="0.25">
      <c r="A10" s="17">
        <v>38961</v>
      </c>
      <c r="B10" s="20">
        <f t="shared" si="0"/>
        <v>2006</v>
      </c>
      <c r="C10" s="18">
        <f>'Monthly Data'!B10</f>
        <v>10191889.76</v>
      </c>
      <c r="D10">
        <f>'Normalized Monthly Data'!K10</f>
        <v>10136521.928203579</v>
      </c>
    </row>
    <row r="11" spans="1:4" x14ac:dyDescent="0.25">
      <c r="A11" s="17">
        <v>38991</v>
      </c>
      <c r="B11" s="20">
        <f t="shared" si="0"/>
        <v>2006</v>
      </c>
      <c r="C11" s="18">
        <f>'Monthly Data'!B11</f>
        <v>12347060.369999999</v>
      </c>
      <c r="D11">
        <f>'Normalized Monthly Data'!K11</f>
        <v>11867645.425905567</v>
      </c>
    </row>
    <row r="12" spans="1:4" x14ac:dyDescent="0.25">
      <c r="A12" s="17">
        <v>39022</v>
      </c>
      <c r="B12" s="20">
        <f t="shared" si="0"/>
        <v>2006</v>
      </c>
      <c r="C12" s="18">
        <f>'Monthly Data'!B12</f>
        <v>12995676.43</v>
      </c>
      <c r="D12">
        <f>'Normalized Monthly Data'!K12</f>
        <v>13811014.281546282</v>
      </c>
    </row>
    <row r="13" spans="1:4" x14ac:dyDescent="0.25">
      <c r="A13" s="17">
        <v>39052</v>
      </c>
      <c r="B13" s="20">
        <f t="shared" si="0"/>
        <v>2006</v>
      </c>
      <c r="C13" s="18">
        <f>'Monthly Data'!B13</f>
        <v>15518992.219999999</v>
      </c>
      <c r="D13">
        <f>'Normalized Monthly Data'!K13</f>
        <v>15802129.734256234</v>
      </c>
    </row>
    <row r="14" spans="1:4" x14ac:dyDescent="0.25">
      <c r="A14" s="17">
        <v>39083</v>
      </c>
      <c r="B14" s="20">
        <f t="shared" si="0"/>
        <v>2007</v>
      </c>
      <c r="C14" s="18">
        <f>'Monthly Data'!B14</f>
        <v>17027640.539999999</v>
      </c>
      <c r="D14">
        <f>'Normalized Monthly Data'!K14</f>
        <v>17611115.722293213</v>
      </c>
    </row>
    <row r="15" spans="1:4" x14ac:dyDescent="0.25">
      <c r="A15" s="17">
        <v>39114</v>
      </c>
      <c r="B15" s="20">
        <f t="shared" si="0"/>
        <v>2007</v>
      </c>
      <c r="C15" s="18">
        <f>'Monthly Data'!B15</f>
        <v>16669380.510000002</v>
      </c>
      <c r="D15">
        <f>'Normalized Monthly Data'!K15</f>
        <v>15979584.491596151</v>
      </c>
    </row>
    <row r="16" spans="1:4" x14ac:dyDescent="0.25">
      <c r="A16" s="17">
        <v>39142</v>
      </c>
      <c r="B16" s="20">
        <f t="shared" si="0"/>
        <v>2007</v>
      </c>
      <c r="C16" s="18">
        <f>'Monthly Data'!B16</f>
        <v>14934754.379999999</v>
      </c>
      <c r="D16">
        <f>'Normalized Monthly Data'!K16</f>
        <v>15376093.16724515</v>
      </c>
    </row>
    <row r="17" spans="1:4" x14ac:dyDescent="0.25">
      <c r="A17" s="17">
        <v>39173</v>
      </c>
      <c r="B17" s="20">
        <f t="shared" si="0"/>
        <v>2007</v>
      </c>
      <c r="C17" s="18">
        <f>'Monthly Data'!B17</f>
        <v>12687457.810000002</v>
      </c>
      <c r="D17">
        <f>'Normalized Monthly Data'!K17</f>
        <v>12683091.948894452</v>
      </c>
    </row>
    <row r="18" spans="1:4" x14ac:dyDescent="0.25">
      <c r="A18" s="17">
        <v>39203</v>
      </c>
      <c r="B18" s="20">
        <f t="shared" si="0"/>
        <v>2007</v>
      </c>
      <c r="C18" s="18">
        <f>'Monthly Data'!B18</f>
        <v>10985339.710000001</v>
      </c>
      <c r="D18">
        <f>'Normalized Monthly Data'!K18</f>
        <v>11355780.351213217</v>
      </c>
    </row>
    <row r="19" spans="1:4" x14ac:dyDescent="0.25">
      <c r="A19" s="17">
        <v>39234</v>
      </c>
      <c r="B19" s="20">
        <f t="shared" si="0"/>
        <v>2007</v>
      </c>
      <c r="C19" s="18">
        <f>'Monthly Data'!B19</f>
        <v>9760012.7799999993</v>
      </c>
      <c r="D19">
        <f>'Normalized Monthly Data'!K19</f>
        <v>10089541.954725806</v>
      </c>
    </row>
    <row r="20" spans="1:4" x14ac:dyDescent="0.25">
      <c r="A20" s="17">
        <v>39264</v>
      </c>
      <c r="B20" s="20">
        <f t="shared" si="0"/>
        <v>2007</v>
      </c>
      <c r="C20" s="18">
        <f>'Monthly Data'!B20</f>
        <v>10363539.75</v>
      </c>
      <c r="D20">
        <f>'Normalized Monthly Data'!K20</f>
        <v>9901109.187630523</v>
      </c>
    </row>
    <row r="21" spans="1:4" x14ac:dyDescent="0.25">
      <c r="A21" s="17">
        <v>39295</v>
      </c>
      <c r="B21" s="20">
        <f t="shared" si="0"/>
        <v>2007</v>
      </c>
      <c r="C21" s="18">
        <f>'Monthly Data'!B21</f>
        <v>10623681.955423476</v>
      </c>
      <c r="D21">
        <f>'Normalized Monthly Data'!K21</f>
        <v>10045321.17115088</v>
      </c>
    </row>
    <row r="22" spans="1:4" x14ac:dyDescent="0.25">
      <c r="A22" s="17">
        <v>39326</v>
      </c>
      <c r="B22" s="20">
        <f t="shared" si="0"/>
        <v>2007</v>
      </c>
      <c r="C22" s="18">
        <f>'Monthly Data'!B22</f>
        <v>9937765.4600000009</v>
      </c>
      <c r="D22">
        <f>'Normalized Monthly Data'!K22</f>
        <v>10015802.759191792</v>
      </c>
    </row>
    <row r="23" spans="1:4" x14ac:dyDescent="0.25">
      <c r="A23" s="17">
        <v>39356</v>
      </c>
      <c r="B23" s="20">
        <f t="shared" si="0"/>
        <v>2007</v>
      </c>
      <c r="C23" s="18">
        <f>'Monthly Data'!B23</f>
        <v>11018147.890000001</v>
      </c>
      <c r="D23">
        <f>'Normalized Monthly Data'!K23</f>
        <v>11988364.594917351</v>
      </c>
    </row>
    <row r="24" spans="1:4" x14ac:dyDescent="0.25">
      <c r="A24" s="17">
        <v>39387</v>
      </c>
      <c r="B24" s="20">
        <f t="shared" si="0"/>
        <v>2007</v>
      </c>
      <c r="C24" s="18">
        <f>'Monthly Data'!B24</f>
        <v>13301022.960000001</v>
      </c>
      <c r="D24">
        <f>'Normalized Monthly Data'!K24</f>
        <v>13811014.281546282</v>
      </c>
    </row>
    <row r="25" spans="1:4" x14ac:dyDescent="0.25">
      <c r="A25" s="17">
        <v>39417</v>
      </c>
      <c r="B25" s="20">
        <f t="shared" si="0"/>
        <v>2007</v>
      </c>
      <c r="C25" s="18">
        <f>'Monthly Data'!B25</f>
        <v>16610853.84</v>
      </c>
      <c r="D25">
        <f>'Normalized Monthly Data'!K25</f>
        <v>15802129.734256234</v>
      </c>
    </row>
    <row r="26" spans="1:4" x14ac:dyDescent="0.25">
      <c r="A26" s="17">
        <v>39448</v>
      </c>
      <c r="B26" s="20">
        <f t="shared" si="0"/>
        <v>2008</v>
      </c>
      <c r="C26" s="18">
        <f>'Monthly Data'!B26</f>
        <v>16747623.760000002</v>
      </c>
      <c r="D26">
        <f>'Normalized Monthly Data'!K26</f>
        <v>17611115.722293213</v>
      </c>
    </row>
    <row r="27" spans="1:4" x14ac:dyDescent="0.25">
      <c r="A27" s="17">
        <v>39479</v>
      </c>
      <c r="B27" s="20">
        <f t="shared" si="0"/>
        <v>2008</v>
      </c>
      <c r="C27" s="18">
        <f>'Monthly Data'!B27</f>
        <v>16220989.899999999</v>
      </c>
      <c r="D27">
        <f>'Normalized Monthly Data'!K27</f>
        <v>15979584.491596151</v>
      </c>
    </row>
    <row r="28" spans="1:4" x14ac:dyDescent="0.25">
      <c r="A28" s="17">
        <v>39508</v>
      </c>
      <c r="B28" s="20">
        <f t="shared" si="0"/>
        <v>2008</v>
      </c>
      <c r="C28" s="18">
        <f>'Monthly Data'!B28</f>
        <v>16185519.129999999</v>
      </c>
      <c r="D28">
        <f>'Normalized Monthly Data'!K28</f>
        <v>15013935.660209792</v>
      </c>
    </row>
    <row r="29" spans="1:4" x14ac:dyDescent="0.25">
      <c r="A29" s="17">
        <v>39539</v>
      </c>
      <c r="B29" s="20">
        <f t="shared" si="0"/>
        <v>2008</v>
      </c>
      <c r="C29" s="18">
        <f>'Monthly Data'!B29</f>
        <v>12384878.220000001</v>
      </c>
      <c r="D29">
        <f>'Normalized Monthly Data'!K29</f>
        <v>13045249.45592981</v>
      </c>
    </row>
    <row r="30" spans="1:4" x14ac:dyDescent="0.25">
      <c r="A30" s="17">
        <v>39569</v>
      </c>
      <c r="B30" s="20">
        <f t="shared" si="0"/>
        <v>2008</v>
      </c>
      <c r="C30" s="18">
        <f>'Monthly Data'!B30</f>
        <v>11570573.57</v>
      </c>
      <c r="D30">
        <f>'Normalized Monthly Data'!K30</f>
        <v>11235061.18220143</v>
      </c>
    </row>
    <row r="31" spans="1:4" x14ac:dyDescent="0.25">
      <c r="A31" s="17">
        <v>39600</v>
      </c>
      <c r="B31" s="20">
        <f t="shared" si="0"/>
        <v>2008</v>
      </c>
      <c r="C31" s="18">
        <f>'Monthly Data'!B31</f>
        <v>10031531.33</v>
      </c>
      <c r="D31">
        <f>'Normalized Monthly Data'!K31</f>
        <v>10089541.954725806</v>
      </c>
    </row>
    <row r="32" spans="1:4" x14ac:dyDescent="0.25">
      <c r="A32" s="17">
        <v>39630</v>
      </c>
      <c r="B32" s="20">
        <f t="shared" si="0"/>
        <v>2008</v>
      </c>
      <c r="C32" s="18">
        <f>'Monthly Data'!B32</f>
        <v>10603201.34</v>
      </c>
      <c r="D32">
        <f>'Normalized Monthly Data'!K32</f>
        <v>10021828.35664231</v>
      </c>
    </row>
    <row r="33" spans="1:4" x14ac:dyDescent="0.25">
      <c r="A33" s="17">
        <v>39661</v>
      </c>
      <c r="B33" s="20">
        <f t="shared" si="0"/>
        <v>2008</v>
      </c>
      <c r="C33" s="18">
        <f>'Monthly Data'!B33</f>
        <v>10275407.85</v>
      </c>
      <c r="D33">
        <f>'Normalized Monthly Data'!K33</f>
        <v>9803882.8331273086</v>
      </c>
    </row>
    <row r="34" spans="1:4" x14ac:dyDescent="0.25">
      <c r="A34" s="17">
        <v>39692</v>
      </c>
      <c r="B34" s="20">
        <f t="shared" ref="B34:B65" si="1">YEAR(A34)</f>
        <v>2008</v>
      </c>
      <c r="C34" s="18">
        <f>'Monthly Data'!B34</f>
        <v>9957791.7799999993</v>
      </c>
      <c r="D34">
        <f>'Normalized Monthly Data'!K34</f>
        <v>10257241.097215366</v>
      </c>
    </row>
    <row r="35" spans="1:4" x14ac:dyDescent="0.25">
      <c r="A35" s="17">
        <v>39722</v>
      </c>
      <c r="B35" s="20">
        <f t="shared" si="1"/>
        <v>2008</v>
      </c>
      <c r="C35" s="18">
        <f>'Monthly Data'!B35</f>
        <v>11903930.970000001</v>
      </c>
      <c r="D35">
        <f>'Normalized Monthly Data'!K35</f>
        <v>11988364.594917351</v>
      </c>
    </row>
    <row r="36" spans="1:4" x14ac:dyDescent="0.25">
      <c r="A36" s="17">
        <v>39753</v>
      </c>
      <c r="B36" s="20">
        <f t="shared" si="1"/>
        <v>2008</v>
      </c>
      <c r="C36" s="18">
        <f>'Monthly Data'!B36</f>
        <v>13578501.350000001</v>
      </c>
      <c r="D36">
        <f>'Normalized Monthly Data'!K36</f>
        <v>13569575.94352271</v>
      </c>
    </row>
    <row r="37" spans="1:4" x14ac:dyDescent="0.25">
      <c r="A37" s="17">
        <v>39783</v>
      </c>
      <c r="B37" s="20">
        <f t="shared" si="1"/>
        <v>2008</v>
      </c>
      <c r="C37" s="18">
        <f>'Monthly Data'!B37</f>
        <v>18362207.48</v>
      </c>
      <c r="D37">
        <f>'Normalized Monthly Data'!K37</f>
        <v>16043568.072279807</v>
      </c>
    </row>
    <row r="38" spans="1:4" x14ac:dyDescent="0.25">
      <c r="A38" s="17">
        <v>39814</v>
      </c>
      <c r="B38" s="20">
        <f t="shared" si="1"/>
        <v>2009</v>
      </c>
      <c r="C38" s="18">
        <f>'Monthly Data'!B38</f>
        <v>18881349</v>
      </c>
      <c r="D38">
        <f>'Normalized Monthly Data'!K38</f>
        <v>17490396.553281426</v>
      </c>
    </row>
    <row r="39" spans="1:4" x14ac:dyDescent="0.25">
      <c r="A39" s="17">
        <v>39845</v>
      </c>
      <c r="B39" s="20">
        <f t="shared" si="1"/>
        <v>2009</v>
      </c>
      <c r="C39" s="18">
        <f>'Monthly Data'!B39</f>
        <v>15951302.32</v>
      </c>
      <c r="D39">
        <f>'Normalized Monthly Data'!K39</f>
        <v>15858865.322584365</v>
      </c>
    </row>
    <row r="40" spans="1:4" x14ac:dyDescent="0.25">
      <c r="A40" s="17">
        <v>39873</v>
      </c>
      <c r="B40" s="20">
        <f t="shared" si="1"/>
        <v>2009</v>
      </c>
      <c r="C40" s="18">
        <f>'Monthly Data'!B40</f>
        <v>15986795.57</v>
      </c>
      <c r="D40">
        <f>'Normalized Monthly Data'!K40</f>
        <v>15376093.16724515</v>
      </c>
    </row>
    <row r="41" spans="1:4" x14ac:dyDescent="0.25">
      <c r="A41" s="17">
        <v>39904</v>
      </c>
      <c r="B41" s="20">
        <f t="shared" si="1"/>
        <v>2009</v>
      </c>
      <c r="C41" s="18">
        <f>'Monthly Data'!B41</f>
        <v>12817613.51</v>
      </c>
      <c r="D41">
        <f>'Normalized Monthly Data'!K41</f>
        <v>12803811.117906239</v>
      </c>
    </row>
    <row r="42" spans="1:4" x14ac:dyDescent="0.25">
      <c r="A42" s="17">
        <v>39934</v>
      </c>
      <c r="B42" s="20">
        <f t="shared" si="1"/>
        <v>2009</v>
      </c>
      <c r="C42" s="18">
        <f>'Monthly Data'!B42</f>
        <v>11557935.369999999</v>
      </c>
      <c r="D42">
        <f>'Normalized Monthly Data'!K42</f>
        <v>11114342.013189645</v>
      </c>
    </row>
    <row r="43" spans="1:4" x14ac:dyDescent="0.25">
      <c r="A43" s="17">
        <v>39965</v>
      </c>
      <c r="B43" s="20">
        <f t="shared" si="1"/>
        <v>2009</v>
      </c>
      <c r="C43" s="18">
        <f>'Monthly Data'!B43</f>
        <v>10386431.49</v>
      </c>
      <c r="D43">
        <f>'Normalized Monthly Data'!K43</f>
        <v>10210261.12373759</v>
      </c>
    </row>
    <row r="44" spans="1:4" x14ac:dyDescent="0.25">
      <c r="A44" s="17">
        <v>39995</v>
      </c>
      <c r="B44" s="20">
        <f t="shared" si="1"/>
        <v>2009</v>
      </c>
      <c r="C44" s="18">
        <f>'Monthly Data'!B44</f>
        <v>10790837.5</v>
      </c>
      <c r="D44">
        <f>'Normalized Monthly Data'!K44</f>
        <v>10021828.35664231</v>
      </c>
    </row>
    <row r="45" spans="1:4" x14ac:dyDescent="0.25">
      <c r="A45" s="17">
        <v>40026</v>
      </c>
      <c r="B45" s="20">
        <f t="shared" si="1"/>
        <v>2009</v>
      </c>
      <c r="C45" s="18">
        <f>'Monthly Data'!B45</f>
        <v>11118670.27</v>
      </c>
      <c r="D45">
        <f>'Normalized Monthly Data'!K45</f>
        <v>9803882.8331273086</v>
      </c>
    </row>
    <row r="46" spans="1:4" x14ac:dyDescent="0.25">
      <c r="A46" s="17">
        <v>40057</v>
      </c>
      <c r="B46" s="20">
        <f t="shared" si="1"/>
        <v>2009</v>
      </c>
      <c r="C46" s="18">
        <f>'Monthly Data'!B46</f>
        <v>10133781.59</v>
      </c>
      <c r="D46">
        <f>'Normalized Monthly Data'!K46</f>
        <v>10257241.097215366</v>
      </c>
    </row>
    <row r="47" spans="1:4" x14ac:dyDescent="0.25">
      <c r="A47" s="17">
        <v>40087</v>
      </c>
      <c r="B47" s="20">
        <f t="shared" si="1"/>
        <v>2009</v>
      </c>
      <c r="C47" s="18">
        <f>'Monthly Data'!B47</f>
        <v>13000847.74</v>
      </c>
      <c r="D47">
        <f>'Normalized Monthly Data'!K47</f>
        <v>11867645.425905567</v>
      </c>
    </row>
    <row r="48" spans="1:4" x14ac:dyDescent="0.25">
      <c r="A48" s="17">
        <v>40118</v>
      </c>
      <c r="B48" s="20">
        <f t="shared" si="1"/>
        <v>2009</v>
      </c>
      <c r="C48" s="18">
        <f>'Monthly Data'!B48</f>
        <v>12805137.380000001</v>
      </c>
      <c r="D48">
        <f>'Normalized Monthly Data'!K48</f>
        <v>13690295.112534497</v>
      </c>
    </row>
    <row r="49" spans="1:4" x14ac:dyDescent="0.25">
      <c r="A49" s="17">
        <v>40148</v>
      </c>
      <c r="B49" s="20">
        <f t="shared" si="1"/>
        <v>2009</v>
      </c>
      <c r="C49" s="18">
        <f>'Monthly Data'!B49</f>
        <v>17322151.559999999</v>
      </c>
      <c r="D49">
        <f>'Normalized Monthly Data'!K49</f>
        <v>16043568.072279807</v>
      </c>
    </row>
    <row r="50" spans="1:4" x14ac:dyDescent="0.25">
      <c r="A50" s="17">
        <v>40179</v>
      </c>
      <c r="B50" s="20">
        <f t="shared" si="1"/>
        <v>2010</v>
      </c>
      <c r="C50" s="18">
        <f>'Monthly Data'!B50</f>
        <v>17283128.699999999</v>
      </c>
      <c r="D50">
        <f>'Normalized Monthly Data'!K50</f>
        <v>17369677.38426964</v>
      </c>
    </row>
    <row r="51" spans="1:4" x14ac:dyDescent="0.25">
      <c r="A51" s="17">
        <v>40210</v>
      </c>
      <c r="B51" s="20">
        <f t="shared" si="1"/>
        <v>2010</v>
      </c>
      <c r="C51" s="18">
        <f>'Monthly Data'!B51</f>
        <v>14874695.649999999</v>
      </c>
      <c r="D51">
        <f>'Normalized Monthly Data'!K51</f>
        <v>15858865.322584365</v>
      </c>
    </row>
    <row r="52" spans="1:4" x14ac:dyDescent="0.25">
      <c r="A52" s="17">
        <v>40238</v>
      </c>
      <c r="B52" s="20">
        <f t="shared" si="1"/>
        <v>2010</v>
      </c>
      <c r="C52" s="18">
        <f>'Monthly Data'!B52</f>
        <v>13997010.93</v>
      </c>
      <c r="D52">
        <f>'Normalized Monthly Data'!K52</f>
        <v>15496812.336256936</v>
      </c>
    </row>
    <row r="53" spans="1:4" x14ac:dyDescent="0.25">
      <c r="A53" s="17">
        <v>40269</v>
      </c>
      <c r="B53" s="20">
        <f t="shared" si="1"/>
        <v>2010</v>
      </c>
      <c r="C53" s="18">
        <f>'Monthly Data'!B53</f>
        <v>10847949.960000001</v>
      </c>
      <c r="D53">
        <f>'Normalized Monthly Data'!K53</f>
        <v>12803811.117906239</v>
      </c>
    </row>
    <row r="54" spans="1:4" x14ac:dyDescent="0.25">
      <c r="A54" s="17">
        <v>40299</v>
      </c>
      <c r="B54" s="20">
        <f t="shared" si="1"/>
        <v>2010</v>
      </c>
      <c r="C54" s="18">
        <f>'Monthly Data'!B54</f>
        <v>10080566.119999999</v>
      </c>
      <c r="D54">
        <f>'Normalized Monthly Data'!K54</f>
        <v>11114342.013189645</v>
      </c>
    </row>
    <row r="55" spans="1:4" x14ac:dyDescent="0.25">
      <c r="A55" s="17">
        <v>40330</v>
      </c>
      <c r="B55" s="20">
        <f t="shared" si="1"/>
        <v>2010</v>
      </c>
      <c r="C55" s="18">
        <f>'Monthly Data'!B55</f>
        <v>9283863.4100000001</v>
      </c>
      <c r="D55">
        <f>'Normalized Monthly Data'!K55</f>
        <v>10210261.12373759</v>
      </c>
    </row>
    <row r="56" spans="1:4" x14ac:dyDescent="0.25">
      <c r="A56" s="17">
        <v>40360</v>
      </c>
      <c r="B56" s="20">
        <f t="shared" si="1"/>
        <v>2010</v>
      </c>
      <c r="C56" s="18">
        <f>'Monthly Data'!B56</f>
        <v>10277037.66</v>
      </c>
      <c r="D56">
        <f>'Normalized Monthly Data'!K56</f>
        <v>9901109.187630523</v>
      </c>
    </row>
    <row r="57" spans="1:4" x14ac:dyDescent="0.25">
      <c r="A57" s="17">
        <v>40391</v>
      </c>
      <c r="B57" s="20">
        <f t="shared" si="1"/>
        <v>2010</v>
      </c>
      <c r="C57" s="18">
        <f>'Monthly Data'!B57</f>
        <v>10298675.939999999</v>
      </c>
      <c r="D57">
        <f>'Normalized Monthly Data'!K57</f>
        <v>9924602.0021390952</v>
      </c>
    </row>
    <row r="58" spans="1:4" x14ac:dyDescent="0.25">
      <c r="A58" s="17">
        <v>40422</v>
      </c>
      <c r="B58" s="20">
        <f t="shared" si="1"/>
        <v>2010</v>
      </c>
      <c r="C58" s="18">
        <f>'Monthly Data'!B58</f>
        <v>9789881.8000000007</v>
      </c>
      <c r="D58">
        <f>'Normalized Monthly Data'!K58</f>
        <v>10257241.097215366</v>
      </c>
    </row>
    <row r="59" spans="1:4" x14ac:dyDescent="0.25">
      <c r="A59" s="17">
        <v>40452</v>
      </c>
      <c r="B59" s="20">
        <f t="shared" si="1"/>
        <v>2010</v>
      </c>
      <c r="C59" s="18">
        <f>'Monthly Data'!B59</f>
        <v>10854951.359999999</v>
      </c>
      <c r="D59">
        <f>'Normalized Monthly Data'!K59</f>
        <v>11746926.25689378</v>
      </c>
    </row>
    <row r="60" spans="1:4" x14ac:dyDescent="0.25">
      <c r="A60" s="17">
        <v>40483</v>
      </c>
      <c r="B60" s="20">
        <f t="shared" si="1"/>
        <v>2010</v>
      </c>
      <c r="C60" s="18">
        <f>'Monthly Data'!B60</f>
        <v>12307817.600000001</v>
      </c>
      <c r="D60">
        <f>'Normalized Monthly Data'!K60</f>
        <v>13811014.281546282</v>
      </c>
    </row>
    <row r="61" spans="1:4" x14ac:dyDescent="0.25">
      <c r="A61" s="17">
        <v>40513</v>
      </c>
      <c r="B61" s="20">
        <f t="shared" si="1"/>
        <v>2010</v>
      </c>
      <c r="C61" s="18">
        <f>'Monthly Data'!B61</f>
        <v>16509634.079999998</v>
      </c>
      <c r="D61">
        <f>'Normalized Monthly Data'!K61</f>
        <v>16043568.072279807</v>
      </c>
    </row>
    <row r="62" spans="1:4" x14ac:dyDescent="0.25">
      <c r="A62" s="17">
        <v>40544</v>
      </c>
      <c r="B62" s="20">
        <f t="shared" si="1"/>
        <v>2011</v>
      </c>
      <c r="C62" s="18">
        <f>'Monthly Data'!B62</f>
        <v>18210954.41</v>
      </c>
      <c r="D62">
        <f>'Normalized Monthly Data'!K62</f>
        <v>17369677.38426964</v>
      </c>
    </row>
    <row r="63" spans="1:4" x14ac:dyDescent="0.25">
      <c r="A63" s="17">
        <v>40575</v>
      </c>
      <c r="B63" s="20">
        <f t="shared" si="1"/>
        <v>2011</v>
      </c>
      <c r="C63" s="18">
        <f>'Monthly Data'!B63</f>
        <v>15275983.57</v>
      </c>
      <c r="D63">
        <f>'Normalized Monthly Data'!K63</f>
        <v>15858865.322584365</v>
      </c>
    </row>
    <row r="64" spans="1:4" x14ac:dyDescent="0.25">
      <c r="A64" s="17">
        <v>40603</v>
      </c>
      <c r="B64" s="20">
        <f t="shared" si="1"/>
        <v>2011</v>
      </c>
      <c r="C64" s="18">
        <f>'Monthly Data'!B64</f>
        <v>14923502.969999999</v>
      </c>
      <c r="D64">
        <f>'Normalized Monthly Data'!K64</f>
        <v>15496812.336256936</v>
      </c>
    </row>
    <row r="65" spans="1:4" x14ac:dyDescent="0.25">
      <c r="A65" s="17">
        <v>40634</v>
      </c>
      <c r="B65" s="20">
        <f t="shared" si="1"/>
        <v>2011</v>
      </c>
      <c r="C65" s="18">
        <f>'Monthly Data'!B65</f>
        <v>12118407.5</v>
      </c>
      <c r="D65">
        <f>'Normalized Monthly Data'!K65</f>
        <v>12683091.948894452</v>
      </c>
    </row>
    <row r="66" spans="1:4" x14ac:dyDescent="0.25">
      <c r="A66" s="17">
        <v>40664</v>
      </c>
      <c r="B66" s="20">
        <f t="shared" ref="B66:B97" si="2">YEAR(A66)</f>
        <v>2011</v>
      </c>
      <c r="C66" s="18">
        <f>'Monthly Data'!B66</f>
        <v>10132000.65</v>
      </c>
      <c r="D66">
        <f>'Normalized Monthly Data'!K66</f>
        <v>11235061.18220143</v>
      </c>
    </row>
    <row r="67" spans="1:4" x14ac:dyDescent="0.25">
      <c r="A67" s="17">
        <v>40695</v>
      </c>
      <c r="B67" s="20">
        <f t="shared" si="2"/>
        <v>2011</v>
      </c>
      <c r="C67" s="18">
        <f>'Monthly Data'!B67</f>
        <v>9032152.8599999994</v>
      </c>
      <c r="D67">
        <f>'Normalized Monthly Data'!K67</f>
        <v>10210261.12373759</v>
      </c>
    </row>
    <row r="68" spans="1:4" x14ac:dyDescent="0.25">
      <c r="A68" s="17">
        <v>40725</v>
      </c>
      <c r="B68" s="20">
        <f t="shared" si="2"/>
        <v>2011</v>
      </c>
      <c r="C68" s="18">
        <f>'Monthly Data'!B68</f>
        <v>10244088.84</v>
      </c>
      <c r="D68">
        <f>'Normalized Monthly Data'!K68</f>
        <v>9780390.0186187383</v>
      </c>
    </row>
    <row r="69" spans="1:4" x14ac:dyDescent="0.25">
      <c r="A69" s="17">
        <v>40756</v>
      </c>
      <c r="B69" s="20">
        <f t="shared" si="2"/>
        <v>2011</v>
      </c>
      <c r="C69" s="18">
        <f>'Monthly Data'!B69</f>
        <v>10453709.460000001</v>
      </c>
      <c r="D69">
        <f>'Normalized Monthly Data'!K69</f>
        <v>10045321.17115088</v>
      </c>
    </row>
    <row r="70" spans="1:4" x14ac:dyDescent="0.25">
      <c r="A70" s="17">
        <v>40787</v>
      </c>
      <c r="B70" s="20">
        <f t="shared" si="2"/>
        <v>2011</v>
      </c>
      <c r="C70" s="18">
        <f>'Monthly Data'!B70</f>
        <v>9912883.3800000008</v>
      </c>
      <c r="D70">
        <f>'Normalized Monthly Data'!K70</f>
        <v>10257241.097215366</v>
      </c>
    </row>
    <row r="71" spans="1:4" x14ac:dyDescent="0.25">
      <c r="A71" s="17">
        <v>40817</v>
      </c>
      <c r="B71" s="20">
        <f t="shared" si="2"/>
        <v>2011</v>
      </c>
      <c r="C71" s="18">
        <f>'Monthly Data'!B71</f>
        <v>10981342.77</v>
      </c>
      <c r="D71">
        <f>'Normalized Monthly Data'!K71</f>
        <v>11746926.25689378</v>
      </c>
    </row>
    <row r="72" spans="1:4" x14ac:dyDescent="0.25">
      <c r="A72" s="17">
        <v>40848</v>
      </c>
      <c r="B72" s="20">
        <f t="shared" si="2"/>
        <v>2011</v>
      </c>
      <c r="C72" s="18">
        <f>'Monthly Data'!B72</f>
        <v>12396977.68</v>
      </c>
      <c r="D72">
        <f>'Normalized Monthly Data'!K72</f>
        <v>13811014.281546282</v>
      </c>
    </row>
    <row r="73" spans="1:4" x14ac:dyDescent="0.25">
      <c r="A73" s="17">
        <v>40878</v>
      </c>
      <c r="B73" s="20">
        <f t="shared" si="2"/>
        <v>2011</v>
      </c>
      <c r="C73" s="18">
        <f>'Monthly Data'!B73</f>
        <v>15364156.579999998</v>
      </c>
      <c r="D73">
        <f>'Normalized Monthly Data'!K73</f>
        <v>15922848.903268021</v>
      </c>
    </row>
    <row r="74" spans="1:4" x14ac:dyDescent="0.25">
      <c r="A74" s="17">
        <v>40909</v>
      </c>
      <c r="B74" s="20">
        <f t="shared" si="2"/>
        <v>2012</v>
      </c>
      <c r="C74" s="18">
        <f>'Monthly Data'!B74</f>
        <v>16257178</v>
      </c>
      <c r="D74">
        <f>'Normalized Monthly Data'!K74</f>
        <v>17490396.553281426</v>
      </c>
    </row>
    <row r="75" spans="1:4" x14ac:dyDescent="0.25">
      <c r="A75" s="17">
        <v>40940</v>
      </c>
      <c r="B75" s="20">
        <f t="shared" si="2"/>
        <v>2012</v>
      </c>
      <c r="C75" s="18">
        <f>'Monthly Data'!B75</f>
        <v>14151568</v>
      </c>
      <c r="D75">
        <f>'Normalized Monthly Data'!K75</f>
        <v>15979584.491596151</v>
      </c>
    </row>
    <row r="76" spans="1:4" x14ac:dyDescent="0.25">
      <c r="A76" s="17">
        <v>40969</v>
      </c>
      <c r="B76" s="20">
        <f t="shared" si="2"/>
        <v>2012</v>
      </c>
      <c r="C76" s="18">
        <f>'Monthly Data'!B76</f>
        <v>13453783</v>
      </c>
      <c r="D76">
        <f>'Normalized Monthly Data'!K76</f>
        <v>15376093.16724515</v>
      </c>
    </row>
    <row r="77" spans="1:4" x14ac:dyDescent="0.25">
      <c r="A77" s="17">
        <v>41000</v>
      </c>
      <c r="B77" s="20">
        <f t="shared" si="2"/>
        <v>2012</v>
      </c>
      <c r="C77" s="18">
        <f>'Monthly Data'!B77</f>
        <v>11682191</v>
      </c>
      <c r="D77">
        <f>'Normalized Monthly Data'!K77</f>
        <v>12683091.948894452</v>
      </c>
    </row>
    <row r="78" spans="1:4" x14ac:dyDescent="0.25">
      <c r="A78" s="17">
        <v>41030</v>
      </c>
      <c r="B78" s="20">
        <f t="shared" si="2"/>
        <v>2012</v>
      </c>
      <c r="C78" s="18">
        <f>'Monthly Data'!B78</f>
        <v>10307176</v>
      </c>
      <c r="D78">
        <f>'Normalized Monthly Data'!K78</f>
        <v>11355780.351213217</v>
      </c>
    </row>
    <row r="79" spans="1:4" x14ac:dyDescent="0.25">
      <c r="A79" s="17">
        <v>41061</v>
      </c>
      <c r="B79" s="20">
        <f t="shared" si="2"/>
        <v>2012</v>
      </c>
      <c r="C79" s="18">
        <f>'Monthly Data'!B79</f>
        <v>9779424</v>
      </c>
      <c r="D79">
        <f>'Normalized Monthly Data'!K79</f>
        <v>10089541.954725806</v>
      </c>
    </row>
    <row r="80" spans="1:4" x14ac:dyDescent="0.25">
      <c r="A80" s="17">
        <v>41091</v>
      </c>
      <c r="B80" s="20">
        <f t="shared" si="2"/>
        <v>2012</v>
      </c>
      <c r="C80" s="18">
        <f>'Monthly Data'!B80</f>
        <v>10817789</v>
      </c>
      <c r="D80">
        <f>'Normalized Monthly Data'!K80</f>
        <v>9901109.187630523</v>
      </c>
    </row>
    <row r="81" spans="1:4" x14ac:dyDescent="0.25">
      <c r="A81" s="17">
        <v>41122</v>
      </c>
      <c r="B81" s="20">
        <f t="shared" si="2"/>
        <v>2012</v>
      </c>
      <c r="C81" s="18">
        <f>'Monthly Data'!B81</f>
        <v>10717021</v>
      </c>
      <c r="D81">
        <f>'Normalized Monthly Data'!K81</f>
        <v>10045321.17115088</v>
      </c>
    </row>
    <row r="82" spans="1:4" x14ac:dyDescent="0.25">
      <c r="A82" s="17">
        <v>41153</v>
      </c>
      <c r="B82" s="20">
        <f t="shared" si="2"/>
        <v>2012</v>
      </c>
      <c r="C82" s="18">
        <f>'Monthly Data'!B82</f>
        <v>10163216</v>
      </c>
      <c r="D82">
        <f>'Normalized Monthly Data'!K82</f>
        <v>10015802.759191792</v>
      </c>
    </row>
    <row r="83" spans="1:4" x14ac:dyDescent="0.25">
      <c r="A83" s="17">
        <v>41183</v>
      </c>
      <c r="B83" s="20">
        <f t="shared" si="2"/>
        <v>2012</v>
      </c>
      <c r="C83" s="18">
        <f>'Monthly Data'!B83</f>
        <v>11586791</v>
      </c>
      <c r="D83">
        <f>'Normalized Monthly Data'!K83</f>
        <v>11988364.594917351</v>
      </c>
    </row>
    <row r="84" spans="1:4" x14ac:dyDescent="0.25">
      <c r="A84" s="17">
        <v>41214</v>
      </c>
      <c r="B84" s="20">
        <f t="shared" si="2"/>
        <v>2012</v>
      </c>
      <c r="C84" s="18">
        <f>'Monthly Data'!B84</f>
        <v>13032681</v>
      </c>
      <c r="D84">
        <f>'Normalized Monthly Data'!K84</f>
        <v>13811014.281546282</v>
      </c>
    </row>
    <row r="85" spans="1:4" x14ac:dyDescent="0.25">
      <c r="A85" s="17">
        <v>41244</v>
      </c>
      <c r="B85" s="20">
        <f t="shared" si="2"/>
        <v>2012</v>
      </c>
      <c r="C85" s="18">
        <f>'Monthly Data'!B85</f>
        <v>15521871</v>
      </c>
      <c r="D85">
        <f>'Normalized Monthly Data'!K85</f>
        <v>15802129.734256234</v>
      </c>
    </row>
    <row r="86" spans="1:4" x14ac:dyDescent="0.25">
      <c r="A86" s="17">
        <v>41275</v>
      </c>
      <c r="B86" s="20">
        <f t="shared" si="2"/>
        <v>2013</v>
      </c>
      <c r="C86" s="18">
        <f>'Monthly Data'!B86</f>
        <v>16693786</v>
      </c>
      <c r="D86">
        <f>'Normalized Monthly Data'!K86</f>
        <v>17611115.722293213</v>
      </c>
    </row>
    <row r="87" spans="1:4" x14ac:dyDescent="0.25">
      <c r="A87" s="17">
        <v>41306</v>
      </c>
      <c r="B87" s="20">
        <f t="shared" si="2"/>
        <v>2013</v>
      </c>
      <c r="C87" s="18">
        <f>'Monthly Data'!B87</f>
        <v>15174191</v>
      </c>
      <c r="D87">
        <f>'Normalized Monthly Data'!K87</f>
        <v>15858865.322584365</v>
      </c>
    </row>
    <row r="88" spans="1:4" x14ac:dyDescent="0.25">
      <c r="A88" s="17">
        <v>41334</v>
      </c>
      <c r="B88" s="20">
        <f t="shared" si="2"/>
        <v>2013</v>
      </c>
      <c r="C88" s="18">
        <f>'Monthly Data'!B88</f>
        <v>14601438</v>
      </c>
      <c r="D88">
        <f>'Normalized Monthly Data'!K88</f>
        <v>15134654.829221578</v>
      </c>
    </row>
    <row r="89" spans="1:4" x14ac:dyDescent="0.25">
      <c r="A89" s="17">
        <v>41365</v>
      </c>
      <c r="B89" s="20">
        <f t="shared" si="2"/>
        <v>2013</v>
      </c>
      <c r="C89" s="18">
        <f>'Monthly Data'!B89</f>
        <v>13150077</v>
      </c>
      <c r="D89">
        <f>'Normalized Monthly Data'!K89</f>
        <v>12924530.286918025</v>
      </c>
    </row>
    <row r="90" spans="1:4" x14ac:dyDescent="0.25">
      <c r="A90" s="17">
        <v>41395</v>
      </c>
      <c r="B90" s="20">
        <f t="shared" si="2"/>
        <v>2013</v>
      </c>
      <c r="C90" s="18">
        <f>'Monthly Data'!B90</f>
        <v>10553126</v>
      </c>
      <c r="D90">
        <f>'Normalized Monthly Data'!K90</f>
        <v>11355780.351213217</v>
      </c>
    </row>
    <row r="91" spans="1:4" x14ac:dyDescent="0.25">
      <c r="A91" s="17">
        <v>41426</v>
      </c>
      <c r="B91" s="20">
        <f t="shared" si="2"/>
        <v>2013</v>
      </c>
      <c r="C91" s="18">
        <f>'Monthly Data'!B91</f>
        <v>9632056</v>
      </c>
      <c r="D91">
        <f>'Normalized Monthly Data'!K91</f>
        <v>9968822.7857140191</v>
      </c>
    </row>
    <row r="92" spans="1:4" x14ac:dyDescent="0.25">
      <c r="A92" s="17">
        <v>41456</v>
      </c>
      <c r="B92" s="20">
        <f t="shared" si="2"/>
        <v>2013</v>
      </c>
      <c r="C92" s="18">
        <f>'Monthly Data'!B92</f>
        <v>10454381</v>
      </c>
      <c r="D92">
        <f>'Normalized Monthly Data'!K92</f>
        <v>10021828.35664231</v>
      </c>
    </row>
    <row r="93" spans="1:4" x14ac:dyDescent="0.25">
      <c r="A93" s="17">
        <v>41487</v>
      </c>
      <c r="B93" s="20">
        <f t="shared" si="2"/>
        <v>2013</v>
      </c>
      <c r="C93" s="18">
        <f>'Monthly Data'!B93</f>
        <v>10345419</v>
      </c>
      <c r="D93">
        <f>'Normalized Monthly Data'!K93</f>
        <v>9924602.0021390952</v>
      </c>
    </row>
    <row r="94" spans="1:4" x14ac:dyDescent="0.25">
      <c r="A94" s="17">
        <v>41518</v>
      </c>
      <c r="B94" s="20">
        <f t="shared" si="2"/>
        <v>2013</v>
      </c>
      <c r="C94" s="18">
        <f>'Monthly Data'!B94</f>
        <v>10224461</v>
      </c>
      <c r="D94">
        <f>'Normalized Monthly Data'!K94</f>
        <v>10136521.928203579</v>
      </c>
    </row>
    <row r="95" spans="1:4" x14ac:dyDescent="0.25">
      <c r="A95" s="17">
        <v>41548</v>
      </c>
      <c r="B95" s="20">
        <f t="shared" si="2"/>
        <v>2013</v>
      </c>
      <c r="C95" s="18">
        <f>'Monthly Data'!B95</f>
        <v>12045684</v>
      </c>
      <c r="D95">
        <f>'Normalized Monthly Data'!K95</f>
        <v>11988364.594917351</v>
      </c>
    </row>
    <row r="96" spans="1:4" x14ac:dyDescent="0.25">
      <c r="A96" s="17">
        <v>41579</v>
      </c>
      <c r="B96" s="20">
        <f t="shared" si="2"/>
        <v>2013</v>
      </c>
      <c r="C96" s="18">
        <f>'Monthly Data'!B96</f>
        <v>14228773</v>
      </c>
      <c r="D96">
        <f>'Normalized Monthly Data'!K96</f>
        <v>13690295.112534497</v>
      </c>
    </row>
    <row r="97" spans="1:4" x14ac:dyDescent="0.25">
      <c r="A97" s="17">
        <v>41609</v>
      </c>
      <c r="B97" s="20">
        <f t="shared" si="2"/>
        <v>2013</v>
      </c>
      <c r="C97" s="18">
        <f>'Monthly Data'!B97</f>
        <v>18557256</v>
      </c>
      <c r="D97">
        <f>'Normalized Monthly Data'!K97</f>
        <v>15922848.903268021</v>
      </c>
    </row>
    <row r="98" spans="1:4" x14ac:dyDescent="0.25">
      <c r="A98" s="17">
        <v>41640</v>
      </c>
      <c r="B98" s="20">
        <f t="shared" ref="B98:B121" si="3">YEAR(A98)</f>
        <v>2014</v>
      </c>
      <c r="D98">
        <f>'Normalized Monthly Data'!K98</f>
        <v>17611115.722293213</v>
      </c>
    </row>
    <row r="99" spans="1:4" x14ac:dyDescent="0.25">
      <c r="A99" s="17">
        <v>41671</v>
      </c>
      <c r="B99" s="20">
        <f t="shared" si="3"/>
        <v>2014</v>
      </c>
      <c r="D99">
        <f>'Normalized Monthly Data'!K99</f>
        <v>15858865.322584365</v>
      </c>
    </row>
    <row r="100" spans="1:4" x14ac:dyDescent="0.25">
      <c r="A100" s="17">
        <v>41699</v>
      </c>
      <c r="B100" s="20">
        <f t="shared" si="3"/>
        <v>2014</v>
      </c>
      <c r="D100">
        <f>'Normalized Monthly Data'!K100</f>
        <v>15255373.998233363</v>
      </c>
    </row>
    <row r="101" spans="1:4" x14ac:dyDescent="0.25">
      <c r="A101" s="17">
        <v>41730</v>
      </c>
      <c r="B101" s="20">
        <f t="shared" si="3"/>
        <v>2014</v>
      </c>
      <c r="D101">
        <f>'Normalized Monthly Data'!K101</f>
        <v>12803811.117906239</v>
      </c>
    </row>
    <row r="102" spans="1:4" x14ac:dyDescent="0.25">
      <c r="A102" s="17">
        <v>41760</v>
      </c>
      <c r="B102" s="20">
        <f t="shared" si="3"/>
        <v>2014</v>
      </c>
      <c r="D102">
        <f>'Normalized Monthly Data'!K102</f>
        <v>11235061.18220143</v>
      </c>
    </row>
    <row r="103" spans="1:4" x14ac:dyDescent="0.25">
      <c r="A103" s="17">
        <v>41791</v>
      </c>
      <c r="B103" s="20">
        <f t="shared" si="3"/>
        <v>2014</v>
      </c>
      <c r="D103">
        <f>'Normalized Monthly Data'!K103</f>
        <v>10089541.954725806</v>
      </c>
    </row>
    <row r="104" spans="1:4" x14ac:dyDescent="0.25">
      <c r="A104" s="17">
        <v>41821</v>
      </c>
      <c r="B104" s="20">
        <f t="shared" si="3"/>
        <v>2014</v>
      </c>
      <c r="D104">
        <f>'Normalized Monthly Data'!K104</f>
        <v>10021828.35664231</v>
      </c>
    </row>
    <row r="105" spans="1:4" x14ac:dyDescent="0.25">
      <c r="A105" s="17">
        <v>41852</v>
      </c>
      <c r="B105" s="20">
        <f t="shared" si="3"/>
        <v>2014</v>
      </c>
      <c r="D105">
        <f>'Normalized Monthly Data'!K105</f>
        <v>9803882.8331273086</v>
      </c>
    </row>
    <row r="106" spans="1:4" x14ac:dyDescent="0.25">
      <c r="A106" s="17">
        <v>41883</v>
      </c>
      <c r="B106" s="20">
        <f t="shared" si="3"/>
        <v>2014</v>
      </c>
      <c r="D106">
        <f>'Normalized Monthly Data'!K106</f>
        <v>10257241.097215366</v>
      </c>
    </row>
    <row r="107" spans="1:4" x14ac:dyDescent="0.25">
      <c r="A107" s="17">
        <v>41913</v>
      </c>
      <c r="B107" s="20">
        <f t="shared" si="3"/>
        <v>2014</v>
      </c>
      <c r="D107">
        <f>'Normalized Monthly Data'!K107</f>
        <v>11988364.594917351</v>
      </c>
    </row>
    <row r="108" spans="1:4" x14ac:dyDescent="0.25">
      <c r="A108" s="17">
        <v>41944</v>
      </c>
      <c r="B108" s="20">
        <f t="shared" si="3"/>
        <v>2014</v>
      </c>
      <c r="D108">
        <f>'Normalized Monthly Data'!K108</f>
        <v>13569575.94352271</v>
      </c>
    </row>
    <row r="109" spans="1:4" x14ac:dyDescent="0.25">
      <c r="A109" s="17">
        <v>41974</v>
      </c>
      <c r="B109" s="20">
        <f t="shared" si="3"/>
        <v>2014</v>
      </c>
      <c r="D109">
        <f>'Normalized Monthly Data'!K109</f>
        <v>16043568.072279807</v>
      </c>
    </row>
    <row r="110" spans="1:4" x14ac:dyDescent="0.25">
      <c r="A110" s="17">
        <v>42005</v>
      </c>
      <c r="B110" s="20">
        <f t="shared" si="3"/>
        <v>2015</v>
      </c>
      <c r="D110">
        <f>'Normalized Monthly Data'!K110</f>
        <v>17490396.553281426</v>
      </c>
    </row>
    <row r="111" spans="1:4" x14ac:dyDescent="0.25">
      <c r="A111" s="17">
        <v>42036</v>
      </c>
      <c r="B111" s="20">
        <f t="shared" si="3"/>
        <v>2015</v>
      </c>
      <c r="D111">
        <f>'Normalized Monthly Data'!K111</f>
        <v>15858865.322584365</v>
      </c>
    </row>
    <row r="112" spans="1:4" x14ac:dyDescent="0.25">
      <c r="A112" s="17">
        <v>42064</v>
      </c>
      <c r="B112" s="20">
        <f t="shared" si="3"/>
        <v>2015</v>
      </c>
      <c r="D112">
        <f>'Normalized Monthly Data'!K112</f>
        <v>15376093.16724515</v>
      </c>
    </row>
    <row r="113" spans="1:4" x14ac:dyDescent="0.25">
      <c r="A113" s="17">
        <v>42095</v>
      </c>
      <c r="B113" s="20">
        <f t="shared" si="3"/>
        <v>2015</v>
      </c>
      <c r="D113">
        <f>'Normalized Monthly Data'!K113</f>
        <v>12803811.117906239</v>
      </c>
    </row>
    <row r="114" spans="1:4" x14ac:dyDescent="0.25">
      <c r="A114" s="17">
        <v>42125</v>
      </c>
      <c r="B114" s="20">
        <f t="shared" si="3"/>
        <v>2015</v>
      </c>
      <c r="D114">
        <f>'Normalized Monthly Data'!K114</f>
        <v>11114342.013189645</v>
      </c>
    </row>
    <row r="115" spans="1:4" x14ac:dyDescent="0.25">
      <c r="A115" s="17">
        <v>42156</v>
      </c>
      <c r="B115" s="20">
        <f t="shared" si="3"/>
        <v>2015</v>
      </c>
      <c r="D115">
        <f>'Normalized Monthly Data'!K115</f>
        <v>10210261.12373759</v>
      </c>
    </row>
    <row r="116" spans="1:4" x14ac:dyDescent="0.25">
      <c r="A116" s="17">
        <v>42186</v>
      </c>
      <c r="B116" s="20">
        <f t="shared" si="3"/>
        <v>2015</v>
      </c>
      <c r="D116">
        <f>'Normalized Monthly Data'!K116</f>
        <v>10021828.35664231</v>
      </c>
    </row>
    <row r="117" spans="1:4" x14ac:dyDescent="0.25">
      <c r="A117" s="17">
        <v>42217</v>
      </c>
      <c r="B117" s="20">
        <f t="shared" si="3"/>
        <v>2015</v>
      </c>
      <c r="D117">
        <f>'Normalized Monthly Data'!K117</f>
        <v>9803882.8331273086</v>
      </c>
    </row>
    <row r="118" spans="1:4" x14ac:dyDescent="0.25">
      <c r="A118" s="17">
        <v>42248</v>
      </c>
      <c r="B118" s="20">
        <f t="shared" si="3"/>
        <v>2015</v>
      </c>
      <c r="D118">
        <f>'Normalized Monthly Data'!K118</f>
        <v>10257241.097215366</v>
      </c>
    </row>
    <row r="119" spans="1:4" x14ac:dyDescent="0.25">
      <c r="A119" s="17">
        <v>42278</v>
      </c>
      <c r="B119" s="20">
        <f t="shared" si="3"/>
        <v>2015</v>
      </c>
      <c r="D119">
        <f>'Normalized Monthly Data'!K119</f>
        <v>11867645.425905567</v>
      </c>
    </row>
    <row r="120" spans="1:4" x14ac:dyDescent="0.25">
      <c r="A120" s="17">
        <v>42309</v>
      </c>
      <c r="B120" s="20">
        <f t="shared" si="3"/>
        <v>2015</v>
      </c>
      <c r="D120">
        <f>'Normalized Monthly Data'!K120</f>
        <v>13690295.112534497</v>
      </c>
    </row>
    <row r="121" spans="1:4" x14ac:dyDescent="0.25">
      <c r="A121" s="17">
        <v>42339</v>
      </c>
      <c r="B121" s="20">
        <f t="shared" si="3"/>
        <v>2015</v>
      </c>
      <c r="D121">
        <f>'Normalized Monthly Data'!K121</f>
        <v>16043568.072279807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Admin</vt:lpstr>
      <vt:lpstr>Monthly Data</vt:lpstr>
      <vt:lpstr>Undertaking JT 1.7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Undertaking JT 1.6</vt:lpstr>
      <vt:lpstr>Adjustment To Load Forecast</vt:lpstr>
      <vt:lpstr>const</vt:lpstr>
      <vt:lpstr>MonthlyCDD</vt:lpstr>
      <vt:lpstr>MonthlyHDD</vt:lpstr>
      <vt:lpstr>PeakDays</vt:lpstr>
      <vt:lpstr>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Bradbury, Doug</cp:lastModifiedBy>
  <dcterms:created xsi:type="dcterms:W3CDTF">2013-12-10T17:59:21Z</dcterms:created>
  <dcterms:modified xsi:type="dcterms:W3CDTF">2014-08-21T17:15:52Z</dcterms:modified>
</cp:coreProperties>
</file>