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4000" windowHeight="9435" tabRatio="717" activeTab="1"/>
  </bookViews>
  <sheets>
    <sheet name="Business Case" sheetId="20" r:id="rId1"/>
    <sheet name="Summary" sheetId="5" r:id="rId2"/>
    <sheet name="SCADA" sheetId="8" r:id="rId3"/>
    <sheet name="Pricing" sheetId="3" r:id="rId4"/>
    <sheet name="Benefits" sheetId="18" r:id="rId5"/>
    <sheet name="ROI" sheetId="19" r:id="rId6"/>
    <sheet name="Changes" sheetId="21" r:id="rId7"/>
    <sheet name="Sensus" sheetId="9" r:id="rId8"/>
    <sheet name="S&amp;C" sheetId="10" r:id="rId9"/>
    <sheet name="Pro-Tech" sheetId="11" r:id="rId10"/>
    <sheet name="G&amp;W" sheetId="12" r:id="rId11"/>
    <sheet name="KA Factor" sheetId="13" r:id="rId12"/>
    <sheet name="Schneider" sheetId="14" r:id="rId13"/>
    <sheet name="Eaton Cooper" sheetId="15" r:id="rId14"/>
    <sheet name="Thomas &amp; Betts (T&amp;B)" sheetId="16" r:id="rId15"/>
    <sheet name="Imcom" sheetId="17"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______Eng08" localSheetId="4">[1]Rates!#REF!</definedName>
    <definedName name="________Eng08" localSheetId="5">[1]Rates!#REF!</definedName>
    <definedName name="________Eng08">[1]Rates!#REF!</definedName>
    <definedName name="________Eng09" localSheetId="4">[1]Rates!#REF!</definedName>
    <definedName name="________Eng09" localSheetId="5">[1]Rates!#REF!</definedName>
    <definedName name="________Eng09">[1]Rates!#REF!</definedName>
    <definedName name="________Eng10" localSheetId="4">[1]Rates!#REF!</definedName>
    <definedName name="________Eng10" localSheetId="5">[1]Rates!#REF!</definedName>
    <definedName name="________Eng10">[1]Rates!#REF!</definedName>
    <definedName name="________SSG08" localSheetId="4">[1]Rates!#REF!</definedName>
    <definedName name="________SSG08" localSheetId="5">[1]Rates!#REF!</definedName>
    <definedName name="________SSG08">[1]Rates!#REF!</definedName>
    <definedName name="________SSG09" localSheetId="4">[1]Rates!#REF!</definedName>
    <definedName name="________SSG09" localSheetId="5">[1]Rates!#REF!</definedName>
    <definedName name="________SSG09">[1]Rates!#REF!</definedName>
    <definedName name="________SSG10" localSheetId="4">[1]Rates!#REF!</definedName>
    <definedName name="________SSG10" localSheetId="5">[1]Rates!#REF!</definedName>
    <definedName name="________SSG10">[1]Rates!#REF!</definedName>
    <definedName name="______Eng08" localSheetId="4">[1]Rates!#REF!</definedName>
    <definedName name="______Eng08" localSheetId="5">[1]Rates!#REF!</definedName>
    <definedName name="______Eng08">[1]Rates!#REF!</definedName>
    <definedName name="______Eng09" localSheetId="4">[1]Rates!#REF!</definedName>
    <definedName name="______Eng09" localSheetId="5">[1]Rates!#REF!</definedName>
    <definedName name="______Eng09">[1]Rates!#REF!</definedName>
    <definedName name="______Eng10" localSheetId="4">[1]Rates!#REF!</definedName>
    <definedName name="______Eng10" localSheetId="5">[1]Rates!#REF!</definedName>
    <definedName name="______Eng10">[1]Rates!#REF!</definedName>
    <definedName name="______SSG08" localSheetId="4">[1]Rates!#REF!</definedName>
    <definedName name="______SSG08" localSheetId="5">[1]Rates!#REF!</definedName>
    <definedName name="______SSG08">[1]Rates!#REF!</definedName>
    <definedName name="______SSG09" localSheetId="4">[1]Rates!#REF!</definedName>
    <definedName name="______SSG09" localSheetId="5">[1]Rates!#REF!</definedName>
    <definedName name="______SSG09">[1]Rates!#REF!</definedName>
    <definedName name="______SSG10" localSheetId="4">[1]Rates!#REF!</definedName>
    <definedName name="______SSG10" localSheetId="5">[1]Rates!#REF!</definedName>
    <definedName name="______SSG10">[1]Rates!#REF!</definedName>
    <definedName name="____Eng08" localSheetId="4">[1]Rates!#REF!</definedName>
    <definedName name="____Eng08" localSheetId="5">[1]Rates!#REF!</definedName>
    <definedName name="____Eng08">[1]Rates!#REF!</definedName>
    <definedName name="____Eng09" localSheetId="4">[1]Rates!#REF!</definedName>
    <definedName name="____Eng09" localSheetId="5">[1]Rates!#REF!</definedName>
    <definedName name="____Eng09">[1]Rates!#REF!</definedName>
    <definedName name="____Eng10" localSheetId="4">[1]Rates!#REF!</definedName>
    <definedName name="____Eng10" localSheetId="5">[1]Rates!#REF!</definedName>
    <definedName name="____Eng10">[1]Rates!#REF!</definedName>
    <definedName name="____SSG08" localSheetId="4">[1]Rates!#REF!</definedName>
    <definedName name="____SSG08" localSheetId="5">[1]Rates!#REF!</definedName>
    <definedName name="____SSG08">[1]Rates!#REF!</definedName>
    <definedName name="____SSG09" localSheetId="4">[1]Rates!#REF!</definedName>
    <definedName name="____SSG09" localSheetId="5">[1]Rates!#REF!</definedName>
    <definedName name="____SSG09">[1]Rates!#REF!</definedName>
    <definedName name="____SSG10" localSheetId="4">[1]Rates!#REF!</definedName>
    <definedName name="____SSG10" localSheetId="5">[1]Rates!#REF!</definedName>
    <definedName name="____SSG10">[1]Rates!#REF!</definedName>
    <definedName name="___Eng08" localSheetId="4">[1]Rates!#REF!</definedName>
    <definedName name="___Eng08" localSheetId="5">[1]Rates!#REF!</definedName>
    <definedName name="___Eng08">[1]Rates!#REF!</definedName>
    <definedName name="___Eng09" localSheetId="4">[1]Rates!#REF!</definedName>
    <definedName name="___Eng09" localSheetId="5">[1]Rates!#REF!</definedName>
    <definedName name="___Eng09">[1]Rates!#REF!</definedName>
    <definedName name="___Eng10" localSheetId="4">[1]Rates!#REF!</definedName>
    <definedName name="___Eng10" localSheetId="5">[1]Rates!#REF!</definedName>
    <definedName name="___Eng10">[1]Rates!#REF!</definedName>
    <definedName name="___SSG08" localSheetId="4">[1]Rates!#REF!</definedName>
    <definedName name="___SSG08" localSheetId="5">[1]Rates!#REF!</definedName>
    <definedName name="___SSG08">[1]Rates!#REF!</definedName>
    <definedName name="___SSG09" localSheetId="4">[1]Rates!#REF!</definedName>
    <definedName name="___SSG09" localSheetId="5">[1]Rates!#REF!</definedName>
    <definedName name="___SSG09">[1]Rates!#REF!</definedName>
    <definedName name="___SSG10" localSheetId="4">[1]Rates!#REF!</definedName>
    <definedName name="___SSG10" localSheetId="5">[1]Rates!#REF!</definedName>
    <definedName name="___SSG10">[1]Rates!#REF!</definedName>
    <definedName name="__Eng08" localSheetId="4">[1]Rates!#REF!</definedName>
    <definedName name="__Eng08" localSheetId="5">[1]Rates!#REF!</definedName>
    <definedName name="__Eng08">[1]Rates!#REF!</definedName>
    <definedName name="__Eng09" localSheetId="4">[1]Rates!#REF!</definedName>
    <definedName name="__Eng09" localSheetId="5">[1]Rates!#REF!</definedName>
    <definedName name="__Eng09">[1]Rates!#REF!</definedName>
    <definedName name="__Eng10" localSheetId="4">[1]Rates!#REF!</definedName>
    <definedName name="__Eng10" localSheetId="5">[1]Rates!#REF!</definedName>
    <definedName name="__Eng10">[1]Rates!#REF!</definedName>
    <definedName name="__SSG08" localSheetId="4">[1]Rates!#REF!</definedName>
    <definedName name="__SSG08" localSheetId="5">[1]Rates!#REF!</definedName>
    <definedName name="__SSG08">[1]Rates!#REF!</definedName>
    <definedName name="__SSG09" localSheetId="4">[1]Rates!#REF!</definedName>
    <definedName name="__SSG09" localSheetId="5">[1]Rates!#REF!</definedName>
    <definedName name="__SSG09">[1]Rates!#REF!</definedName>
    <definedName name="__SSG10" localSheetId="4">[1]Rates!#REF!</definedName>
    <definedName name="__SSG10" localSheetId="5">[1]Rates!#REF!</definedName>
    <definedName name="__SSG10">[1]Rates!#REF!</definedName>
    <definedName name="__Sun18" localSheetId="4">#REF!</definedName>
    <definedName name="__Sun18" localSheetId="5">#REF!</definedName>
    <definedName name="__Sun18">#REF!</definedName>
    <definedName name="__Sun29" localSheetId="4">#REF!</definedName>
    <definedName name="__Sun29" localSheetId="5">#REF!</definedName>
    <definedName name="__Sun29">#REF!</definedName>
    <definedName name="__Sun35" localSheetId="4">#REF!</definedName>
    <definedName name="__Sun35" localSheetId="5">#REF!</definedName>
    <definedName name="__Sun35">#REF!</definedName>
    <definedName name="_Eng08" localSheetId="4">[1]Rates!#REF!</definedName>
    <definedName name="_Eng08" localSheetId="5">[1]Rates!#REF!</definedName>
    <definedName name="_Eng08">[1]Rates!#REF!</definedName>
    <definedName name="_Eng09" localSheetId="4">[1]Rates!#REF!</definedName>
    <definedName name="_Eng09" localSheetId="5">[1]Rates!#REF!</definedName>
    <definedName name="_Eng09">[1]Rates!#REF!</definedName>
    <definedName name="_Eng10" localSheetId="4">[1]Rates!#REF!</definedName>
    <definedName name="_Eng10" localSheetId="5">[1]Rates!#REF!</definedName>
    <definedName name="_Eng10">[1]Rates!#REF!</definedName>
    <definedName name="_Key2" localSheetId="4" hidden="1">[2]A!#REF!</definedName>
    <definedName name="_Key2" localSheetId="5" hidden="1">[2]A!#REF!</definedName>
    <definedName name="_Key2" hidden="1">[2]A!#REF!</definedName>
    <definedName name="_Order1" hidden="1">255</definedName>
    <definedName name="_Order2" hidden="1">255</definedName>
    <definedName name="_SSG08" localSheetId="4">[1]Rates!#REF!</definedName>
    <definedName name="_SSG08" localSheetId="5">[1]Rates!#REF!</definedName>
    <definedName name="_SSG08">[1]Rates!#REF!</definedName>
    <definedName name="_SSG09" localSheetId="4">[1]Rates!#REF!</definedName>
    <definedName name="_SSG09" localSheetId="5">[1]Rates!#REF!</definedName>
    <definedName name="_SSG09">[1]Rates!#REF!</definedName>
    <definedName name="_SSG10" localSheetId="4">[1]Rates!#REF!</definedName>
    <definedName name="_SSG10" localSheetId="5">[1]Rates!#REF!</definedName>
    <definedName name="_SSG10">[1]Rates!#REF!</definedName>
    <definedName name="_Sun18" localSheetId="4">#REF!</definedName>
    <definedName name="_Sun18" localSheetId="5">#REF!</definedName>
    <definedName name="_Sun18">#REF!</definedName>
    <definedName name="_Sun29" localSheetId="4">#REF!</definedName>
    <definedName name="_Sun29" localSheetId="5">#REF!</definedName>
    <definedName name="_Sun29">#REF!</definedName>
    <definedName name="_Sun35" localSheetId="4">#REF!</definedName>
    <definedName name="_Sun35" localSheetId="5">#REF!</definedName>
    <definedName name="_Sun35">#REF!</definedName>
    <definedName name="√" localSheetId="4">#REF!</definedName>
    <definedName name="√" localSheetId="5">#REF!</definedName>
    <definedName name="√">#REF!</definedName>
    <definedName name="A_SUBBASE" localSheetId="4">#REF!</definedName>
    <definedName name="A_SUBBASE" localSheetId="5">#REF!</definedName>
    <definedName name="A_SUBBASE">#REF!</definedName>
    <definedName name="ABBCA_Margin" localSheetId="4">#REF!</definedName>
    <definedName name="ABBCA_Margin" localSheetId="5">#REF!</definedName>
    <definedName name="ABBCA_Margin">#REF!</definedName>
    <definedName name="All_Years" localSheetId="4">#REF!</definedName>
    <definedName name="All_Years" localSheetId="5">#REF!</definedName>
    <definedName name="All_Years">#REF!</definedName>
    <definedName name="AMOUNT">[3]BDINPUT!$G$11:$I$14,[3]BDINPUT!$G$16:$I$70</definedName>
    <definedName name="B_BUSFITTINGS" localSheetId="4">#REF!</definedName>
    <definedName name="B_BUSFITTINGS" localSheetId="5">#REF!</definedName>
    <definedName name="B_BUSFITTINGS">#REF!</definedName>
    <definedName name="Billing_days_per_month" localSheetId="4">[4]SERVICES!#REF!</definedName>
    <definedName name="Billing_days_per_month" localSheetId="5">[4]SERVICES!#REF!</definedName>
    <definedName name="Billing_days_per_month">[4]SERVICES!#REF!</definedName>
    <definedName name="C_POWERDISTRIB" localSheetId="4">#REF!</definedName>
    <definedName name="C_POWERDISTRIB" localSheetId="5">#REF!</definedName>
    <definedName name="C_POWERDISTRIB">#REF!</definedName>
    <definedName name="CAP" localSheetId="4">'[5]CASH INPUT'!#REF!</definedName>
    <definedName name="CAP" localSheetId="5">'[5]CASH INPUT'!#REF!</definedName>
    <definedName name="CAP">'[5]CASH INPUT'!#REF!</definedName>
    <definedName name="CASHIN" localSheetId="4">'[5]CASH INPUT'!#REF!</definedName>
    <definedName name="CASHIN" localSheetId="5">'[5]CASH INPUT'!#REF!</definedName>
    <definedName name="CASHIN">'[5]CASH INPUT'!#REF!</definedName>
    <definedName name="CASHOUT" localSheetId="4">'[5]CASH INPUT'!#REF!</definedName>
    <definedName name="CASHOUT" localSheetId="5">'[5]CASH INPUT'!#REF!</definedName>
    <definedName name="CASHOUT">'[5]CASH INPUT'!#REF!</definedName>
    <definedName name="Category" localSheetId="4">'[1]GE Licence Summary'!#REF!</definedName>
    <definedName name="Category" localSheetId="5">'[1]GE Licence Summary'!#REF!</definedName>
    <definedName name="Category">'[1]GE Licence Summary'!#REF!</definedName>
    <definedName name="CLRRPT" localSheetId="4">#REF!</definedName>
    <definedName name="CLRRPT" localSheetId="5">#REF!</definedName>
    <definedName name="CLRRPT">#REF!</definedName>
    <definedName name="co_name" localSheetId="4">#REF!</definedName>
    <definedName name="co_name" localSheetId="5">#REF!</definedName>
    <definedName name="co_name">#REF!</definedName>
    <definedName name="company_name" localSheetId="4">#REF!</definedName>
    <definedName name="company_name" localSheetId="5">#REF!</definedName>
    <definedName name="company_name">#REF!</definedName>
    <definedName name="Cons08" localSheetId="4">[1]Rates!#REF!</definedName>
    <definedName name="Cons08" localSheetId="5">[1]Rates!#REF!</definedName>
    <definedName name="Cons08">[1]Rates!#REF!</definedName>
    <definedName name="Cons09" localSheetId="4">[1]Rates!#REF!</definedName>
    <definedName name="Cons09" localSheetId="5">[1]Rates!#REF!</definedName>
    <definedName name="Cons09">[1]Rates!#REF!</definedName>
    <definedName name="Cons10" localSheetId="4">[1]Rates!#REF!</definedName>
    <definedName name="Cons10" localSheetId="5">[1]Rates!#REF!</definedName>
    <definedName name="Cons10">[1]Rates!#REF!</definedName>
    <definedName name="ConsolBranchComm" localSheetId="5">ROI!ConsolBranchComm</definedName>
    <definedName name="ConsolBranchComm">[0]!ConsolBranchComm</definedName>
    <definedName name="ConsolBranchComm2" localSheetId="5">ROI!ConsolBranchComm2</definedName>
    <definedName name="ConsolBranchComm2">[0]!ConsolBranchComm2</definedName>
    <definedName name="ConsolidateMacro.ConsolBranchComm" localSheetId="5">ROI!ConsolidateMacro.ConsolBranchComm</definedName>
    <definedName name="ConsolidateMacro.ConsolBranchComm">[0]!ConsolidateMacro.ConsolBranchComm</definedName>
    <definedName name="ConsolidateMacro.ConsolBranchComm2" localSheetId="5">ROI!ConsolidateMacro.ConsolBranchComm2</definedName>
    <definedName name="ConsolidateMacro.ConsolBranchComm2">[0]!ConsolidateMacro.ConsolBranchComm2</definedName>
    <definedName name="Conv2Dollar" localSheetId="4">#REF!</definedName>
    <definedName name="Conv2Dollar" localSheetId="5">#REF!</definedName>
    <definedName name="Conv2Dollar">#REF!</definedName>
    <definedName name="convert" localSheetId="4">#REF!</definedName>
    <definedName name="convert" localSheetId="5">#REF!</definedName>
    <definedName name="convert">#REF!</definedName>
    <definedName name="Cost" localSheetId="4">'[5]CASH INPUT'!#REF!</definedName>
    <definedName name="Cost" localSheetId="5">'[5]CASH INPUT'!#REF!</definedName>
    <definedName name="Cost">'[5]CASH INPUT'!#REF!</definedName>
    <definedName name="CountryRegion" localSheetId="4">#REF!</definedName>
    <definedName name="CountryRegion" localSheetId="5">#REF!</definedName>
    <definedName name="CountryRegion">#REF!</definedName>
    <definedName name="CR" localSheetId="4">#REF!</definedName>
    <definedName name="CR" localSheetId="5">#REF!</definedName>
    <definedName name="CR">#REF!</definedName>
    <definedName name="Currency_Code">[1]Lookups!$A$64:$A$71</definedName>
    <definedName name="D_EQUIP" localSheetId="4">#REF!</definedName>
    <definedName name="D_EQUIP" localSheetId="5">#REF!</definedName>
    <definedName name="D_EQUIP">#REF!</definedName>
    <definedName name="Daily_rate" localSheetId="4">'[6]SERVICES DEP'!#REF!</definedName>
    <definedName name="Daily_rate" localSheetId="5">'[6]SERVICES DEP'!#REF!</definedName>
    <definedName name="Daily_rate">'[6]SERVICES DEP'!#REF!</definedName>
    <definedName name="Deployment_months" localSheetId="4">[4]SERVICES!#REF!</definedName>
    <definedName name="Deployment_months" localSheetId="5">[4]SERVICES!#REF!</definedName>
    <definedName name="Deployment_months">[4]SERVICES!#REF!</definedName>
    <definedName name="Depr" localSheetId="4">'[5]CASH INPUT'!#REF!</definedName>
    <definedName name="Depr" localSheetId="5">'[5]CASH INPUT'!#REF!</definedName>
    <definedName name="Depr">'[5]CASH INPUT'!#REF!</definedName>
    <definedName name="Description" localSheetId="4">#REF!</definedName>
    <definedName name="Description" localSheetId="5">#REF!</definedName>
    <definedName name="Description">#REF!</definedName>
    <definedName name="Description_Option_Section">'[7]Pricing &amp; Variable Costs'!$A$50:$IV$56,'[7]Pricing &amp; Variable Costs'!$A$58:$IV$91</definedName>
    <definedName name="Description_Options" localSheetId="4">#REF!</definedName>
    <definedName name="Description_Options" localSheetId="5">#REF!</definedName>
    <definedName name="Description_Options">#REF!</definedName>
    <definedName name="Drop_Down_1" localSheetId="4">#REF!</definedName>
    <definedName name="Drop_Down_1" localSheetId="5">#REF!</definedName>
    <definedName name="Drop_Down_1">#REF!</definedName>
    <definedName name="Drop_Down_2" localSheetId="4">#REF!</definedName>
    <definedName name="Drop_Down_2" localSheetId="5">#REF!</definedName>
    <definedName name="Drop_Down_2">#REF!</definedName>
    <definedName name="Drop_Down_Options">'[7]Pricing &amp; Variable Costs'!$A$50:$IV$56,'[7]Pricing &amp; Variable Costs'!$A$58:$IV$91</definedName>
    <definedName name="E_BLDG" localSheetId="4">#REF!</definedName>
    <definedName name="E_BLDG" localSheetId="5">#REF!</definedName>
    <definedName name="E_BLDG">#REF!</definedName>
    <definedName name="ENMAC_Products" localSheetId="4">[1]Lookups!#REF!</definedName>
    <definedName name="ENMAC_Products" localSheetId="5">[1]Lookups!#REF!</definedName>
    <definedName name="ENMAC_Products">[1]Lookups!#REF!</definedName>
    <definedName name="Euro2Dollar" localSheetId="4">#REF!</definedName>
    <definedName name="Euro2Dollar" localSheetId="5">#REF!</definedName>
    <definedName name="Euro2Dollar">#REF!</definedName>
    <definedName name="Euro2Dolloar" localSheetId="4">#REF!</definedName>
    <definedName name="Euro2Dolloar" localSheetId="5">#REF!</definedName>
    <definedName name="Euro2Dolloar">#REF!</definedName>
    <definedName name="File_name" localSheetId="4">#REF!</definedName>
    <definedName name="File_name" localSheetId="5">#REF!</definedName>
    <definedName name="File_name">#REF!</definedName>
    <definedName name="First_Gray_Line" localSheetId="4">#REF!</definedName>
    <definedName name="First_Gray_Line" localSheetId="5">#REF!</definedName>
    <definedName name="First_Gray_Line">#REF!</definedName>
    <definedName name="First_Inventory" localSheetId="4">#REF!</definedName>
    <definedName name="First_Inventory" localSheetId="5">#REF!</definedName>
    <definedName name="First_Inventory">#REF!</definedName>
    <definedName name="First_Line" localSheetId="4">#REF!</definedName>
    <definedName name="First_Line" localSheetId="5">#REF!</definedName>
    <definedName name="First_Line">#REF!</definedName>
    <definedName name="ggg" localSheetId="5">ROI!ggg</definedName>
    <definedName name="ggg">[0]!ggg</definedName>
    <definedName name="hh" localSheetId="5" hidden="1">{#N/A,#N/A,FALSE,"south";#N/A,#N/A,FALSE,"pacific";#N/A,#N/A,FALSE,"south east";#N/A,#N/A,FALSE,"mid-atlantic";#N/A,#N/A,FALSE,"east";#N/A,#N/A,FALSE,"midwest";#N/A,#N/A,FALSE,"northeast";#N/A,#N/A,FALSE,"total";#N/A,#N/A,FALSE,"central";#N/A,#N/A,FALSE,"West";#N/A,#N/A,FALSE,"Summary"}</definedName>
    <definedName name="hh" hidden="1">{#N/A,#N/A,FALSE,"south";#N/A,#N/A,FALSE,"pacific";#N/A,#N/A,FALSE,"south east";#N/A,#N/A,FALSE,"mid-atlantic";#N/A,#N/A,FALSE,"east";#N/A,#N/A,FALSE,"midwest";#N/A,#N/A,FALSE,"northeast";#N/A,#N/A,FALSE,"total";#N/A,#N/A,FALSE,"central";#N/A,#N/A,FALSE,"West";#N/A,#N/A,FALSE,"Summary"}</definedName>
    <definedName name="I_SITE" localSheetId="4">#REF!</definedName>
    <definedName name="I_SITE" localSheetId="5">#REF!</definedName>
    <definedName name="I_SITE">#REF!</definedName>
    <definedName name="INPUTMONTH">[8]Input!$C$4</definedName>
    <definedName name="IS" localSheetId="4">'[9]Q1P&amp;L'!#REF!</definedName>
    <definedName name="IS" localSheetId="5">'[9]Q1P&amp;L'!#REF!</definedName>
    <definedName name="IS">'[9]Q1P&amp;L'!#REF!</definedName>
    <definedName name="kkk" localSheetId="5">ROI!kkk</definedName>
    <definedName name="kkk">[0]!kkk</definedName>
    <definedName name="Labor_Type" localSheetId="4">#REF!</definedName>
    <definedName name="Labor_Type" localSheetId="5">#REF!</definedName>
    <definedName name="Labor_Type">#REF!</definedName>
    <definedName name="Last_Drop_Down" localSheetId="4">#REF!</definedName>
    <definedName name="Last_Drop_Down" localSheetId="5">#REF!</definedName>
    <definedName name="Last_Drop_Down">#REF!</definedName>
    <definedName name="Last_Inventory" localSheetId="4">#REF!</definedName>
    <definedName name="Last_Inventory" localSheetId="5">#REF!</definedName>
    <definedName name="Last_Inventory">#REF!</definedName>
    <definedName name="Last_Line" localSheetId="4">#REF!</definedName>
    <definedName name="Last_Line" localSheetId="5">#REF!</definedName>
    <definedName name="Last_Line">#REF!</definedName>
    <definedName name="Last_Note" localSheetId="4">#REF!</definedName>
    <definedName name="Last_Note" localSheetId="5">#REF!</definedName>
    <definedName name="Last_Note">#REF!</definedName>
    <definedName name="Location" localSheetId="4">#REF!</definedName>
    <definedName name="Location" localSheetId="5">#REF!</definedName>
    <definedName name="Location">#REF!</definedName>
    <definedName name="month" localSheetId="4">#REF!</definedName>
    <definedName name="month" localSheetId="5">#REF!</definedName>
    <definedName name="month">#REF!</definedName>
    <definedName name="New_Drop_Down" localSheetId="4">#REF!</definedName>
    <definedName name="New_Drop_Down" localSheetId="5">#REF!</definedName>
    <definedName name="New_Drop_Down">#REF!</definedName>
    <definedName name="New_Inv_Column" localSheetId="4">#REF!</definedName>
    <definedName name="New_Inv_Column" localSheetId="5">#REF!</definedName>
    <definedName name="New_Inv_Column">#REF!</definedName>
    <definedName name="New_Line" localSheetId="4">#REF!</definedName>
    <definedName name="New_Line" localSheetId="5">#REF!</definedName>
    <definedName name="New_Line">#REF!</definedName>
    <definedName name="New_Note" localSheetId="4">#REF!</definedName>
    <definedName name="New_Note" localSheetId="5">#REF!</definedName>
    <definedName name="New_Note">#REF!</definedName>
    <definedName name="P_eAST_RPT" localSheetId="4">#REF!</definedName>
    <definedName name="P_eAST_RPT" localSheetId="5">#REF!</definedName>
    <definedName name="P_eAST_RPT">#REF!</definedName>
    <definedName name="person_trip_cost" localSheetId="4">'[10]Manpower &amp; Travel'!#REF!</definedName>
    <definedName name="person_trip_cost" localSheetId="5">'[10]Manpower &amp; Travel'!#REF!</definedName>
    <definedName name="person_trip_cost">'[10]Manpower &amp; Travel'!#REF!</definedName>
    <definedName name="Phase_4_months">'[6]SERVICES DEP'!$E$12</definedName>
    <definedName name="Post_deployment_months" localSheetId="4">[4]SERVICES!#REF!</definedName>
    <definedName name="Post_deployment_months" localSheetId="5">[4]SERVICES!#REF!</definedName>
    <definedName name="Post_deployment_months">[4]SERVICES!#REF!</definedName>
    <definedName name="PRAR" localSheetId="4">#REF!</definedName>
    <definedName name="PRAR" localSheetId="5">#REF!</definedName>
    <definedName name="PRAR">#REF!</definedName>
    <definedName name="Pre_deployment_months" localSheetId="4">[4]SERVICES!#REF!</definedName>
    <definedName name="Pre_deployment_months" localSheetId="5">[4]SERVICES!#REF!</definedName>
    <definedName name="Pre_deployment_months">[4]SERVICES!#REF!</definedName>
    <definedName name="Print_Area_MI" localSheetId="4">#REF!</definedName>
    <definedName name="Print_Area_MI" localSheetId="5">#REF!</definedName>
    <definedName name="Print_Area_MI">#REF!</definedName>
    <definedName name="PRINTREPORT" localSheetId="4">#REF!</definedName>
    <definedName name="PRINTREPORT" localSheetId="5">#REF!</definedName>
    <definedName name="PRINTREPORT">#REF!</definedName>
    <definedName name="Product">[11]Sheet2!$B$5:$B$11</definedName>
    <definedName name="ProductLines">[12]Lists!$B$12:$B$15</definedName>
    <definedName name="ProjMan08" localSheetId="4">[1]Rates!#REF!</definedName>
    <definedName name="ProjMan08" localSheetId="5">[1]Rates!#REF!</definedName>
    <definedName name="ProjMan08">[1]Rates!#REF!</definedName>
    <definedName name="ProjMan09" localSheetId="4">[1]Rates!#REF!</definedName>
    <definedName name="ProjMan09" localSheetId="5">[1]Rates!#REF!</definedName>
    <definedName name="ProjMan09">[1]Rates!#REF!</definedName>
    <definedName name="ProjMan10" localSheetId="4">[1]Rates!#REF!</definedName>
    <definedName name="ProjMan10" localSheetId="5">[1]Rates!#REF!</definedName>
    <definedName name="ProjMan10">[1]Rates!#REF!</definedName>
    <definedName name="pterm" localSheetId="4">'[5]CASH INPUT'!#REF!</definedName>
    <definedName name="pterm" localSheetId="5">'[5]CASH INPUT'!#REF!</definedName>
    <definedName name="pterm">'[5]CASH INPUT'!#REF!</definedName>
    <definedName name="Q_PM" localSheetId="4">#REF!</definedName>
    <definedName name="Q_PM" localSheetId="5">#REF!</definedName>
    <definedName name="Q_PM">#REF!</definedName>
    <definedName name="R_PE" localSheetId="4">#REF!</definedName>
    <definedName name="R_PE" localSheetId="5">#REF!</definedName>
    <definedName name="R_PE">#REF!</definedName>
    <definedName name="Rates_Year">[1]Lookups!$A$73:$A$82</definedName>
    <definedName name="rating_values" localSheetId="4">#REF!</definedName>
    <definedName name="rating_values" localSheetId="5">#REF!</definedName>
    <definedName name="rating_values">#REF!</definedName>
    <definedName name="_xlnm.Recorder" localSheetId="4">#REF!</definedName>
    <definedName name="_xlnm.Recorder" localSheetId="5">#REF!</definedName>
    <definedName name="_xlnm.Recorder">#REF!</definedName>
    <definedName name="Regions">[12]Lists!$B$33:$B$43</definedName>
    <definedName name="Required_Y_N">[1]Lookups!$A$146:$A$149</definedName>
    <definedName name="Resource">[1]Lookups!$A$95:$A$144</definedName>
    <definedName name="rga_TOTAL_AMI_reusable" localSheetId="4">#REF!</definedName>
    <definedName name="rga_TOTAL_AMI_reusable" localSheetId="5">#REF!</definedName>
    <definedName name="rga_TOTAL_AMI_reusable">#REF!</definedName>
    <definedName name="RMCOptions">"*200000000000000"</definedName>
    <definedName name="S_SM" localSheetId="4">#REF!</definedName>
    <definedName name="S_SM" localSheetId="5">#REF!</definedName>
    <definedName name="S_SM">#REF!</definedName>
    <definedName name="Scope_of_Work" localSheetId="4">#REF!</definedName>
    <definedName name="Scope_of_Work" localSheetId="5">#REF!</definedName>
    <definedName name="Scope_of_Work">#REF!</definedName>
    <definedName name="Seasonality" localSheetId="4">#REF!</definedName>
    <definedName name="Seasonality" localSheetId="5">#REF!</definedName>
    <definedName name="Seasonality">#REF!</definedName>
    <definedName name="serv_markup">[13]Summary!$F$4</definedName>
    <definedName name="Size" localSheetId="4">#REF!</definedName>
    <definedName name="Size" localSheetId="5">#REF!</definedName>
    <definedName name="Size">#REF!</definedName>
    <definedName name="Start_up_months" localSheetId="4">[4]SERVICES!#REF!</definedName>
    <definedName name="Start_up_months" localSheetId="5">[4]SERVICES!#REF!</definedName>
    <definedName name="Start_up_months">[4]SERVICES!#REF!</definedName>
    <definedName name="Submittal_date" localSheetId="4">#REF!</definedName>
    <definedName name="Submittal_date" localSheetId="5">#REF!</definedName>
    <definedName name="Submittal_date">#REF!</definedName>
    <definedName name="sun18_lease">[14]Variable_Summ!$B$4</definedName>
    <definedName name="sun29_lease">[14]Variable_Summ!$B$3</definedName>
    <definedName name="sun35_lease">[14]Variable_Summ!$B$2</definedName>
    <definedName name="support">[15]Calculations!$A$12:$A$14</definedName>
    <definedName name="Tab10_Qtrly_Summary_of_Personnel" localSheetId="4">#REF!</definedName>
    <definedName name="Tab10_Qtrly_Summary_of_Personnel" localSheetId="5">#REF!</definedName>
    <definedName name="Tab10_Qtrly_Summary_of_Personnel">#REF!</definedName>
    <definedName name="Tab11_Service_Business_Model" localSheetId="4">#REF!</definedName>
    <definedName name="Tab11_Service_Business_Model" localSheetId="5">#REF!</definedName>
    <definedName name="Tab11_Service_Business_Model">#REF!</definedName>
    <definedName name="Tab2_Opportunity_Tracking_Report" localSheetId="4">#REF!</definedName>
    <definedName name="Tab2_Opportunity_Tracking_Report" localSheetId="5">#REF!</definedName>
    <definedName name="Tab2_Opportunity_Tracking_Report">#REF!</definedName>
    <definedName name="Tab3_Installed_Business_Model" localSheetId="4">#REF!</definedName>
    <definedName name="Tab3_Installed_Business_Model" localSheetId="5">#REF!</definedName>
    <definedName name="Tab3_Installed_Business_Model">#REF!</definedName>
    <definedName name="Tab4_ERS_Business_Model" localSheetId="4">#REF!</definedName>
    <definedName name="Tab4_ERS_Business_Model" localSheetId="5">#REF!</definedName>
    <definedName name="Tab4_ERS_Business_Model">#REF!</definedName>
    <definedName name="Tab5_Maint_Base_and_Spot_Model" localSheetId="4">#REF!</definedName>
    <definedName name="Tab5_Maint_Base_and_Spot_Model" localSheetId="5">#REF!</definedName>
    <definedName name="Tab5_Maint_Base_and_Spot_Model">#REF!</definedName>
    <definedName name="Tab6_Security_Business_Model" localSheetId="4">#REF!</definedName>
    <definedName name="Tab6_Security_Business_Model" localSheetId="5">#REF!</definedName>
    <definedName name="Tab6_Security_Business_Model">#REF!</definedName>
    <definedName name="Tab7_ECN_Headcount_Summary" localSheetId="4">#REF!</definedName>
    <definedName name="Tab7_ECN_Headcount_Summary" localSheetId="5">#REF!</definedName>
    <definedName name="Tab7_ECN_Headcount_Summary">#REF!</definedName>
    <definedName name="Tab8_ECN_Headcount_Report" localSheetId="4">#REF!</definedName>
    <definedName name="Tab8_ECN_Headcount_Report" localSheetId="5">#REF!</definedName>
    <definedName name="Tab8_ECN_Headcount_Report">#REF!</definedName>
    <definedName name="Tab9_TCE_Headcount_Report" localSheetId="4">#REF!</definedName>
    <definedName name="Tab9_TCE_Headcount_Report" localSheetId="5">#REF!</definedName>
    <definedName name="Tab9_TCE_Headcount_Report">#REF!</definedName>
    <definedName name="table" localSheetId="4">#REF!</definedName>
    <definedName name="table" localSheetId="5">#REF!</definedName>
    <definedName name="table">#REF!</definedName>
    <definedName name="test" localSheetId="4">[3]ACTUALS!#REF!,[3]ACTUALS!#REF!,[3]ACTUALS!#REF!</definedName>
    <definedName name="test" localSheetId="5">[3]ACTUALS!#REF!,[3]ACTUALS!#REF!,[3]ACTUALS!#REF!</definedName>
    <definedName name="test">[3]ACTUALS!#REF!,[3]ACTUALS!#REF!,[3]ACTUALS!#REF!</definedName>
    <definedName name="TL_Total">'[1]T&amp;L'!$L$26</definedName>
    <definedName name="TOTAL_3PP_GE_COST">'[1]BOM - 3rd Party SW'!$F$19</definedName>
    <definedName name="TYEST" localSheetId="4">[3]ACTUALS!#REF!,[3]ACTUALS!#REF!,[3]ACTUALS!#REF!</definedName>
    <definedName name="TYEST" localSheetId="5">[3]ACTUALS!#REF!,[3]ACTUALS!#REF!,[3]ACTUALS!#REF!</definedName>
    <definedName name="TYEST">[3]ACTUALS!#REF!,[3]ACTUALS!#REF!,[3]ACTUALS!#REF!</definedName>
    <definedName name="Unit" localSheetId="4">#REF!</definedName>
    <definedName name="Unit" localSheetId="5">#REF!</definedName>
    <definedName name="Unit">#REF!</definedName>
    <definedName name="WBS" localSheetId="4">#REF!</definedName>
    <definedName name="WBS" localSheetId="5">#REF!</definedName>
    <definedName name="WBS">#REF!</definedName>
    <definedName name="Work_Type" localSheetId="4">#REF!</definedName>
    <definedName name="Work_Type" localSheetId="5">#REF!</definedName>
    <definedName name="Work_Type">#REF!</definedName>
    <definedName name="Worksheets" localSheetId="4">#REF!</definedName>
    <definedName name="Worksheets" localSheetId="5">#REF!</definedName>
    <definedName name="Worksheets">#REF!</definedName>
    <definedName name="wrksht" localSheetId="4">#REF!</definedName>
    <definedName name="wrksht" localSheetId="5">#REF!</definedName>
    <definedName name="wrksht">#REF!</definedName>
    <definedName name="wrn.Service._.Headcount." localSheetId="5" hidden="1">{#N/A,#N/A,FALSE,"south";#N/A,#N/A,FALSE,"pacific";#N/A,#N/A,FALSE,"south east";#N/A,#N/A,FALSE,"mid-atlantic";#N/A,#N/A,FALSE,"east";#N/A,#N/A,FALSE,"midwest";#N/A,#N/A,FALSE,"northeast";#N/A,#N/A,FALSE,"total";#N/A,#N/A,FALSE,"central";#N/A,#N/A,FALSE,"West";#N/A,#N/A,FALSE,"Summary"}</definedName>
    <definedName name="wrn.Service._.Headcount." hidden="1">{#N/A,#N/A,FALSE,"south";#N/A,#N/A,FALSE,"pacific";#N/A,#N/A,FALSE,"south east";#N/A,#N/A,FALSE,"mid-atlantic";#N/A,#N/A,FALSE,"east";#N/A,#N/A,FALSE,"midwest";#N/A,#N/A,FALSE,"northeast";#N/A,#N/A,FALSE,"total";#N/A,#N/A,FALSE,"central";#N/A,#N/A,FALSE,"West";#N/A,#N/A,FALSE,"Summary"}</definedName>
    <definedName name="x">'[6]SERVICES SAT'!$E$12</definedName>
    <definedName name="Year_1" localSheetId="4">#REF!</definedName>
    <definedName name="Year_1" localSheetId="5">#REF!</definedName>
    <definedName name="Year_1">#REF!</definedName>
    <definedName name="Year_1_Qs" localSheetId="4">#REF!</definedName>
    <definedName name="Year_1_Qs" localSheetId="5">#REF!</definedName>
    <definedName name="Year_1_Qs">#REF!</definedName>
    <definedName name="Year_2" localSheetId="4">#REF!</definedName>
    <definedName name="Year_2" localSheetId="5">#REF!</definedName>
    <definedName name="Year_2">#REF!</definedName>
    <definedName name="Year_2_Qs" localSheetId="4">#REF!</definedName>
    <definedName name="Year_2_Qs" localSheetId="5">#REF!</definedName>
    <definedName name="Year_2_Qs">#REF!</definedName>
    <definedName name="Year_3" localSheetId="4">#REF!</definedName>
    <definedName name="Year_3" localSheetId="5">#REF!</definedName>
    <definedName name="Year_3">#REF!</definedName>
    <definedName name="Year_3_Qs" localSheetId="4">#REF!</definedName>
    <definedName name="Year_3_Qs" localSheetId="5">#REF!</definedName>
    <definedName name="Year_3_Qs">#REF!</definedName>
    <definedName name="Year_4" localSheetId="4">#REF!</definedName>
    <definedName name="Year_4" localSheetId="5">#REF!</definedName>
    <definedName name="Year_4">#REF!</definedName>
    <definedName name="Year_4_Qs" localSheetId="4">#REF!</definedName>
    <definedName name="Year_4_Qs" localSheetId="5">#REF!</definedName>
    <definedName name="Year_4_Qs">#REF!</definedName>
    <definedName name="Year_5" localSheetId="4">#REF!</definedName>
    <definedName name="Year_5" localSheetId="5">#REF!</definedName>
    <definedName name="Year_5">#REF!</definedName>
    <definedName name="Year_5_Qs" localSheetId="4">#REF!</definedName>
    <definedName name="Year_5_Qs" localSheetId="5">#REF!</definedName>
    <definedName name="Year_5_Qs">#REF!</definedName>
    <definedName name="Year_6" localSheetId="4">#REF!</definedName>
    <definedName name="Year_6" localSheetId="5">#REF!</definedName>
    <definedName name="Year_6">#REF!</definedName>
    <definedName name="Year_6_Qs" localSheetId="4">#REF!</definedName>
    <definedName name="Year_6_Qs" localSheetId="5">#REF!</definedName>
    <definedName name="Year_6_Qs">#REF!</definedName>
  </definedNames>
  <calcPr calcId="152511"/>
</workbook>
</file>

<file path=xl/calcChain.xml><?xml version="1.0" encoding="utf-8"?>
<calcChain xmlns="http://schemas.openxmlformats.org/spreadsheetml/2006/main">
  <c r="G15" i="20" l="1"/>
  <c r="C15" i="20"/>
  <c r="G14" i="20"/>
  <c r="G13" i="20"/>
  <c r="G12" i="20"/>
  <c r="O15" i="19"/>
  <c r="P15" i="19" s="1"/>
  <c r="O14" i="19"/>
  <c r="P14" i="19" s="1"/>
  <c r="O13" i="19"/>
  <c r="P13" i="19" s="1"/>
  <c r="O12" i="19"/>
  <c r="P12" i="19" s="1"/>
  <c r="O11" i="19"/>
  <c r="P11" i="19" s="1"/>
  <c r="O10" i="19"/>
  <c r="P10" i="19" s="1"/>
  <c r="O9" i="19"/>
  <c r="P9" i="19" s="1"/>
  <c r="O8" i="19"/>
  <c r="P8" i="19" s="1"/>
  <c r="O7" i="19"/>
  <c r="P7" i="19" s="1"/>
  <c r="O6" i="19"/>
  <c r="P6" i="19" s="1"/>
  <c r="O5" i="19"/>
  <c r="P5" i="19" s="1"/>
  <c r="O4" i="19"/>
  <c r="P4" i="19" s="1"/>
  <c r="M18" i="19" s="1"/>
  <c r="M17" i="19"/>
  <c r="L16" i="19"/>
  <c r="K16" i="19"/>
  <c r="N15" i="19"/>
  <c r="N14" i="19"/>
  <c r="N13" i="19"/>
  <c r="N12" i="19"/>
  <c r="N11" i="19"/>
  <c r="N10" i="19"/>
  <c r="N9" i="19"/>
  <c r="N8" i="19"/>
  <c r="N7" i="19"/>
  <c r="N6" i="19"/>
  <c r="N5" i="19"/>
  <c r="N4" i="19"/>
  <c r="F4" i="19"/>
  <c r="M15" i="19"/>
  <c r="M14" i="19"/>
  <c r="M13" i="19"/>
  <c r="M12" i="19"/>
  <c r="M11" i="19"/>
  <c r="M10" i="19"/>
  <c r="M9" i="19"/>
  <c r="M8" i="19"/>
  <c r="M7" i="19"/>
  <c r="M6" i="19"/>
  <c r="M5" i="19"/>
  <c r="M4" i="19"/>
  <c r="L15" i="19"/>
  <c r="K15" i="19"/>
  <c r="L14" i="19"/>
  <c r="K14" i="19"/>
  <c r="L13" i="19"/>
  <c r="K13" i="19"/>
  <c r="L12" i="19"/>
  <c r="K12" i="19"/>
  <c r="L11" i="19"/>
  <c r="K11" i="19"/>
  <c r="L10" i="19"/>
  <c r="K10" i="19"/>
  <c r="L9" i="19"/>
  <c r="K9" i="19"/>
  <c r="L8" i="19"/>
  <c r="K8" i="19"/>
  <c r="L7" i="19"/>
  <c r="K7" i="19"/>
  <c r="L6" i="19"/>
  <c r="K6" i="19"/>
  <c r="L5" i="19"/>
  <c r="K5" i="19"/>
  <c r="L4" i="19"/>
  <c r="K4" i="19"/>
  <c r="H9" i="20" l="1"/>
  <c r="H10" i="20" s="1"/>
  <c r="D9" i="20"/>
  <c r="G8" i="20"/>
  <c r="C8" i="20"/>
  <c r="G6" i="20"/>
  <c r="C6" i="20"/>
  <c r="G5" i="20"/>
  <c r="C5" i="20"/>
  <c r="G4" i="20"/>
  <c r="C4" i="20"/>
  <c r="G10" i="20" l="1"/>
  <c r="G11" i="20" s="1"/>
  <c r="D9" i="18"/>
  <c r="D3" i="18"/>
  <c r="H7" i="8"/>
  <c r="F7" i="8"/>
  <c r="E8" i="18" l="1"/>
  <c r="F8" i="18" s="1"/>
  <c r="G8" i="18" s="1"/>
  <c r="H8" i="18" s="1"/>
  <c r="I8" i="18" s="1"/>
  <c r="J8" i="18" s="1"/>
  <c r="K8" i="18" s="1"/>
  <c r="L8" i="18" s="1"/>
  <c r="M8" i="18" s="1"/>
  <c r="N8" i="18" s="1"/>
  <c r="O8" i="18" s="1"/>
  <c r="G37" i="8" l="1"/>
  <c r="I37" i="8" s="1"/>
  <c r="K37" i="8" s="1"/>
  <c r="M37" i="8" s="1"/>
  <c r="O37" i="8" s="1"/>
  <c r="Q37" i="8" s="1"/>
  <c r="S37" i="8" s="1"/>
  <c r="U37" i="8" s="1"/>
  <c r="W37" i="8" s="1"/>
  <c r="Y37" i="8" s="1"/>
  <c r="AA37" i="8" s="1"/>
  <c r="E13" i="18" l="1"/>
  <c r="F13" i="18" s="1"/>
  <c r="G13" i="18" s="1"/>
  <c r="H13" i="18" s="1"/>
  <c r="I13" i="18" s="1"/>
  <c r="J13" i="18" s="1"/>
  <c r="K13" i="18" s="1"/>
  <c r="L13" i="18" s="1"/>
  <c r="M13" i="18" s="1"/>
  <c r="N13" i="18" s="1"/>
  <c r="O13" i="18" s="1"/>
  <c r="E2" i="18"/>
  <c r="F2" i="18" s="1"/>
  <c r="G2" i="18" s="1"/>
  <c r="H2" i="18" s="1"/>
  <c r="I2" i="18" s="1"/>
  <c r="J2" i="18" s="1"/>
  <c r="K2" i="18" s="1"/>
  <c r="L2" i="18" s="1"/>
  <c r="M2" i="18" s="1"/>
  <c r="N2" i="18" s="1"/>
  <c r="O2" i="18" s="1"/>
  <c r="E3" i="18"/>
  <c r="F3" i="18" s="1"/>
  <c r="G3" i="18" s="1"/>
  <c r="H3" i="18" s="1"/>
  <c r="I3" i="18" s="1"/>
  <c r="J3" i="18" s="1"/>
  <c r="K3" i="18" s="1"/>
  <c r="L3" i="18" s="1"/>
  <c r="M3" i="18" s="1"/>
  <c r="N3" i="18" s="1"/>
  <c r="O3" i="18" s="1"/>
  <c r="E12" i="18"/>
  <c r="F12" i="18" s="1"/>
  <c r="G12" i="18" s="1"/>
  <c r="H12" i="18" s="1"/>
  <c r="I12" i="18" s="1"/>
  <c r="J12" i="18" s="1"/>
  <c r="K12" i="18" s="1"/>
  <c r="L12" i="18" s="1"/>
  <c r="M12" i="18" s="1"/>
  <c r="N12" i="18" s="1"/>
  <c r="O12" i="18" s="1"/>
  <c r="E7" i="18"/>
  <c r="F7" i="18" s="1"/>
  <c r="G7" i="18" s="1"/>
  <c r="H7" i="18" s="1"/>
  <c r="I7" i="18" s="1"/>
  <c r="J7" i="18" s="1"/>
  <c r="K7" i="18" s="1"/>
  <c r="L7" i="18" s="1"/>
  <c r="M7" i="18" s="1"/>
  <c r="N7" i="18" s="1"/>
  <c r="O7" i="18" s="1"/>
  <c r="D5" i="18"/>
  <c r="D10" i="18" l="1"/>
  <c r="D15" i="18"/>
  <c r="C4" i="19" l="1"/>
  <c r="E15" i="18"/>
  <c r="F15" i="18" l="1"/>
  <c r="G15" i="18" l="1"/>
  <c r="H15" i="18" l="1"/>
  <c r="I15" i="18" l="1"/>
  <c r="J15" i="18" l="1"/>
  <c r="K15" i="18" l="1"/>
  <c r="L15" i="18" l="1"/>
  <c r="M15" i="18" l="1"/>
  <c r="N15" i="18" l="1"/>
  <c r="O15" i="18" l="1"/>
  <c r="D16" i="18" s="1"/>
  <c r="F16" i="18" l="1"/>
  <c r="D24" i="11" l="1"/>
  <c r="D18" i="11"/>
  <c r="D17" i="11"/>
  <c r="D16" i="11"/>
  <c r="D14" i="11"/>
  <c r="D13" i="11"/>
  <c r="D12" i="11"/>
  <c r="D11" i="11"/>
  <c r="F23" i="9"/>
  <c r="D22" i="9"/>
  <c r="F22" i="9" s="1"/>
  <c r="D21" i="9"/>
  <c r="F21" i="9" s="1"/>
  <c r="F20" i="9"/>
  <c r="D20" i="9"/>
  <c r="F19" i="9"/>
  <c r="D19" i="9"/>
  <c r="F16" i="9"/>
  <c r="D16" i="9"/>
  <c r="F15" i="9"/>
  <c r="F13" i="9"/>
  <c r="D13" i="9"/>
  <c r="F12" i="9"/>
  <c r="D12" i="9"/>
  <c r="F9" i="9"/>
  <c r="D9" i="9"/>
  <c r="F8" i="9"/>
  <c r="D8" i="9"/>
  <c r="F6" i="9"/>
  <c r="D6" i="9"/>
  <c r="F5" i="9"/>
  <c r="D5" i="9"/>
  <c r="H8" i="8"/>
  <c r="F8" i="8"/>
  <c r="D7" i="8"/>
  <c r="I8" i="8"/>
  <c r="K8" i="8" s="1"/>
  <c r="M8" i="8" s="1"/>
  <c r="O8" i="8" s="1"/>
  <c r="Q8" i="8" s="1"/>
  <c r="S8" i="8" s="1"/>
  <c r="U8" i="8" s="1"/>
  <c r="W8" i="8" s="1"/>
  <c r="Y8" i="8" s="1"/>
  <c r="AA8" i="8" s="1"/>
  <c r="G8" i="8"/>
  <c r="I7" i="8"/>
  <c r="K7" i="8" s="1"/>
  <c r="M7" i="8" s="1"/>
  <c r="O7" i="8" s="1"/>
  <c r="Q7" i="8" s="1"/>
  <c r="S7" i="8" s="1"/>
  <c r="U7" i="8" s="1"/>
  <c r="W7" i="8" s="1"/>
  <c r="Y7" i="8" s="1"/>
  <c r="AA7" i="8" s="1"/>
  <c r="O6" i="3"/>
  <c r="O3" i="3"/>
  <c r="O4" i="3"/>
  <c r="M4" i="3"/>
  <c r="M3" i="3"/>
  <c r="M6" i="3"/>
  <c r="Q5" i="3"/>
  <c r="Q4" i="3"/>
  <c r="Q3" i="3"/>
  <c r="S5" i="3"/>
  <c r="N5" i="3"/>
  <c r="T5" i="3" s="1"/>
  <c r="N3" i="3"/>
  <c r="N4" i="3"/>
  <c r="P6" i="3"/>
  <c r="R3" i="3"/>
  <c r="R5" i="3"/>
  <c r="C51" i="8"/>
  <c r="D51" i="8"/>
  <c r="T6" i="3"/>
  <c r="M14" i="3" s="1"/>
  <c r="K26" i="8" l="1"/>
  <c r="I26" i="8"/>
  <c r="K29" i="8"/>
  <c r="S29" i="8"/>
  <c r="M29" i="8"/>
  <c r="U29" i="8"/>
  <c r="W29" i="8" s="1"/>
  <c r="Y29" i="8" s="1"/>
  <c r="AA29" i="8" s="1"/>
  <c r="O29" i="8"/>
  <c r="I29" i="8"/>
  <c r="Q29" i="8"/>
  <c r="G15" i="5"/>
  <c r="N76" i="8"/>
  <c r="Q42" i="5" s="1"/>
  <c r="M76" i="8"/>
  <c r="P42" i="5" s="1"/>
  <c r="L76" i="8"/>
  <c r="O42" i="5" s="1"/>
  <c r="K76" i="8"/>
  <c r="N42" i="5" s="1"/>
  <c r="J76" i="8"/>
  <c r="M42" i="5" s="1"/>
  <c r="I76" i="8"/>
  <c r="L42" i="5" s="1"/>
  <c r="H76" i="8"/>
  <c r="K42" i="5" s="1"/>
  <c r="G76" i="8"/>
  <c r="J42" i="5" s="1"/>
  <c r="F76" i="8"/>
  <c r="I42" i="5" s="1"/>
  <c r="E76" i="8"/>
  <c r="H42" i="5" s="1"/>
  <c r="D76" i="8"/>
  <c r="G42" i="5" s="1"/>
  <c r="C76" i="8"/>
  <c r="F42" i="5" s="1"/>
  <c r="N75" i="8"/>
  <c r="Q41" i="5" s="1"/>
  <c r="M75" i="8"/>
  <c r="P41" i="5" s="1"/>
  <c r="L75" i="8"/>
  <c r="O41" i="5" s="1"/>
  <c r="K75" i="8"/>
  <c r="N41" i="5" s="1"/>
  <c r="J75" i="8"/>
  <c r="M41" i="5" s="1"/>
  <c r="I75" i="8"/>
  <c r="L41" i="5" s="1"/>
  <c r="H75" i="8"/>
  <c r="K41" i="5" s="1"/>
  <c r="G75" i="8"/>
  <c r="J41" i="5" s="1"/>
  <c r="F75" i="8"/>
  <c r="I41" i="5" s="1"/>
  <c r="E75" i="8"/>
  <c r="H41" i="5" s="1"/>
  <c r="D75" i="8"/>
  <c r="G41" i="5" s="1"/>
  <c r="C75" i="8"/>
  <c r="F41" i="5" s="1"/>
  <c r="N74" i="8"/>
  <c r="Q40" i="5" s="1"/>
  <c r="M74" i="8"/>
  <c r="P40" i="5" s="1"/>
  <c r="L74" i="8"/>
  <c r="O40" i="5" s="1"/>
  <c r="K74" i="8"/>
  <c r="N40" i="5" s="1"/>
  <c r="J74" i="8"/>
  <c r="M40" i="5" s="1"/>
  <c r="I74" i="8"/>
  <c r="L40" i="5" s="1"/>
  <c r="H74" i="8"/>
  <c r="K40" i="5" s="1"/>
  <c r="G74" i="8"/>
  <c r="J40" i="5" s="1"/>
  <c r="F74" i="8"/>
  <c r="I40" i="5" s="1"/>
  <c r="E74" i="8"/>
  <c r="H40" i="5" s="1"/>
  <c r="D74" i="8"/>
  <c r="G40" i="5" s="1"/>
  <c r="C74" i="8"/>
  <c r="F40" i="5" s="1"/>
  <c r="N72" i="8"/>
  <c r="Q38" i="5" s="1"/>
  <c r="M72" i="8"/>
  <c r="P38" i="5" s="1"/>
  <c r="L72" i="8"/>
  <c r="O38" i="5" s="1"/>
  <c r="K72" i="8"/>
  <c r="N38" i="5" s="1"/>
  <c r="J72" i="8"/>
  <c r="M38" i="5" s="1"/>
  <c r="I72" i="8"/>
  <c r="L38" i="5" s="1"/>
  <c r="H72" i="8"/>
  <c r="K38" i="5" s="1"/>
  <c r="G72" i="8"/>
  <c r="J38" i="5" s="1"/>
  <c r="F72" i="8"/>
  <c r="I38" i="5" s="1"/>
  <c r="E72" i="8"/>
  <c r="H38" i="5" s="1"/>
  <c r="D72" i="8"/>
  <c r="G38" i="5" s="1"/>
  <c r="C72" i="8"/>
  <c r="F38" i="5" s="1"/>
  <c r="D71" i="8"/>
  <c r="G37" i="5" s="1"/>
  <c r="C71" i="8"/>
  <c r="F37" i="5" s="1"/>
  <c r="C68" i="8"/>
  <c r="F35" i="5" s="1"/>
  <c r="N65" i="8"/>
  <c r="Q29" i="5" s="1"/>
  <c r="M65" i="8"/>
  <c r="P29" i="5" s="1"/>
  <c r="L65" i="8"/>
  <c r="O29" i="5" s="1"/>
  <c r="K65" i="8"/>
  <c r="N29" i="5" s="1"/>
  <c r="J65" i="8"/>
  <c r="M29" i="5" s="1"/>
  <c r="I65" i="8"/>
  <c r="L29" i="5" s="1"/>
  <c r="H65" i="8"/>
  <c r="K29" i="5" s="1"/>
  <c r="G65" i="8"/>
  <c r="J29" i="5" s="1"/>
  <c r="F65" i="8"/>
  <c r="I29" i="5" s="1"/>
  <c r="E65" i="8"/>
  <c r="H29" i="5" s="1"/>
  <c r="D65" i="8"/>
  <c r="G29" i="5" s="1"/>
  <c r="C65" i="8"/>
  <c r="F29" i="5" s="1"/>
  <c r="N64" i="8"/>
  <c r="Q28" i="5" s="1"/>
  <c r="M64" i="8"/>
  <c r="P28" i="5" s="1"/>
  <c r="L64" i="8"/>
  <c r="O28" i="5" s="1"/>
  <c r="K64" i="8"/>
  <c r="N28" i="5" s="1"/>
  <c r="J64" i="8"/>
  <c r="M28" i="5" s="1"/>
  <c r="I64" i="8"/>
  <c r="L28" i="5" s="1"/>
  <c r="H64" i="8"/>
  <c r="K28" i="5" s="1"/>
  <c r="G64" i="8"/>
  <c r="J28" i="5" s="1"/>
  <c r="F64" i="8"/>
  <c r="I28" i="5" s="1"/>
  <c r="E64" i="8"/>
  <c r="H28" i="5" s="1"/>
  <c r="D64" i="8"/>
  <c r="G28" i="5" s="1"/>
  <c r="C64" i="8"/>
  <c r="F28" i="5" s="1"/>
  <c r="N63" i="8"/>
  <c r="Q27" i="5" s="1"/>
  <c r="M63" i="8"/>
  <c r="P27" i="5" s="1"/>
  <c r="L63" i="8"/>
  <c r="O27" i="5" s="1"/>
  <c r="K63" i="8"/>
  <c r="N27" i="5" s="1"/>
  <c r="J63" i="8"/>
  <c r="M27" i="5" s="1"/>
  <c r="I63" i="8"/>
  <c r="L27" i="5" s="1"/>
  <c r="H63" i="8"/>
  <c r="K27" i="5" s="1"/>
  <c r="G63" i="8"/>
  <c r="J27" i="5" s="1"/>
  <c r="F63" i="8"/>
  <c r="I27" i="5" s="1"/>
  <c r="E63" i="8"/>
  <c r="H27" i="5" s="1"/>
  <c r="D63" i="8"/>
  <c r="G27" i="5" s="1"/>
  <c r="C63" i="8"/>
  <c r="F27" i="5" s="1"/>
  <c r="N61" i="8"/>
  <c r="Q25" i="5" s="1"/>
  <c r="M61" i="8"/>
  <c r="P25" i="5" s="1"/>
  <c r="L61" i="8"/>
  <c r="O25" i="5" s="1"/>
  <c r="K61" i="8"/>
  <c r="N25" i="5" s="1"/>
  <c r="J61" i="8"/>
  <c r="M25" i="5" s="1"/>
  <c r="N60" i="8"/>
  <c r="Q24" i="5" s="1"/>
  <c r="M60" i="8"/>
  <c r="P24" i="5" s="1"/>
  <c r="L60" i="8"/>
  <c r="O24" i="5" s="1"/>
  <c r="K60" i="8"/>
  <c r="N24" i="5" s="1"/>
  <c r="J60" i="8"/>
  <c r="M24" i="5" s="1"/>
  <c r="N59" i="8"/>
  <c r="Q23" i="5" s="1"/>
  <c r="M59" i="8"/>
  <c r="P23" i="5" s="1"/>
  <c r="L59" i="8"/>
  <c r="O23" i="5" s="1"/>
  <c r="K59" i="8"/>
  <c r="N23" i="5" s="1"/>
  <c r="J59" i="8"/>
  <c r="M23" i="5" s="1"/>
  <c r="N57" i="8"/>
  <c r="Q21" i="5" s="1"/>
  <c r="M57" i="8"/>
  <c r="P21" i="5" s="1"/>
  <c r="L57" i="8"/>
  <c r="O21" i="5" s="1"/>
  <c r="K57" i="8"/>
  <c r="N21" i="5" s="1"/>
  <c r="J57" i="8"/>
  <c r="M21" i="5" s="1"/>
  <c r="N56" i="8"/>
  <c r="Q20" i="5" s="1"/>
  <c r="M56" i="8"/>
  <c r="P20" i="5" s="1"/>
  <c r="L56" i="8"/>
  <c r="O20" i="5" s="1"/>
  <c r="K56" i="8"/>
  <c r="N20" i="5" s="1"/>
  <c r="J56" i="8"/>
  <c r="M20" i="5" s="1"/>
  <c r="I56" i="8"/>
  <c r="L20" i="5" s="1"/>
  <c r="H56" i="8"/>
  <c r="K20" i="5" s="1"/>
  <c r="G56" i="8"/>
  <c r="J20" i="5" s="1"/>
  <c r="F56" i="8"/>
  <c r="I20" i="5" s="1"/>
  <c r="E56" i="8"/>
  <c r="H20" i="5" s="1"/>
  <c r="D56" i="8"/>
  <c r="G20" i="5" s="1"/>
  <c r="C56" i="8"/>
  <c r="F20" i="5" s="1"/>
  <c r="N55" i="8"/>
  <c r="Q19" i="5" s="1"/>
  <c r="M55" i="8"/>
  <c r="P19" i="5" s="1"/>
  <c r="L55" i="8"/>
  <c r="O19" i="5" s="1"/>
  <c r="K55" i="8"/>
  <c r="N19" i="5" s="1"/>
  <c r="J55" i="8"/>
  <c r="M19" i="5" s="1"/>
  <c r="I55" i="8"/>
  <c r="L19" i="5" s="1"/>
  <c r="H55" i="8"/>
  <c r="K19" i="5" s="1"/>
  <c r="G55" i="8"/>
  <c r="J19" i="5" s="1"/>
  <c r="F55" i="8"/>
  <c r="I19" i="5" s="1"/>
  <c r="E55" i="8"/>
  <c r="H19" i="5" s="1"/>
  <c r="D55" i="8"/>
  <c r="G19" i="5" s="1"/>
  <c r="C55" i="8"/>
  <c r="F19" i="5" s="1"/>
  <c r="N54" i="8"/>
  <c r="Q18" i="5" s="1"/>
  <c r="M54" i="8"/>
  <c r="P18" i="5" s="1"/>
  <c r="L54" i="8"/>
  <c r="O18" i="5" s="1"/>
  <c r="K54" i="8"/>
  <c r="N18" i="5" s="1"/>
  <c r="J54" i="8"/>
  <c r="M18" i="5" s="1"/>
  <c r="N53" i="8"/>
  <c r="Q17" i="5" s="1"/>
  <c r="M53" i="8"/>
  <c r="P17" i="5" s="1"/>
  <c r="L53" i="8"/>
  <c r="O17" i="5" s="1"/>
  <c r="K53" i="8"/>
  <c r="N17" i="5" s="1"/>
  <c r="J53" i="8"/>
  <c r="M17" i="5" s="1"/>
  <c r="N51" i="8"/>
  <c r="Q32" i="5" s="1"/>
  <c r="M51" i="8"/>
  <c r="P32" i="5" s="1"/>
  <c r="L51" i="8"/>
  <c r="O32" i="5" s="1"/>
  <c r="K51" i="8"/>
  <c r="N32" i="5" s="1"/>
  <c r="J51" i="8"/>
  <c r="M32" i="5" s="1"/>
  <c r="I51" i="8"/>
  <c r="L32" i="5" s="1"/>
  <c r="H51" i="8"/>
  <c r="K32" i="5" s="1"/>
  <c r="G51" i="8"/>
  <c r="J32" i="5" s="1"/>
  <c r="F51" i="8"/>
  <c r="I32" i="5" s="1"/>
  <c r="E51" i="8"/>
  <c r="H32" i="5" s="1"/>
  <c r="G32" i="5"/>
  <c r="J15" i="5" l="1"/>
  <c r="N15" i="5"/>
  <c r="K15" i="5"/>
  <c r="O15" i="5"/>
  <c r="H15" i="5"/>
  <c r="L15" i="5"/>
  <c r="P15" i="5"/>
  <c r="I15" i="5"/>
  <c r="M15" i="5"/>
  <c r="Q15" i="5"/>
  <c r="M30" i="5"/>
  <c r="Q30" i="5"/>
  <c r="O30" i="5"/>
  <c r="P75" i="8"/>
  <c r="D41" i="5" s="1"/>
  <c r="P76" i="8"/>
  <c r="D42" i="5" s="1"/>
  <c r="N30" i="5"/>
  <c r="P30" i="5"/>
  <c r="P72" i="8"/>
  <c r="D38" i="5" s="1"/>
  <c r="P74" i="8"/>
  <c r="D40" i="5" s="1"/>
  <c r="O55" i="8"/>
  <c r="C19" i="5" s="1"/>
  <c r="P55" i="8"/>
  <c r="D19" i="5" s="1"/>
  <c r="P56" i="8"/>
  <c r="D20" i="5" s="1"/>
  <c r="P63" i="8"/>
  <c r="D27" i="5" s="1"/>
  <c r="P64" i="8"/>
  <c r="D28" i="5" s="1"/>
  <c r="P65" i="8"/>
  <c r="D29" i="5" s="1"/>
  <c r="O76" i="8"/>
  <c r="C42" i="5" s="1"/>
  <c r="O74" i="8"/>
  <c r="C40" i="5" s="1"/>
  <c r="O63" i="8"/>
  <c r="C27" i="5" s="1"/>
  <c r="O72" i="8"/>
  <c r="C38" i="5" s="1"/>
  <c r="O75" i="8"/>
  <c r="C41" i="5" s="1"/>
  <c r="O65" i="8"/>
  <c r="C29" i="5" s="1"/>
  <c r="O64" i="8"/>
  <c r="C28" i="5" s="1"/>
  <c r="O56" i="8"/>
  <c r="C20" i="5" s="1"/>
  <c r="AA42" i="8"/>
  <c r="Z42" i="8"/>
  <c r="Z44" i="8" s="1"/>
  <c r="Y42" i="8"/>
  <c r="X42" i="8"/>
  <c r="X44" i="8" s="1"/>
  <c r="W42" i="8"/>
  <c r="V42" i="8"/>
  <c r="V44" i="8" s="1"/>
  <c r="U42" i="8"/>
  <c r="T42" i="8"/>
  <c r="T44" i="8" s="1"/>
  <c r="S42" i="8"/>
  <c r="R42" i="8"/>
  <c r="R44" i="8" s="1"/>
  <c r="Q42" i="8"/>
  <c r="P42" i="8"/>
  <c r="P44" i="8" s="1"/>
  <c r="O42" i="8"/>
  <c r="N42" i="8"/>
  <c r="N44" i="8" s="1"/>
  <c r="M42" i="8"/>
  <c r="L42" i="8"/>
  <c r="L44" i="8" s="1"/>
  <c r="K42" i="8"/>
  <c r="J42" i="8"/>
  <c r="J44" i="8" s="1"/>
  <c r="I42" i="8"/>
  <c r="H42" i="8"/>
  <c r="H44" i="8" s="1"/>
  <c r="G42" i="8"/>
  <c r="F42" i="8"/>
  <c r="F44" i="8" s="1"/>
  <c r="E42" i="8"/>
  <c r="D42" i="8"/>
  <c r="Z31" i="8"/>
  <c r="Z33" i="8" s="1"/>
  <c r="X31" i="8"/>
  <c r="X33" i="8" s="1"/>
  <c r="V31" i="8"/>
  <c r="V33" i="8" s="1"/>
  <c r="T31" i="8"/>
  <c r="T33" i="8" s="1"/>
  <c r="R31" i="8"/>
  <c r="R33" i="8" s="1"/>
  <c r="Z12" i="8"/>
  <c r="Z14" i="8" s="1"/>
  <c r="X12" i="8"/>
  <c r="X14" i="8" s="1"/>
  <c r="V12" i="8"/>
  <c r="V14" i="8" s="1"/>
  <c r="T12" i="8"/>
  <c r="T14" i="8" s="1"/>
  <c r="R12" i="8"/>
  <c r="R14" i="8" s="1"/>
  <c r="D19" i="3"/>
  <c r="F19" i="8" s="1"/>
  <c r="E19" i="3"/>
  <c r="H19" i="8" s="1"/>
  <c r="F22" i="3"/>
  <c r="J28" i="8" s="1"/>
  <c r="F19" i="3"/>
  <c r="J19" i="8" s="1"/>
  <c r="G20" i="3"/>
  <c r="L22" i="8" s="1"/>
  <c r="G19" i="3"/>
  <c r="L19" i="8" s="1"/>
  <c r="H19" i="3"/>
  <c r="N19" i="8" s="1"/>
  <c r="I22" i="3"/>
  <c r="P28" i="8" s="1"/>
  <c r="I20" i="3"/>
  <c r="P22" i="8" s="1"/>
  <c r="I19" i="3"/>
  <c r="P19" i="8" s="1"/>
  <c r="C22" i="3"/>
  <c r="D28" i="8" s="1"/>
  <c r="C20" i="3"/>
  <c r="D22" i="8" s="1"/>
  <c r="C19" i="3"/>
  <c r="D19" i="8" s="1"/>
  <c r="E22" i="3"/>
  <c r="H28" i="8" s="1"/>
  <c r="J6" i="3"/>
  <c r="J4" i="3"/>
  <c r="J5" i="3"/>
  <c r="J3" i="3"/>
  <c r="N19" i="3" s="1"/>
  <c r="O19" i="3" s="1"/>
  <c r="I7" i="3"/>
  <c r="P6" i="8" s="1"/>
  <c r="H7" i="3"/>
  <c r="N6" i="8" s="1"/>
  <c r="G7" i="3"/>
  <c r="L6" i="8" s="1"/>
  <c r="F7" i="3"/>
  <c r="J6" i="8" s="1"/>
  <c r="E7" i="3"/>
  <c r="H6" i="8" s="1"/>
  <c r="D7" i="3"/>
  <c r="F6" i="8" s="1"/>
  <c r="C7" i="3"/>
  <c r="T4" i="3"/>
  <c r="T3" i="3"/>
  <c r="Z46" i="8"/>
  <c r="X46" i="8"/>
  <c r="V46" i="8"/>
  <c r="T46" i="8"/>
  <c r="R46" i="8"/>
  <c r="P46" i="8"/>
  <c r="N46" i="8"/>
  <c r="L46" i="8"/>
  <c r="J46" i="8"/>
  <c r="H46" i="8"/>
  <c r="F46" i="8"/>
  <c r="D46" i="8"/>
  <c r="M11" i="3" l="1"/>
  <c r="I20" i="8"/>
  <c r="O26" i="8"/>
  <c r="M20" i="8"/>
  <c r="U20" i="8"/>
  <c r="U26" i="8"/>
  <c r="W26" i="8" s="1"/>
  <c r="Y26" i="8" s="1"/>
  <c r="AA26" i="8" s="1"/>
  <c r="M26" i="8"/>
  <c r="O20" i="8"/>
  <c r="S26" i="8"/>
  <c r="Q20" i="8"/>
  <c r="I71" i="8" s="1"/>
  <c r="L37" i="5" s="1"/>
  <c r="Q26" i="8"/>
  <c r="K20" i="8"/>
  <c r="S20" i="8"/>
  <c r="M12" i="3"/>
  <c r="U23" i="8"/>
  <c r="W23" i="8" s="1"/>
  <c r="Y23" i="8" s="1"/>
  <c r="AA23" i="8" s="1"/>
  <c r="O23" i="8"/>
  <c r="S23" i="8"/>
  <c r="K23" i="8"/>
  <c r="Q23" i="8"/>
  <c r="I23" i="8"/>
  <c r="M23" i="8"/>
  <c r="N13" i="3"/>
  <c r="N21" i="3"/>
  <c r="O21" i="3" s="1"/>
  <c r="N12" i="3"/>
  <c r="N20" i="3"/>
  <c r="O20" i="3" s="1"/>
  <c r="N14" i="3"/>
  <c r="O14" i="3" s="1"/>
  <c r="N22" i="3"/>
  <c r="U10" i="8"/>
  <c r="M10" i="8"/>
  <c r="Q11" i="8"/>
  <c r="I68" i="8" s="1"/>
  <c r="L35" i="5" s="1"/>
  <c r="I11" i="8"/>
  <c r="D6" i="8"/>
  <c r="S10" i="8"/>
  <c r="K10" i="8"/>
  <c r="O11" i="8"/>
  <c r="H68" i="8" s="1"/>
  <c r="K35" i="5" s="1"/>
  <c r="G11" i="8"/>
  <c r="M11" i="8"/>
  <c r="G68" i="8" s="1"/>
  <c r="J35" i="5" s="1"/>
  <c r="S11" i="8"/>
  <c r="J68" i="8" s="1"/>
  <c r="M35" i="5" s="1"/>
  <c r="Q10" i="8"/>
  <c r="I10" i="8"/>
  <c r="O10" i="8"/>
  <c r="K11" i="8"/>
  <c r="F68" i="8" s="1"/>
  <c r="I35" i="5" s="1"/>
  <c r="E13" i="3"/>
  <c r="H24" i="8" s="1"/>
  <c r="N11" i="3"/>
  <c r="C21" i="3"/>
  <c r="D25" i="8" s="1"/>
  <c r="C61" i="8" s="1"/>
  <c r="I21" i="3"/>
  <c r="P25" i="8" s="1"/>
  <c r="I61" i="8" s="1"/>
  <c r="L25" i="5" s="1"/>
  <c r="H13" i="3"/>
  <c r="N24" i="8" s="1"/>
  <c r="H20" i="3"/>
  <c r="N22" i="8" s="1"/>
  <c r="G21" i="3"/>
  <c r="L25" i="8" s="1"/>
  <c r="G61" i="8" s="1"/>
  <c r="J25" i="5" s="1"/>
  <c r="E20" i="3"/>
  <c r="H22" i="8" s="1"/>
  <c r="D22" i="3"/>
  <c r="F28" i="8" s="1"/>
  <c r="D68" i="8"/>
  <c r="G35" i="5" s="1"/>
  <c r="D21" i="3"/>
  <c r="F25" i="8" s="1"/>
  <c r="I13" i="3"/>
  <c r="P24" i="8" s="1"/>
  <c r="H21" i="3"/>
  <c r="N25" i="8" s="1"/>
  <c r="G22" i="3"/>
  <c r="L28" i="8" s="1"/>
  <c r="F13" i="3"/>
  <c r="J24" i="8" s="1"/>
  <c r="F20" i="3"/>
  <c r="J22" i="8" s="1"/>
  <c r="E21" i="3"/>
  <c r="H25" i="8" s="1"/>
  <c r="E68" i="8"/>
  <c r="H35" i="5" s="1"/>
  <c r="H22" i="3"/>
  <c r="N28" i="8" s="1"/>
  <c r="F21" i="3"/>
  <c r="J25" i="8" s="1"/>
  <c r="F61" i="8" s="1"/>
  <c r="I25" i="5" s="1"/>
  <c r="D13" i="3"/>
  <c r="F24" i="8" s="1"/>
  <c r="D20" i="3"/>
  <c r="F22" i="8" s="1"/>
  <c r="J19" i="3"/>
  <c r="C13" i="3"/>
  <c r="D24" i="8" s="1"/>
  <c r="J7" i="3"/>
  <c r="H4" i="18" s="1"/>
  <c r="J9" i="18" s="1"/>
  <c r="V48" i="8"/>
  <c r="X48" i="8"/>
  <c r="R48" i="8"/>
  <c r="Z48" i="8"/>
  <c r="T48" i="8"/>
  <c r="D44" i="8"/>
  <c r="F71" i="8" l="1"/>
  <c r="I37" i="5" s="1"/>
  <c r="H71" i="8"/>
  <c r="K37" i="5" s="1"/>
  <c r="G71" i="8"/>
  <c r="J37" i="5" s="1"/>
  <c r="E71" i="8"/>
  <c r="J71" i="8"/>
  <c r="M37" i="5" s="1"/>
  <c r="W20" i="8"/>
  <c r="K71" i="8"/>
  <c r="N37" i="5" s="1"/>
  <c r="N15" i="3"/>
  <c r="E61" i="8"/>
  <c r="H25" i="5" s="1"/>
  <c r="H61" i="8"/>
  <c r="K25" i="5" s="1"/>
  <c r="H5" i="18"/>
  <c r="D61" i="8"/>
  <c r="G25" i="5" s="1"/>
  <c r="G4" i="18"/>
  <c r="I9" i="18" s="1"/>
  <c r="I4" i="18"/>
  <c r="K9" i="18" s="1"/>
  <c r="F4" i="18"/>
  <c r="H9" i="18" s="1"/>
  <c r="H10" i="18" s="1"/>
  <c r="O22" i="3"/>
  <c r="O23" i="3" s="1"/>
  <c r="N23" i="3"/>
  <c r="J4" i="18"/>
  <c r="E4" i="18"/>
  <c r="G9" i="18" s="1"/>
  <c r="F25" i="5"/>
  <c r="G14" i="3"/>
  <c r="L27" i="8" s="1"/>
  <c r="C14" i="3"/>
  <c r="D27" i="8" s="1"/>
  <c r="F14" i="3"/>
  <c r="J27" i="8" s="1"/>
  <c r="E23" i="3"/>
  <c r="H23" i="3"/>
  <c r="H14" i="3"/>
  <c r="N27" i="8" s="1"/>
  <c r="I14" i="3"/>
  <c r="P27" i="8" s="1"/>
  <c r="G23" i="3"/>
  <c r="D14" i="3"/>
  <c r="F27" i="8" s="1"/>
  <c r="G13" i="3"/>
  <c r="E14" i="3"/>
  <c r="H27" i="8" s="1"/>
  <c r="J20" i="3"/>
  <c r="D23" i="3"/>
  <c r="O13" i="3"/>
  <c r="C23" i="3"/>
  <c r="J21" i="3"/>
  <c r="I23" i="3"/>
  <c r="U11" i="8"/>
  <c r="K68" i="8" s="1"/>
  <c r="N35" i="5" s="1"/>
  <c r="J22" i="3"/>
  <c r="F23" i="3"/>
  <c r="C12" i="5"/>
  <c r="B1" i="8"/>
  <c r="H11" i="3"/>
  <c r="N18" i="8" s="1"/>
  <c r="E11" i="3"/>
  <c r="H18" i="8" s="1"/>
  <c r="F11" i="3"/>
  <c r="J18" i="8" s="1"/>
  <c r="F59" i="8" s="1"/>
  <c r="I23" i="5" s="1"/>
  <c r="D11" i="3"/>
  <c r="F18" i="8" s="1"/>
  <c r="G11" i="3"/>
  <c r="L18" i="8" s="1"/>
  <c r="I11" i="3"/>
  <c r="P18" i="8" s="1"/>
  <c r="I59" i="8" s="1"/>
  <c r="L23" i="5" s="1"/>
  <c r="E12" i="3"/>
  <c r="H21" i="8" s="1"/>
  <c r="H12" i="3"/>
  <c r="N21" i="8" s="1"/>
  <c r="H59" i="8" s="1"/>
  <c r="K23" i="5" s="1"/>
  <c r="D12" i="3"/>
  <c r="F21" i="8" s="1"/>
  <c r="G12" i="3"/>
  <c r="L21" i="8" s="1"/>
  <c r="F12" i="3"/>
  <c r="J21" i="8" s="1"/>
  <c r="I12" i="3"/>
  <c r="P21" i="8" s="1"/>
  <c r="C67" i="8"/>
  <c r="F34" i="5" s="1"/>
  <c r="O12" i="3"/>
  <c r="C12" i="3"/>
  <c r="D21" i="8" s="1"/>
  <c r="O11" i="3"/>
  <c r="C11" i="3"/>
  <c r="D18" i="8" s="1"/>
  <c r="E44" i="8"/>
  <c r="I44" i="8"/>
  <c r="G44" i="8"/>
  <c r="Y20" i="8" l="1"/>
  <c r="L71" i="8"/>
  <c r="O37" i="5" s="1"/>
  <c r="H37" i="5"/>
  <c r="J10" i="18"/>
  <c r="L9" i="18"/>
  <c r="E59" i="8"/>
  <c r="H23" i="5" s="1"/>
  <c r="J13" i="3"/>
  <c r="L24" i="8"/>
  <c r="G59" i="8" s="1"/>
  <c r="J23" i="5" s="1"/>
  <c r="E5" i="18"/>
  <c r="E10" i="18"/>
  <c r="F5" i="18"/>
  <c r="F10" i="18"/>
  <c r="G5" i="18"/>
  <c r="G10" i="18"/>
  <c r="I5" i="18"/>
  <c r="I10" i="18"/>
  <c r="C8" i="19"/>
  <c r="C59" i="8"/>
  <c r="F23" i="5" s="1"/>
  <c r="D59" i="8"/>
  <c r="G23" i="5" s="1"/>
  <c r="P61" i="8"/>
  <c r="D25" i="5" s="1"/>
  <c r="O61" i="8"/>
  <c r="C25" i="5" s="1"/>
  <c r="K4" i="18"/>
  <c r="J5" i="18"/>
  <c r="J14" i="3"/>
  <c r="W11" i="8"/>
  <c r="Y11" i="8" s="1"/>
  <c r="J23" i="3"/>
  <c r="E15" i="3"/>
  <c r="J12" i="3"/>
  <c r="G15" i="3"/>
  <c r="D67" i="8"/>
  <c r="G34" i="5" s="1"/>
  <c r="O15" i="3"/>
  <c r="I15" i="3"/>
  <c r="F15" i="3"/>
  <c r="D15" i="3"/>
  <c r="C15" i="3"/>
  <c r="J11" i="3"/>
  <c r="H15" i="3"/>
  <c r="K44" i="8"/>
  <c r="AA20" i="8" l="1"/>
  <c r="N71" i="8" s="1"/>
  <c r="Q37" i="5" s="1"/>
  <c r="M71" i="8"/>
  <c r="P37" i="5" s="1"/>
  <c r="C10" i="19"/>
  <c r="K10" i="18"/>
  <c r="M9" i="18"/>
  <c r="C5" i="19"/>
  <c r="C9" i="19"/>
  <c r="C6" i="19"/>
  <c r="C7" i="19"/>
  <c r="P59" i="8"/>
  <c r="D23" i="5" s="1"/>
  <c r="O59" i="8"/>
  <c r="C23" i="5" s="1"/>
  <c r="L4" i="18"/>
  <c r="K5" i="18"/>
  <c r="L68" i="8"/>
  <c r="O35" i="5" s="1"/>
  <c r="D53" i="8"/>
  <c r="G17" i="5" s="1"/>
  <c r="H53" i="8"/>
  <c r="K17" i="5" s="1"/>
  <c r="F53" i="8"/>
  <c r="I17" i="5" s="1"/>
  <c r="G53" i="8"/>
  <c r="J17" i="5" s="1"/>
  <c r="E53" i="8"/>
  <c r="H17" i="5" s="1"/>
  <c r="F54" i="8"/>
  <c r="I18" i="5" s="1"/>
  <c r="F57" i="8"/>
  <c r="I21" i="5" s="1"/>
  <c r="E54" i="8"/>
  <c r="H18" i="5" s="1"/>
  <c r="E57" i="8"/>
  <c r="H21" i="5" s="1"/>
  <c r="D54" i="8"/>
  <c r="G18" i="5" s="1"/>
  <c r="D57" i="8"/>
  <c r="G21" i="5" s="1"/>
  <c r="C54" i="8"/>
  <c r="F18" i="5" s="1"/>
  <c r="C57" i="8"/>
  <c r="H54" i="8"/>
  <c r="K18" i="5" s="1"/>
  <c r="H57" i="8"/>
  <c r="K21" i="5" s="1"/>
  <c r="G54" i="8"/>
  <c r="J18" i="5" s="1"/>
  <c r="G57" i="8"/>
  <c r="J21" i="5" s="1"/>
  <c r="I54" i="8"/>
  <c r="L18" i="5" s="1"/>
  <c r="I57" i="8"/>
  <c r="L21" i="5" s="1"/>
  <c r="I53" i="8"/>
  <c r="L17" i="5" s="1"/>
  <c r="AA11" i="8"/>
  <c r="N68" i="8" s="1"/>
  <c r="Q35" i="5" s="1"/>
  <c r="M68" i="8"/>
  <c r="P35" i="5" s="1"/>
  <c r="J15" i="3"/>
  <c r="N7" i="3" s="1"/>
  <c r="M44" i="8"/>
  <c r="O71" i="8" l="1"/>
  <c r="C37" i="5" s="1"/>
  <c r="P71" i="8"/>
  <c r="D37" i="5" s="1"/>
  <c r="C11" i="19"/>
  <c r="L10" i="18"/>
  <c r="N9" i="18"/>
  <c r="M4" i="18"/>
  <c r="L5" i="18"/>
  <c r="P12" i="8"/>
  <c r="P14" i="8" s="1"/>
  <c r="L12" i="8"/>
  <c r="L14" i="8" s="1"/>
  <c r="C53" i="8"/>
  <c r="P53" i="8" s="1"/>
  <c r="D17" i="5" s="1"/>
  <c r="C60" i="8"/>
  <c r="D31" i="8"/>
  <c r="D33" i="8" s="1"/>
  <c r="E30" i="8" s="1"/>
  <c r="H60" i="8"/>
  <c r="K24" i="5" s="1"/>
  <c r="K30" i="5" s="1"/>
  <c r="N31" i="8"/>
  <c r="N33" i="8" s="1"/>
  <c r="H12" i="8"/>
  <c r="H14" i="8" s="1"/>
  <c r="I60" i="8"/>
  <c r="L24" i="5" s="1"/>
  <c r="L30" i="5" s="1"/>
  <c r="P31" i="8"/>
  <c r="P33" i="8" s="1"/>
  <c r="D12" i="8"/>
  <c r="D14" i="8" s="1"/>
  <c r="E9" i="8" s="1"/>
  <c r="E12" i="8" s="1"/>
  <c r="E14" i="8" s="1"/>
  <c r="E60" i="8"/>
  <c r="H24" i="5" s="1"/>
  <c r="H30" i="5" s="1"/>
  <c r="H31" i="8"/>
  <c r="H33" i="8" s="1"/>
  <c r="G60" i="8"/>
  <c r="J24" i="5" s="1"/>
  <c r="J30" i="5" s="1"/>
  <c r="L31" i="8"/>
  <c r="L33" i="8" s="1"/>
  <c r="F60" i="8"/>
  <c r="I24" i="5" s="1"/>
  <c r="I30" i="5" s="1"/>
  <c r="J31" i="8"/>
  <c r="J33" i="8" s="1"/>
  <c r="D60" i="8"/>
  <c r="G24" i="5" s="1"/>
  <c r="G30" i="5" s="1"/>
  <c r="F31" i="8"/>
  <c r="F33" i="8" s="1"/>
  <c r="N12" i="8"/>
  <c r="N14" i="8" s="1"/>
  <c r="F12" i="8"/>
  <c r="F14" i="8" s="1"/>
  <c r="J12" i="8"/>
  <c r="J14" i="8" s="1"/>
  <c r="O54" i="8"/>
  <c r="C18" i="5" s="1"/>
  <c r="P54" i="8"/>
  <c r="D18" i="5" s="1"/>
  <c r="F21" i="5"/>
  <c r="O57" i="8"/>
  <c r="C21" i="5" s="1"/>
  <c r="P57" i="8"/>
  <c r="D21" i="5" s="1"/>
  <c r="E67" i="8"/>
  <c r="W10" i="8"/>
  <c r="Y10" i="8" s="1"/>
  <c r="AA10" i="8" s="1"/>
  <c r="F67" i="8"/>
  <c r="I34" i="5" s="1"/>
  <c r="G67" i="8"/>
  <c r="J34" i="5" s="1"/>
  <c r="P68" i="8"/>
  <c r="D35" i="5" s="1"/>
  <c r="O68" i="8"/>
  <c r="C35" i="5" s="1"/>
  <c r="O44" i="8"/>
  <c r="M10" i="18" l="1"/>
  <c r="O9" i="18"/>
  <c r="C12" i="19"/>
  <c r="N4" i="18"/>
  <c r="N10" i="18" s="1"/>
  <c r="M5" i="18"/>
  <c r="C69" i="8"/>
  <c r="F44" i="5" s="1"/>
  <c r="F45" i="5" s="1"/>
  <c r="G30" i="8"/>
  <c r="G31" i="8" s="1"/>
  <c r="G33" i="8" s="1"/>
  <c r="G9" i="8"/>
  <c r="I9" i="8" s="1"/>
  <c r="E31" i="8"/>
  <c r="E33" i="8" s="1"/>
  <c r="E48" i="8" s="1"/>
  <c r="P48" i="8"/>
  <c r="L48" i="8"/>
  <c r="F17" i="5"/>
  <c r="O53" i="8"/>
  <c r="C17" i="5" s="1"/>
  <c r="N48" i="8"/>
  <c r="D48" i="8"/>
  <c r="J48" i="8"/>
  <c r="H48" i="8"/>
  <c r="F48" i="8"/>
  <c r="F24" i="5"/>
  <c r="P60" i="8"/>
  <c r="D24" i="5" s="1"/>
  <c r="O60" i="8"/>
  <c r="C24" i="5" s="1"/>
  <c r="H34" i="5"/>
  <c r="H67" i="8"/>
  <c r="K34" i="5" s="1"/>
  <c r="Q44" i="8"/>
  <c r="C13" i="19" l="1"/>
  <c r="O4" i="18"/>
  <c r="N5" i="18"/>
  <c r="I30" i="8"/>
  <c r="K30" i="8" s="1"/>
  <c r="K31" i="8" s="1"/>
  <c r="K33" i="8" s="1"/>
  <c r="C77" i="8"/>
  <c r="C79" i="8" s="1"/>
  <c r="C78" i="8"/>
  <c r="I12" i="8"/>
  <c r="I14" i="8" s="1"/>
  <c r="K9" i="8"/>
  <c r="M9" i="8" s="1"/>
  <c r="O9" i="8" s="1"/>
  <c r="Q9" i="8" s="1"/>
  <c r="D69" i="8"/>
  <c r="G44" i="5" s="1"/>
  <c r="G45" i="5" s="1"/>
  <c r="G48" i="5" s="1"/>
  <c r="D5" i="19" s="1"/>
  <c r="E5" i="19" s="1"/>
  <c r="G12" i="8"/>
  <c r="G14" i="8" s="1"/>
  <c r="G48" i="8" s="1"/>
  <c r="D78" i="8" s="1"/>
  <c r="F30" i="5"/>
  <c r="F48" i="5" s="1"/>
  <c r="D4" i="19" s="1"/>
  <c r="I67" i="8"/>
  <c r="L34" i="5" s="1"/>
  <c r="S44" i="8"/>
  <c r="O5" i="18" l="1"/>
  <c r="O10" i="18"/>
  <c r="C14" i="19"/>
  <c r="D6" i="18"/>
  <c r="F6" i="18"/>
  <c r="E4" i="19"/>
  <c r="M30" i="8"/>
  <c r="M31" i="8" s="1"/>
  <c r="M33" i="8" s="1"/>
  <c r="F69" i="8"/>
  <c r="I44" i="5" s="1"/>
  <c r="I45" i="5" s="1"/>
  <c r="I48" i="5" s="1"/>
  <c r="D7" i="19" s="1"/>
  <c r="E7" i="19" s="1"/>
  <c r="I31" i="8"/>
  <c r="I33" i="8" s="1"/>
  <c r="I48" i="8" s="1"/>
  <c r="E78" i="8" s="1"/>
  <c r="E69" i="8"/>
  <c r="H44" i="5" s="1"/>
  <c r="H45" i="5" s="1"/>
  <c r="H48" i="5" s="1"/>
  <c r="D6" i="19" s="1"/>
  <c r="E6" i="19" s="1"/>
  <c r="D77" i="8"/>
  <c r="D79" i="8" s="1"/>
  <c r="O30" i="8"/>
  <c r="K12" i="8"/>
  <c r="K14" i="8" s="1"/>
  <c r="K48" i="8" s="1"/>
  <c r="F78" i="8" s="1"/>
  <c r="M12" i="8"/>
  <c r="M14" i="8" s="1"/>
  <c r="J67" i="8"/>
  <c r="M34" i="5" s="1"/>
  <c r="U44" i="8"/>
  <c r="G69" i="8" l="1"/>
  <c r="G77" i="8" s="1"/>
  <c r="D11" i="18"/>
  <c r="F11" i="18"/>
  <c r="D10" i="20" s="1"/>
  <c r="C15" i="19"/>
  <c r="E77" i="8"/>
  <c r="E79" i="8" s="1"/>
  <c r="G4" i="19"/>
  <c r="H4" i="19" s="1"/>
  <c r="F6" i="19"/>
  <c r="G6" i="19" s="1"/>
  <c r="H6" i="19" s="1"/>
  <c r="F5" i="19"/>
  <c r="G5" i="19" s="1"/>
  <c r="H5" i="19" s="1"/>
  <c r="F7" i="19"/>
  <c r="G7" i="19" s="1"/>
  <c r="H7" i="19" s="1"/>
  <c r="F77" i="8"/>
  <c r="F79" i="8" s="1"/>
  <c r="O31" i="8"/>
  <c r="O33" i="8" s="1"/>
  <c r="Q30" i="8"/>
  <c r="M48" i="8"/>
  <c r="G78" i="8" s="1"/>
  <c r="H69" i="8"/>
  <c r="O12" i="8"/>
  <c r="O14" i="8" s="1"/>
  <c r="K67" i="8"/>
  <c r="N34" i="5" s="1"/>
  <c r="W44" i="8"/>
  <c r="C16" i="19" l="1"/>
  <c r="J44" i="5"/>
  <c r="J45" i="5" s="1"/>
  <c r="J48" i="5" s="1"/>
  <c r="D8" i="19" s="1"/>
  <c r="O48" i="8"/>
  <c r="H78" i="8" s="1"/>
  <c r="S30" i="8"/>
  <c r="Q31" i="8"/>
  <c r="Q33" i="8" s="1"/>
  <c r="G79" i="8"/>
  <c r="K44" i="5"/>
  <c r="K45" i="5" s="1"/>
  <c r="K48" i="5" s="1"/>
  <c r="D9" i="19" s="1"/>
  <c r="E9" i="19" s="1"/>
  <c r="H77" i="8"/>
  <c r="S9" i="8"/>
  <c r="Q12" i="8"/>
  <c r="Q14" i="8" s="1"/>
  <c r="I69" i="8"/>
  <c r="L67" i="8"/>
  <c r="O34" i="5" s="1"/>
  <c r="Y44" i="8"/>
  <c r="E8" i="19" l="1"/>
  <c r="H79" i="8"/>
  <c r="F9" i="19"/>
  <c r="G9" i="19" s="1"/>
  <c r="H9" i="19" s="1"/>
  <c r="Q48" i="8"/>
  <c r="I78" i="8" s="1"/>
  <c r="U30" i="8"/>
  <c r="S31" i="8"/>
  <c r="S33" i="8" s="1"/>
  <c r="J69" i="8"/>
  <c r="S12" i="8"/>
  <c r="S14" i="8" s="1"/>
  <c r="U9" i="8"/>
  <c r="L44" i="5"/>
  <c r="L45" i="5" s="1"/>
  <c r="L48" i="5" s="1"/>
  <c r="D10" i="19" s="1"/>
  <c r="E10" i="19" s="1"/>
  <c r="F10" i="19" s="1"/>
  <c r="G10" i="19" s="1"/>
  <c r="H10" i="19" s="1"/>
  <c r="I77" i="8"/>
  <c r="M67" i="8"/>
  <c r="P34" i="5" s="1"/>
  <c r="AA44" i="8"/>
  <c r="F8" i="19" l="1"/>
  <c r="G8" i="19" s="1"/>
  <c r="H8" i="19" s="1"/>
  <c r="I79" i="8"/>
  <c r="S48" i="8"/>
  <c r="J78" i="8" s="1"/>
  <c r="W30" i="8"/>
  <c r="U31" i="8"/>
  <c r="U33" i="8" s="1"/>
  <c r="K69" i="8"/>
  <c r="W9" i="8"/>
  <c r="U12" i="8"/>
  <c r="U14" i="8" s="1"/>
  <c r="M44" i="5"/>
  <c r="M45" i="5" s="1"/>
  <c r="M48" i="5" s="1"/>
  <c r="D11" i="19" s="1"/>
  <c r="J77" i="8"/>
  <c r="N67" i="8"/>
  <c r="E11" i="19" l="1"/>
  <c r="J79" i="8"/>
  <c r="U48" i="8"/>
  <c r="K78" i="8" s="1"/>
  <c r="Y30" i="8"/>
  <c r="W31" i="8"/>
  <c r="W33" i="8" s="1"/>
  <c r="Y9" i="8"/>
  <c r="L69" i="8"/>
  <c r="W12" i="8"/>
  <c r="W14" i="8" s="1"/>
  <c r="N44" i="5"/>
  <c r="N45" i="5" s="1"/>
  <c r="N48" i="5" s="1"/>
  <c r="D12" i="19" s="1"/>
  <c r="E12" i="19" s="1"/>
  <c r="F12" i="19" s="1"/>
  <c r="K77" i="8"/>
  <c r="P67" i="8"/>
  <c r="Q34" i="5"/>
  <c r="O67" i="8"/>
  <c r="C34" i="5" s="1"/>
  <c r="G12" i="19" l="1"/>
  <c r="H12" i="19" s="1"/>
  <c r="F11" i="19"/>
  <c r="K79" i="8"/>
  <c r="AA30" i="8"/>
  <c r="Y31" i="8"/>
  <c r="Y33" i="8" s="1"/>
  <c r="W48" i="8"/>
  <c r="L78" i="8" s="1"/>
  <c r="O44" i="5"/>
  <c r="O45" i="5" s="1"/>
  <c r="O48" i="5" s="1"/>
  <c r="D13" i="19" s="1"/>
  <c r="E13" i="19" s="1"/>
  <c r="F13" i="19" s="1"/>
  <c r="L77" i="8"/>
  <c r="AA9" i="8"/>
  <c r="Y12" i="8"/>
  <c r="Y14" i="8" s="1"/>
  <c r="M69" i="8"/>
  <c r="D34" i="5"/>
  <c r="G11" i="19" l="1"/>
  <c r="H11" i="19" s="1"/>
  <c r="G13" i="19"/>
  <c r="H13" i="19" s="1"/>
  <c r="Y48" i="8"/>
  <c r="M78" i="8" s="1"/>
  <c r="L79" i="8"/>
  <c r="AA31" i="8"/>
  <c r="AA33" i="8" s="1"/>
  <c r="N69" i="8"/>
  <c r="P69" i="8" s="1"/>
  <c r="AA12" i="8"/>
  <c r="AA14" i="8" s="1"/>
  <c r="P44" i="5"/>
  <c r="P45" i="5" s="1"/>
  <c r="P48" i="5" s="1"/>
  <c r="D14" i="19" s="1"/>
  <c r="E14" i="19" s="1"/>
  <c r="M77" i="8"/>
  <c r="D30" i="5"/>
  <c r="C30" i="5"/>
  <c r="F14" i="19" l="1"/>
  <c r="M79" i="8"/>
  <c r="C31" i="5"/>
  <c r="C32" i="5" s="1"/>
  <c r="C14" i="20"/>
  <c r="D31" i="5"/>
  <c r="D32" i="5" s="1"/>
  <c r="AA48" i="8"/>
  <c r="N78" i="8" s="1"/>
  <c r="D44" i="5"/>
  <c r="D45" i="5" s="1"/>
  <c r="P77" i="8"/>
  <c r="Q44" i="5"/>
  <c r="Q45" i="5" s="1"/>
  <c r="Q48" i="5" s="1"/>
  <c r="D15" i="19" s="1"/>
  <c r="N77" i="8"/>
  <c r="O69" i="8"/>
  <c r="G14" i="19" l="1"/>
  <c r="H14" i="19" s="1"/>
  <c r="N79" i="8"/>
  <c r="O78" i="8"/>
  <c r="D46" i="5"/>
  <c r="D47" i="5" s="1"/>
  <c r="D50" i="5" s="1"/>
  <c r="E15" i="19"/>
  <c r="D16" i="19"/>
  <c r="D48" i="5"/>
  <c r="C44" i="5"/>
  <c r="O77" i="8"/>
  <c r="O79" i="8" l="1"/>
  <c r="F15" i="19"/>
  <c r="E17" i="19"/>
  <c r="C45" i="5"/>
  <c r="C48" i="5" s="1"/>
  <c r="C10" i="20"/>
  <c r="C11" i="20" s="1"/>
  <c r="C13" i="20" l="1"/>
  <c r="G15" i="19"/>
  <c r="H15" i="19" s="1"/>
  <c r="E18" i="19" s="1"/>
  <c r="C46" i="5"/>
  <c r="C47" i="5" s="1"/>
  <c r="C50" i="5" s="1"/>
  <c r="C12" i="20" l="1"/>
</calcChain>
</file>

<file path=xl/comments1.xml><?xml version="1.0" encoding="utf-8"?>
<comments xmlns="http://schemas.openxmlformats.org/spreadsheetml/2006/main">
  <authors>
    <author>Honor Wood</author>
  </authors>
  <commentList>
    <comment ref="Q18" authorId="0">
      <text>
        <r>
          <rPr>
            <b/>
            <sz val="8"/>
            <color indexed="81"/>
            <rFont val="Tahoma"/>
            <family val="2"/>
          </rPr>
          <t>Honor Wood:</t>
        </r>
        <r>
          <rPr>
            <sz val="8"/>
            <color indexed="81"/>
            <rFont val="Tahoma"/>
            <family val="2"/>
          </rPr>
          <t xml:space="preserve">
Temporary MDMR costs
=
Meter Population
X
Cost per meter
X
12 months in calendar year</t>
        </r>
      </text>
    </comment>
    <comment ref="I30" authorId="0">
      <text>
        <r>
          <rPr>
            <b/>
            <sz val="8"/>
            <color indexed="81"/>
            <rFont val="Tahoma"/>
            <family val="2"/>
          </rPr>
          <t>Honor Wood:</t>
        </r>
        <r>
          <rPr>
            <sz val="8"/>
            <color indexed="81"/>
            <rFont val="Tahoma"/>
            <family val="2"/>
          </rPr>
          <t xml:space="preserve">
Temporary MDMR costs
=
Meter Population
X
Cost per meter
X
12 months in calendar year</t>
        </r>
      </text>
    </comment>
    <comment ref="Q30" authorId="0">
      <text>
        <r>
          <rPr>
            <b/>
            <sz val="8"/>
            <color indexed="81"/>
            <rFont val="Tahoma"/>
            <family val="2"/>
          </rPr>
          <t>Honor Wood:</t>
        </r>
        <r>
          <rPr>
            <sz val="8"/>
            <color indexed="81"/>
            <rFont val="Tahoma"/>
            <family val="2"/>
          </rPr>
          <t xml:space="preserve">
Temporary MDMR costs
=
Meter Population
X
Cost per meter
X
12 months in calendar year</t>
        </r>
      </text>
    </comment>
  </commentList>
</comments>
</file>

<file path=xl/comments2.xml><?xml version="1.0" encoding="utf-8"?>
<comments xmlns="http://schemas.openxmlformats.org/spreadsheetml/2006/main">
  <authors>
    <author>Beharriell, Greg</author>
  </authors>
  <commentList>
    <comment ref="M13" authorId="0">
      <text>
        <r>
          <rPr>
            <b/>
            <sz val="9"/>
            <color indexed="81"/>
            <rFont val="Tahoma"/>
            <family val="2"/>
          </rPr>
          <t>Beharriell, Greg:</t>
        </r>
        <r>
          <rPr>
            <sz val="9"/>
            <color indexed="81"/>
            <rFont val="Tahoma"/>
            <family val="2"/>
          </rPr>
          <t xml:space="preserve">
RTMII Cost is incorporated in the SCADA tab based on total number of devices.</t>
        </r>
      </text>
    </comment>
    <comment ref="M21" authorId="0">
      <text>
        <r>
          <rPr>
            <b/>
            <sz val="9"/>
            <color indexed="81"/>
            <rFont val="Tahoma"/>
            <family val="2"/>
          </rPr>
          <t>Beharriell, Greg:</t>
        </r>
        <r>
          <rPr>
            <sz val="9"/>
            <color indexed="81"/>
            <rFont val="Tahoma"/>
            <family val="2"/>
          </rPr>
          <t xml:space="preserve">
Cost to Install and program RTMII into an existing device</t>
        </r>
      </text>
    </comment>
  </commentList>
</comments>
</file>

<file path=xl/sharedStrings.xml><?xml version="1.0" encoding="utf-8"?>
<sst xmlns="http://schemas.openxmlformats.org/spreadsheetml/2006/main" count="1505" uniqueCount="453">
  <si>
    <t>Totals</t>
  </si>
  <si>
    <t>Category</t>
  </si>
  <si>
    <t>Billing UOM</t>
  </si>
  <si>
    <t>Total:</t>
  </si>
  <si>
    <t>Checksum</t>
  </si>
  <si>
    <t>Cost/Mtr</t>
  </si>
  <si>
    <t>Quantity</t>
  </si>
  <si>
    <t>Cost</t>
  </si>
  <si>
    <t>Total: </t>
  </si>
  <si>
    <t>NA</t>
  </si>
  <si>
    <t>Interest Rate 1 for Short Term Cost of Funds</t>
  </si>
  <si>
    <t>Amortization Period AMI</t>
  </si>
  <si>
    <t>Net Present Value (NPV) Discount on O&amp;M</t>
  </si>
  <si>
    <t>Net Present Value (NPV) Discount on Capital</t>
  </si>
  <si>
    <t>Inflation Rate</t>
  </si>
  <si>
    <t>Contingency Percentage</t>
  </si>
  <si>
    <t>Depreciation Term on Operations Section</t>
  </si>
  <si>
    <t>TOTAL</t>
  </si>
  <si>
    <t>Total NPV</t>
  </si>
  <si>
    <t>Installation Costs</t>
  </si>
  <si>
    <t>Hardware</t>
  </si>
  <si>
    <t>Software</t>
  </si>
  <si>
    <t>Integration (Configuration &amp; Training)</t>
  </si>
  <si>
    <t>Total Capital Costs</t>
  </si>
  <si>
    <t>Maintenance</t>
  </si>
  <si>
    <t>Labour to Run System</t>
  </si>
  <si>
    <t>Hardware Maintenance</t>
  </si>
  <si>
    <t>Software Maintenance</t>
  </si>
  <si>
    <t>Finance / Corporate Services &amp; Other O&amp;M</t>
  </si>
  <si>
    <t>Annual rate to recover costs</t>
  </si>
  <si>
    <t>Cost Allocation</t>
  </si>
  <si>
    <t xml:space="preserve">Capital </t>
  </si>
  <si>
    <t>Operating</t>
  </si>
  <si>
    <t>1.1.1</t>
  </si>
  <si>
    <t>2.1.1</t>
  </si>
  <si>
    <t>1.1.3</t>
  </si>
  <si>
    <t>1.1.4</t>
  </si>
  <si>
    <t>1.1.5</t>
  </si>
  <si>
    <t>1.1.2</t>
  </si>
  <si>
    <t>2.1.2</t>
  </si>
  <si>
    <t>Section Sub Total</t>
  </si>
  <si>
    <t>1.2.2</t>
  </si>
  <si>
    <t>2.2.1</t>
  </si>
  <si>
    <t>1.2.1</t>
  </si>
  <si>
    <t>1.2.3</t>
  </si>
  <si>
    <t>2.2.2</t>
  </si>
  <si>
    <t>1.3.2</t>
  </si>
  <si>
    <t>2.3.2</t>
  </si>
  <si>
    <t>1.3.1</t>
  </si>
  <si>
    <t>2.3.1</t>
  </si>
  <si>
    <t>1.3.3</t>
  </si>
  <si>
    <t>Average Price</t>
  </si>
  <si>
    <t>Cost of Funds</t>
  </si>
  <si>
    <t>Deployment Schedule</t>
  </si>
  <si>
    <t>Installation Costs By Year</t>
  </si>
  <si>
    <t>Average Total Price</t>
  </si>
  <si>
    <t xml:space="preserve">Other </t>
  </si>
  <si>
    <t>Collectors (TGB's)</t>
  </si>
  <si>
    <t>1.1.4 Head End System Infrastructure</t>
  </si>
  <si>
    <t>1.2.1 Hardware</t>
  </si>
  <si>
    <t>1.2.2 Software</t>
  </si>
  <si>
    <t>1.2.3 Integration (Configuration &amp; Training)</t>
  </si>
  <si>
    <t>1.3.1 Hardware</t>
  </si>
  <si>
    <t>1.3.2 Software</t>
  </si>
  <si>
    <t>1.3.3 Integration (Configuration &amp; Training)</t>
  </si>
  <si>
    <t>2.1.1 Maintenance</t>
  </si>
  <si>
    <t>2.1.2 Labour to Run System</t>
  </si>
  <si>
    <t>2.2.1 Maintenance</t>
  </si>
  <si>
    <t>2.2.2 Labour to Run System</t>
  </si>
  <si>
    <t>2.3.1 Hardware Maintenance</t>
  </si>
  <si>
    <t>2.3.2 Software Maintenance</t>
  </si>
  <si>
    <t>2.3.3 Labour to Run System</t>
  </si>
  <si>
    <t>2.3.3</t>
  </si>
  <si>
    <t>Cat</t>
  </si>
  <si>
    <t>Grand Total</t>
  </si>
  <si>
    <t>Totals From Above</t>
  </si>
  <si>
    <t>Check Sum</t>
  </si>
  <si>
    <t>2.1.3 Cost of Funds</t>
  </si>
  <si>
    <t>2.1.3</t>
  </si>
  <si>
    <t>AMI Head End System Infrastructure (RNI)</t>
  </si>
  <si>
    <t>Provincial and Federal Sales Tax (HST)</t>
  </si>
  <si>
    <t>Year By Year Break Down</t>
  </si>
  <si>
    <t>1.1.2 Installation Costs - Regular Labour</t>
  </si>
  <si>
    <t>1.1.8 Cost of Funds</t>
  </si>
  <si>
    <t>Installation Costs - Regular Labour</t>
  </si>
  <si>
    <t xml:space="preserve"> </t>
  </si>
  <si>
    <t>Cost of Funds on Capital</t>
  </si>
  <si>
    <t>3-Phase Reclosers</t>
  </si>
  <si>
    <t>SCADA Devices</t>
  </si>
  <si>
    <t>Cooper</t>
  </si>
  <si>
    <t>G&amp;W</t>
  </si>
  <si>
    <t>S&amp;C</t>
  </si>
  <si>
    <t>1-Phase Reclosers</t>
  </si>
  <si>
    <t>Fault Indicators</t>
  </si>
  <si>
    <t>Communications</t>
  </si>
  <si>
    <t>Installation</t>
  </si>
  <si>
    <t>Warranty Costs</t>
  </si>
  <si>
    <t>SCADA System</t>
  </si>
  <si>
    <t>SCADA Implementation</t>
  </si>
  <si>
    <t>SCADA License</t>
  </si>
  <si>
    <t>SCADA Integration</t>
  </si>
  <si>
    <t>SCADA Staffing</t>
  </si>
  <si>
    <t>AMI Network Infrastructure</t>
  </si>
  <si>
    <t>RTM-II (Remote Telemetry Module)</t>
  </si>
  <si>
    <t>1.2 SCADA Devices Investments</t>
  </si>
  <si>
    <t>1.3 SCADA System Investments</t>
  </si>
  <si>
    <t>1.1 Communication Investments</t>
  </si>
  <si>
    <t>2.1 Communication O&amp;M</t>
  </si>
  <si>
    <t>2.2 SCADA Devices O&amp;M</t>
  </si>
  <si>
    <t>2.3 SCADA System O&amp;M</t>
  </si>
  <si>
    <t>Phase 1 POC</t>
  </si>
  <si>
    <t>Phase 2 Small</t>
  </si>
  <si>
    <t>Phase 3 Large</t>
  </si>
  <si>
    <t>SCADA Device Costs By Year</t>
  </si>
  <si>
    <t>SCADA Device Costs</t>
  </si>
  <si>
    <t>Pro-Tech</t>
  </si>
  <si>
    <t>KA Factor</t>
  </si>
  <si>
    <t>Thomas &amp; Betts</t>
  </si>
  <si>
    <t>Comms Trouble Shooting Modules 1% Per Yr</t>
  </si>
  <si>
    <t>Comms Warranty Costs (1% Annual Failure Rate)</t>
  </si>
  <si>
    <t>Amortization Period TGB, Software</t>
  </si>
  <si>
    <t>1.1.1 Comms Modules</t>
  </si>
  <si>
    <t>Comms Modules</t>
  </si>
  <si>
    <t>Communication Capital Investments</t>
  </si>
  <si>
    <t xml:space="preserve"> Scada Devices Capital Investments</t>
  </si>
  <si>
    <t>Scada System Capital  Investments</t>
  </si>
  <si>
    <t>Scada Devices O&amp;M</t>
  </si>
  <si>
    <t>Scada System O&amp;M</t>
  </si>
  <si>
    <t>Total Scada Device Volume</t>
  </si>
  <si>
    <t>Scada System Asset Strategy Summary</t>
  </si>
  <si>
    <t>Algoma Power Flexnet DA- Proposed Project  Pricing</t>
  </si>
  <si>
    <t>Qty</t>
  </si>
  <si>
    <t>Sensus Standard 2014 DA Pricing</t>
  </si>
  <si>
    <t xml:space="preserve">extended price </t>
  </si>
  <si>
    <t>Proposed Algoma price</t>
  </si>
  <si>
    <t>Proposed extended Price</t>
  </si>
  <si>
    <t>Phase 1 -POC ( 4-6 months)</t>
  </si>
  <si>
    <t>RTM II</t>
  </si>
  <si>
    <t>basestation upgrade including install</t>
  </si>
  <si>
    <t>IC spectrum fee ($4.2K pr yr)</t>
  </si>
  <si>
    <t>SaaS fee &lt;50</t>
  </si>
  <si>
    <t>one time implementation</t>
  </si>
  <si>
    <t>Phase 2- small scale rollout (6-8 months)</t>
  </si>
  <si>
    <t>Phase 3 - System wide deployment</t>
  </si>
  <si>
    <t xml:space="preserve">one time implementation </t>
  </si>
  <si>
    <t>Notes:</t>
  </si>
  <si>
    <t>1. If API decides to terminate project after phase 1, it will be subject to a termination fee of $10000</t>
  </si>
  <si>
    <t>2. If API decides to terminate project after phase 2, it will be subject to a termination fee of $5000</t>
  </si>
  <si>
    <t>5. All pricing in $US</t>
  </si>
  <si>
    <t>Algoma Power Inc.</t>
  </si>
  <si>
    <t>Pricing Spreadsheet</t>
  </si>
  <si>
    <t>RFI for SCADA-Capable Equipment # 2014-05I</t>
  </si>
  <si>
    <t>Recloser/Interrupter Packages</t>
  </si>
  <si>
    <t>Please copy this section and repeat for each proposed recloser.</t>
  </si>
  <si>
    <t>Model #:</t>
  </si>
  <si>
    <t>248124-C0P165</t>
  </si>
  <si>
    <t>Model name:</t>
  </si>
  <si>
    <t>IntelliRupter</t>
  </si>
  <si>
    <t>Volume-Based Discount</t>
  </si>
  <si>
    <t>Item</t>
  </si>
  <si>
    <t>Description</t>
  </si>
  <si>
    <t>Unit Price</t>
  </si>
  <si>
    <t>Volume</t>
  </si>
  <si>
    <t>Discount</t>
  </si>
  <si>
    <t>Vendor Comments</t>
  </si>
  <si>
    <t>3-phase recloser</t>
  </si>
  <si>
    <t>Base product: 38 kV</t>
  </si>
  <si>
    <t>Installation tools</t>
  </si>
  <si>
    <t>Catalgue number 4450, Module Handling Fitting—For field installation and removal of protection and control module, and communication module, in IntelliRupter base. Attaches to hookstick with universal fitting. Includes prong for operating IntelliRupter levers</t>
  </si>
  <si>
    <t>3 integral voltage sensors</t>
  </si>
  <si>
    <t>Not Required</t>
  </si>
  <si>
    <t>Standard unit comes standard with 6 integral voltage sensors for sensing on source and load side</t>
  </si>
  <si>
    <t>3 integral voltage sensors and 3 external PTs for voltage sensing on source and load side</t>
  </si>
  <si>
    <t>6 integral voltage sensors for sensing on source and load side</t>
  </si>
  <si>
    <t>External PT for power supply to control/relay</t>
  </si>
  <si>
    <t>Mounted to frame</t>
  </si>
  <si>
    <t>Wildlife protection</t>
  </si>
  <si>
    <t>Suffix A2</t>
  </si>
  <si>
    <t>Lightning arresters</t>
  </si>
  <si>
    <t>Factory installed and wired</t>
  </si>
  <si>
    <t>Suffix N6 - 21KV POLYMER- HOUSED METAL-OXIDE SURGE ARRESTORS FACTORY MOUNTED AND WIRED ON BOTH SIDES OF INTELLIRUPTER</t>
  </si>
  <si>
    <t>Site-ready assembly</t>
  </si>
  <si>
    <t>Mounting frame is complete with all recloser modules, PTs for power supply, lightning arresters and wildlife protection pre-mounted and pre-wired</t>
  </si>
  <si>
    <t>Standard unit in a single unit, designed for simple installation.</t>
  </si>
  <si>
    <t>Integrated visible disconnects</t>
  </si>
  <si>
    <t>Standard unit comes complete with integrated visible disconnects</t>
  </si>
  <si>
    <t>Extended warranty (add a row for each warranty period)</t>
  </si>
  <si>
    <t>Suffix T1 - TEN-YEAR WARRANTY FOR INTELLIRUPTER</t>
  </si>
  <si>
    <t>Other options or accessories to address API's needs (add a row for each item)</t>
  </si>
  <si>
    <t>Suffix C1</t>
  </si>
  <si>
    <t>Standard Control Group with Battery Backup—Identical to the Standard Control Group but additionally includes batteries that support operation for a minimum of four hours after loss of ac line voltage on both sides of IntelliRupter, permitting extended dead-line switching.</t>
  </si>
  <si>
    <t>Suffix P265</t>
  </si>
  <si>
    <t>Integrated Power Modules located on both sides of IntelliRupter</t>
  </si>
  <si>
    <t>Standard unit includes an integrated power module located on one side</t>
  </si>
  <si>
    <t>Suffix R80</t>
  </si>
  <si>
    <t>Factory-Installed and Wired S&amp;C SpeedNet Radio, providing high-speed network communication via DNP 3.0 protocol, and 900-MHz, 5-dBi gain antenna with male N-Type connector.</t>
  </si>
  <si>
    <t>SDA-4625</t>
  </si>
  <si>
    <t>SEL AUTORANGER MODEL AR8-COH FAULTED CIRCUIT INDICATORS SET OF THREE</t>
  </si>
  <si>
    <t>SDA-4540</t>
  </si>
  <si>
    <t>SPARE PROTECTION AND CONTROL MODULE</t>
  </si>
  <si>
    <t>SDA-4650R2</t>
  </si>
  <si>
    <t>IR DOCKING STATION - Powers protection &amp; control module and communication module removed from IntelliRupter base - for configuration settings, radio programming, &amp; radio battery charging - application in user's service center or lab</t>
  </si>
  <si>
    <t>Switches</t>
  </si>
  <si>
    <t>Please copy this section and repeat for each proposed switch.</t>
  </si>
  <si>
    <t>148114R2-F1G45 c/w 6801-GPS-F01H9JB1K1P0R88W2</t>
  </si>
  <si>
    <t>Scada-Mate and 6801 Automatic Switch Control</t>
  </si>
  <si>
    <t>Switch</t>
  </si>
  <si>
    <t>Base product</t>
  </si>
  <si>
    <t xml:space="preserve">1 phase Voltage sensing/ 3 phase current sensing </t>
  </si>
  <si>
    <t>Standard unit comes complete with single phase voltage sensing and 3 phase current sensing</t>
  </si>
  <si>
    <t xml:space="preserve">3 phase Voltage sensing/ 3 phase current sensing </t>
  </si>
  <si>
    <t>Scada-Mate Suffix E3</t>
  </si>
  <si>
    <t xml:space="preserve">6 phase Voltage sensing/ 3 phase current sensing </t>
  </si>
  <si>
    <t>Scada-Mate Suffix E33, 6801 Suffix K9</t>
  </si>
  <si>
    <t>Suffix A1</t>
  </si>
  <si>
    <t>Control upgrade options (add a row for each option)</t>
  </si>
  <si>
    <t xml:space="preserve">Upgrades that provide more than basic status/control functionality.  </t>
  </si>
  <si>
    <t>WiFi Module with Antenna, for 6801 Automatic Switch Control</t>
  </si>
  <si>
    <t>Suffix S3</t>
  </si>
  <si>
    <t>Antenna Surge Surpressor</t>
  </si>
  <si>
    <t>Substation mounting (add a row for each option)</t>
  </si>
  <si>
    <t>Provide pricing for each mounting option</t>
  </si>
  <si>
    <t>Standard unit can be mounted in the substation providing its on a pole</t>
  </si>
  <si>
    <t>Options that reduce the costs of installation  (add a row for each option)</t>
  </si>
  <si>
    <t xml:space="preserve">For example, integral power modules that eliminate the need for an external power supply.  </t>
  </si>
  <si>
    <t>Switch with SEL-2411 RTU</t>
  </si>
  <si>
    <t>Per 5.3.3 d)</t>
  </si>
  <si>
    <t>Switch with GE iBOX RTU</t>
  </si>
  <si>
    <t>Components that may require periodic replacement (add a row for each item)</t>
  </si>
  <si>
    <t xml:space="preserve">For each component listed in section 5.3.5 as requiring periodic replacement, please provide pricing. </t>
  </si>
  <si>
    <t>591-000190-01</t>
  </si>
  <si>
    <t>Spare 24-Vdc, 8-Ampere-Hour Gates Battery</t>
  </si>
  <si>
    <t>Services</t>
  </si>
  <si>
    <t>Please provide rates for services. Add a row for each additional service.</t>
  </si>
  <si>
    <t>Rate</t>
  </si>
  <si>
    <t>Installation services</t>
  </si>
  <si>
    <t>Please see S&amp;C Proposal Section 4.12 for Field Service Pricing.</t>
  </si>
  <si>
    <t>Engineering services</t>
  </si>
  <si>
    <t>Training</t>
  </si>
  <si>
    <t>Cost estimate for  training</t>
  </si>
  <si>
    <t>Early Payment Discounts</t>
  </si>
  <si>
    <t>Please indicate any discounts offered for early payment of invoices.</t>
  </si>
  <si>
    <t>Discount offered if invoice paid within 30 days</t>
  </si>
  <si>
    <t>Other discounts (add a row for each discount offered)</t>
  </si>
  <si>
    <t>Additional Incidental Costs</t>
  </si>
  <si>
    <t>Please indicate any costs not covered above</t>
  </si>
  <si>
    <t>Price</t>
  </si>
  <si>
    <t>Travel time</t>
  </si>
  <si>
    <t>Mileage</t>
  </si>
  <si>
    <t>Vendor Pricing Notes</t>
  </si>
  <si>
    <t>Fault Circuit Indicators</t>
  </si>
  <si>
    <t>Please copy this section and repeat for each proposed FCI.</t>
  </si>
  <si>
    <t>WSO-11.2</t>
  </si>
  <si>
    <t>SEL Wireless Overhead Faulted Circuit Indicator for OnRamp Wireless Networks</t>
  </si>
  <si>
    <t>Fault circuit indicator</t>
  </si>
  <si>
    <t>qty 1-24</t>
  </si>
  <si>
    <t>qty 25-99</t>
  </si>
  <si>
    <t>qty 100-249</t>
  </si>
  <si>
    <t>`</t>
  </si>
  <si>
    <t>qty 250-499</t>
  </si>
  <si>
    <t>User-replaceable battery</t>
  </si>
  <si>
    <t>Manual reset tool Part Number CRSRTT</t>
  </si>
  <si>
    <t>External tool for manual reset</t>
  </si>
  <si>
    <t>qty 1</t>
  </si>
  <si>
    <t>qty 4</t>
  </si>
  <si>
    <t>qty 12</t>
  </si>
  <si>
    <t>N/A</t>
  </si>
  <si>
    <t>Integrated communication option (add a row for each option)</t>
  </si>
  <si>
    <t xml:space="preserve">Provide cost for each integrated communication option that can be supplied at time of FCI purchase (per 5.1.8 e).  </t>
  </si>
  <si>
    <t>On-Ramp Total Reach Access Point</t>
  </si>
  <si>
    <t>Field Installed Access Point</t>
  </si>
  <si>
    <t>Budgetary cost</t>
  </si>
  <si>
    <t>On-Ramp Total Reach Base Station Gateway</t>
  </si>
  <si>
    <t>Cost for the Base Station Gateway is dependant upon the number of devices deployed and is part of the proposal process.  Budgetary costing can be provided when a known number of devices is identified and a network plan has been formulated.</t>
  </si>
  <si>
    <t>SEL does not install overhead FCIs, this is typically done by utility staff or HV contractors.</t>
  </si>
  <si>
    <t>OnRamp Wireless provides user guidance when planning a network deplyment and installation of Access Points and Base Stations.</t>
  </si>
  <si>
    <t>SEL offers many types of training courses though SEL University, as well as offered on-site.  Please refer to the SEL website for details on courses offered and costing.</t>
  </si>
  <si>
    <t>OnRamp Wireless offers training for their system components as part of the proposal process.</t>
  </si>
  <si>
    <t>SEL Product purchase terms are NET 30 Days</t>
  </si>
  <si>
    <t>OnRamp Wirelsss Product purchase terms are NET 30 Days</t>
  </si>
  <si>
    <r>
      <t xml:space="preserve">Pricing above is in $ CDN , based on an exchange rate of $1 CDN = $0.90182 USD.    Exchange rates from USD to CDN are posted daily for quoting using the exchange website </t>
    </r>
    <r>
      <rPr>
        <b/>
        <sz val="10"/>
        <color theme="1"/>
        <rFont val="Calibri"/>
        <family val="2"/>
        <scheme val="minor"/>
      </rPr>
      <t>http://www.oanda.com/currency/converter/.</t>
    </r>
    <r>
      <rPr>
        <sz val="10"/>
        <color theme="1"/>
        <rFont val="Calibri"/>
        <family val="2"/>
        <scheme val="minor"/>
      </rPr>
      <t xml:space="preserve">  Quoted pricing converted in CDN currency is valid for 60 days.</t>
    </r>
  </si>
  <si>
    <t>Manual reset</t>
  </si>
  <si>
    <t>VIP398ER-12-1-ST</t>
  </si>
  <si>
    <t>G&amp;W Viper</t>
  </si>
  <si>
    <t>25+</t>
  </si>
  <si>
    <t>Single phase recloser</t>
  </si>
  <si>
    <t xml:space="preserve">Base product: 25 kV </t>
  </si>
  <si>
    <t>Included in Base Bid</t>
  </si>
  <si>
    <t>35kV System (19,920/120V)</t>
  </si>
  <si>
    <t>3 included in Base Bid</t>
  </si>
  <si>
    <t>19,920/120V</t>
  </si>
  <si>
    <t>Stand-alone control to retrofit to Cooper NOVA-TS Series</t>
  </si>
  <si>
    <t>Additional information req'd</t>
  </si>
  <si>
    <t>Stand-alone control to retrofit to Cooper WVE/VWVE series</t>
  </si>
  <si>
    <t>Stand-alone control to retrofit to Cooper G&amp;W Viper-ST  series</t>
  </si>
  <si>
    <t>Estimate - depends on options selected</t>
  </si>
  <si>
    <t>1st year included. 1% of total order value per year to a maximum of 4 years.</t>
  </si>
  <si>
    <t>Installation services (daily)</t>
  </si>
  <si>
    <t>$187.50/hr</t>
  </si>
  <si>
    <t>Travel expenses + 10% extra</t>
  </si>
  <si>
    <t>Engineering services (daily)</t>
  </si>
  <si>
    <t>$250.00/hr</t>
  </si>
  <si>
    <t>Training (daily)</t>
  </si>
  <si>
    <t>See Section 2 Information Regarding Proponent's Company 4.4.c, Product Support &amp; Training.</t>
  </si>
  <si>
    <t xml:space="preserve"> Navigator Fault indicators</t>
  </si>
  <si>
    <t>38 KV AUTO GROUP OPERATED VECTOR</t>
  </si>
  <si>
    <t>APV984XFA-xxx</t>
  </si>
  <si>
    <t>U. S. Dollars</t>
  </si>
  <si>
    <t>Switch with auto controls and cabinet</t>
  </si>
  <si>
    <t>RTU NOT INCLUDED</t>
  </si>
  <si>
    <t xml:space="preserve">Voltage/current sensing </t>
  </si>
  <si>
    <t>Price per phase( include 2 volt. Sensors  and 2 cables per phase)</t>
  </si>
  <si>
    <t>Current Sensing</t>
  </si>
  <si>
    <t>Price adder per switch</t>
  </si>
  <si>
    <t>Control/motor for SCADA integration</t>
  </si>
  <si>
    <t>INCLUDED W/BASIC AUTO SWITCH</t>
  </si>
  <si>
    <t>Easergy Flite 116-SA and G200 RTU</t>
  </si>
  <si>
    <t>(for a replacement battery)</t>
  </si>
  <si>
    <r>
      <t xml:space="preserve">20kV Hotstick </t>
    </r>
    <r>
      <rPr>
        <b/>
        <sz val="10"/>
        <color indexed="8"/>
        <rFont val="Calibri"/>
        <family val="2"/>
      </rPr>
      <t>(optiona</t>
    </r>
    <r>
      <rPr>
        <sz val="10"/>
        <color indexed="8"/>
        <rFont val="Calibri"/>
        <family val="2"/>
      </rPr>
      <t>l)</t>
    </r>
  </si>
  <si>
    <t>G200 RTU (RS232 Port)</t>
  </si>
  <si>
    <t>RS232 Port for 3rd party comms</t>
  </si>
  <si>
    <t>Solar G200 RTU (Integrated Cell Modem)</t>
  </si>
  <si>
    <t>RTU with Integrated GSM or GPRS  modem for use with solar panel (also a RS232 version)</t>
  </si>
  <si>
    <t>For Sales to Decide</t>
  </si>
  <si>
    <t>Solar Panel for Solar G200 RTU</t>
  </si>
  <si>
    <t>N-Series and W-Series Reclosers</t>
  </si>
  <si>
    <t>Model N-Green (No SF6)</t>
  </si>
  <si>
    <t>Solid Dielectric Type</t>
  </si>
  <si>
    <t>TTS  (Test&amp;Training Set)</t>
  </si>
  <si>
    <t>Included in Base Product</t>
  </si>
  <si>
    <t>Bracket Included in Base Product</t>
  </si>
  <si>
    <t>ADVC Controller</t>
  </si>
  <si>
    <t>RL-Series Load Break Switch</t>
  </si>
  <si>
    <t>FTIM (Fast Trip Input Module)</t>
  </si>
  <si>
    <t>IOEX (Input/output Expander Module)</t>
  </si>
  <si>
    <t>Pole Mounting</t>
  </si>
  <si>
    <t xml:space="preserve">included with the LBS </t>
  </si>
  <si>
    <t xml:space="preserve">1. days is needed for installation </t>
  </si>
  <si>
    <t>$1800/day</t>
  </si>
  <si>
    <t xml:space="preserve">1. days is needed for Training </t>
  </si>
  <si>
    <t>GCVT3G</t>
  </si>
  <si>
    <t>Grid Advisor Series II</t>
  </si>
  <si>
    <t>5% per additional year</t>
  </si>
  <si>
    <t>KNSTS38</t>
  </si>
  <si>
    <t>Nova STS Recloser</t>
  </si>
  <si>
    <t>Included</t>
  </si>
  <si>
    <t>3% per additional year of warranty</t>
  </si>
  <si>
    <t xml:space="preserve">Available upon request for custom quote based on services required. </t>
  </si>
  <si>
    <t>Included at no charge</t>
  </si>
  <si>
    <t xml:space="preserve">Prices are quoted firm in CDN $ for 30 days acceptance.  Prices were calculated using an exchange rate of .89.  Any future price adjustments would be based on current exchange rate. </t>
  </si>
  <si>
    <t>1548FH</t>
  </si>
  <si>
    <t>Fisher Pierce 1548 Series FCI</t>
  </si>
  <si>
    <t xml:space="preserve">The price indicated is for a single phase unit and includes radio transmitter option for SCADA capability. In the case of a three phase installation a PHASE A, PHASE B &amp; PHASE C are required and each is the at the unit price noted to the left. The model of the 1548 Series FCI will be determined at the time of application and purchase as the unit can be equipped with various features and functions that is not defined at this time. The price for these features and functions will not affect the price od the unit. </t>
  </si>
  <si>
    <t>Lithium batteries have a 10 year operational and shelf life.</t>
  </si>
  <si>
    <t>No installation tools are required for the proposed 1548 Series FCI.</t>
  </si>
  <si>
    <t>The price indicated is for the SmartLink 5000 Cellular RTU only and does not incude the communications and data fees that is associated with transmission of the data of the RTU. Please see the "SL5000 Data Plans &amp; Pricing" tabs for additional details. One Smartlink 5000 RTU is capable of handling up to four of the 1548 Series FCI's that are located within 100 to 150 feet "line-of-sight" of the RTU.</t>
  </si>
  <si>
    <t>The proposed FCI and RTU comes with a standard two (2) year warranty and we are not offering an extended warranty on the proposed products at this time.</t>
  </si>
  <si>
    <t>No other options or accessories are offer at this time.</t>
  </si>
  <si>
    <t>MVR3-38-12-N2-00862 (3-Phase)</t>
  </si>
  <si>
    <t>Elastimold Model MVR (Molded Vacuum Recloser)</t>
  </si>
  <si>
    <t>Please refere to the "3-phase MVR BOM" tab for details of options &amp; features included in this price.</t>
  </si>
  <si>
    <t>Please refere to the "1-phase MVR BOM" tab for details of options &amp; features included in this price.</t>
  </si>
  <si>
    <t>No installation tools are required for the MVR recloser.</t>
  </si>
  <si>
    <t>Loadside voltage sensors are always included as astandard option with the MVR recloser.</t>
  </si>
  <si>
    <t>Three loadside voltage sensors are always included with the MVR recloser as noted above, but we do not offer PT's for source side voltage monitoring rather external sensors that can be added at a later date, see next line for details.</t>
  </si>
  <si>
    <t xml:space="preserve">The price is indicated only for the source side voltage sensors that can be added at a later date when required. </t>
  </si>
  <si>
    <t>In the case of the 3-phase recloser above, this PT is inlcuded in the price of the base unit.</t>
  </si>
  <si>
    <t>In the case of the 3-phase recloser above, widlife protection is included in the price of the base unit.</t>
  </si>
  <si>
    <t>The supply of the actual surge arresters is outside of the scope of T&amp;B's supply and will be installed by the end-user.</t>
  </si>
  <si>
    <t>In the case of the 3-phase recloser above, the noted mounting frame is included in the price of the base unit.</t>
  </si>
  <si>
    <t>There is no option available from Thomas &amp; Betts for integrated visible isolating disconnect switches into the package and as such will have to be supplied by the end user.</t>
  </si>
  <si>
    <t>Unfortunately we are unable to price SEL controls as separate items for either our own MVR recloser or the competition's recloser since controls are provided to T&amp;B on a OEM basis as part of our recloser offering and per the OEM agreement we cannot sell the controls on an individual basis.</t>
  </si>
  <si>
    <t>The proposed MVR comes with a standard three (3) year warranty and we are not offering an extended warranty on the proposed MVR recloser at this time.</t>
  </si>
  <si>
    <t>Please refer to the BOM tabs for the proposed 3-Phase and single phase MVR reclosers to see what options and accessories are included in the price of each recloser. Any additional accessories that may or may not be required can be added or removed at the time the application is defined.</t>
  </si>
  <si>
    <t>NO PRODUCT IS OFFER FOR THIS SECTION</t>
  </si>
  <si>
    <t>The supply any installation services is outside of the scope of T&amp;B's supply.</t>
  </si>
  <si>
    <t>The supply any engineering services is outside of the scope of T&amp;B's supply.</t>
  </si>
  <si>
    <t xml:space="preserve">The cost provided for the training will cover two days of training on the proposed products over a standard eigth (8) hour period per day. </t>
  </si>
  <si>
    <t xml:space="preserve">The prices that have been proposed are net, exclusive of all taxes in Canadian funds. The FOB point related to the prices quoted will be to Sault Ste. Marie, Ontario, Canada. </t>
  </si>
  <si>
    <t xml:space="preserve">The prices quoted will also remain firm for a period of ninety (90) days from closing date of the RFI.  </t>
  </si>
  <si>
    <t>GS200/GS250</t>
  </si>
  <si>
    <t>GS200 Cellular</t>
  </si>
  <si>
    <t>GS200 Cellualr</t>
  </si>
  <si>
    <t>1 - 300</t>
  </si>
  <si>
    <t>FOB Dayton Ohio, Quote valid for 30 day starting Febuary 28, 2014</t>
  </si>
  <si>
    <t>GS200 Wifi</t>
  </si>
  <si>
    <t>FOB Dayton Ohio, Quote valid for 30 day starting Febuary 28, 2015</t>
  </si>
  <si>
    <t>GS250 Cellular</t>
  </si>
  <si>
    <t>FOB Dayton Ohio, Quote valid for 30 day starting Febuary 28, 2016</t>
  </si>
  <si>
    <t>GS250 Wifi</t>
  </si>
  <si>
    <t>FOB Dayton Ohio, Quote valid for 30 day starting Febuary 28, 2017</t>
  </si>
  <si>
    <t>Year</t>
  </si>
  <si>
    <t>Total</t>
  </si>
  <si>
    <t>NPV</t>
  </si>
  <si>
    <t>No NPV</t>
  </si>
  <si>
    <t>Benefit</t>
  </si>
  <si>
    <t>Source</t>
  </si>
  <si>
    <t>Savings</t>
  </si>
  <si>
    <t>Costs</t>
  </si>
  <si>
    <t>Net Revenue</t>
  </si>
  <si>
    <t>IRR</t>
  </si>
  <si>
    <t>Payback in Years</t>
  </si>
  <si>
    <t>Other Capital &amp; Maintenance</t>
  </si>
  <si>
    <t>Cost Of Funds (COF)</t>
  </si>
  <si>
    <t>Benefits to Cost Ratio</t>
  </si>
  <si>
    <t>Payback Period</t>
  </si>
  <si>
    <t>Years</t>
  </si>
  <si>
    <t>Internal Rate of Return (IRR)</t>
  </si>
  <si>
    <t>Total Operating</t>
  </si>
  <si>
    <t>Communication Capital &amp; Maintenance</t>
  </si>
  <si>
    <t>Scada System Capital &amp; Maintenance</t>
  </si>
  <si>
    <t>Operational Savings</t>
  </si>
  <si>
    <t>SCADA Network</t>
  </si>
  <si>
    <t>Interruption Costs</t>
  </si>
  <si>
    <t>Avoided Capital Costs</t>
  </si>
  <si>
    <t>Total Capital (No COF)</t>
  </si>
  <si>
    <t>Total Capital - NPV (No COF)</t>
  </si>
  <si>
    <t>Average Capital Cost Per Device</t>
  </si>
  <si>
    <t>Average Cost Per Device Per Month (Based on 12 Year)</t>
  </si>
  <si>
    <t>Cost of Funds on Capital (Total = sum over 12Yrs on a 15Yr Loan)</t>
  </si>
  <si>
    <t>Total O&amp;M Costs</t>
  </si>
  <si>
    <t>Average O&amp;M Cost Per Device Per Month</t>
  </si>
  <si>
    <t>Total Costs Per Device Per Month (Based on 12 Yrs)</t>
  </si>
  <si>
    <t>Tab</t>
  </si>
  <si>
    <t>Change</t>
  </si>
  <si>
    <t>Benefits</t>
  </si>
  <si>
    <t>Health and Safety -&gt; Avoided Mtc Costs</t>
  </si>
  <si>
    <t>Added Avoided Mtc Costs</t>
  </si>
  <si>
    <t>Changed value in D3 to match revised Reliability Benefit Analysis</t>
  </si>
  <si>
    <t>Integrate Existing Dev</t>
  </si>
  <si>
    <t>Pricing</t>
  </si>
  <si>
    <t>Changed "3-PH switches" to "Integrate Existing Device" to recognize that some of this activity can happen in early years to integrate existing SCADA-capable devices in key areas at a much lower capital cost than installing new devices</t>
  </si>
  <si>
    <t>SCADA</t>
  </si>
  <si>
    <t>Changed devices counts in each year (Note that annual totals are less than previous in recognition that a portion of API's annual capital reliability projects may involve non-SCADA related components such as contingency improvements.</t>
  </si>
  <si>
    <t>Numbers based on Interruption Costs Estimate Calculator using API Analysis of historical outage data.</t>
  </si>
  <si>
    <t>Benefits Related to reductions in response costs, costs related to hold-offs and switching, after-hours call centre costs, engineering travel costs and recloser maintenance costs</t>
  </si>
  <si>
    <t>Avoided O&amp;M Costs</t>
  </si>
  <si>
    <t>Business Case</t>
  </si>
  <si>
    <t>Modified D9 formula to include all benefits</t>
  </si>
  <si>
    <t>Added comment for consideration of including NPV values instead of totals - does the early outlay of investment and potential delay in realizing benefits skews the analysis if NPV is not considered?</t>
  </si>
  <si>
    <t>Increased total TGB count to 8 and split some of the upgrades between 2015 and 2016 to smooth the costs (i.e. move from small to complete rollout toward the end of 2015)</t>
  </si>
  <si>
    <t>Modified costs as appropriate for "Integrate Existing Device" - see comments</t>
  </si>
  <si>
    <t>SCADA Network (NPV Values)</t>
  </si>
  <si>
    <t>Scada Devices Capital &amp; Maintenance</t>
  </si>
  <si>
    <t>AMI Network Infrastructure (TGB's)</t>
  </si>
  <si>
    <t>Communication O&amp;M</t>
  </si>
  <si>
    <t>Head-end System (RNI Fees)</t>
  </si>
  <si>
    <t>1.1.3 Network Infrastructure - TGB's</t>
  </si>
  <si>
    <t>Schneider</t>
  </si>
  <si>
    <t>Added Formulas in Row 9 to equal values in Row 4, but delayed by 2 years - to account for additional testing/verification, process re-design and training required before safety-related changes related to hold-offs can be implemented.</t>
  </si>
  <si>
    <t>Reduced recloser installation costs as reclosers prioritized in the next few years would be at priority locations where existing reclosers are in place and the new units could be relatively easily retrofitted in the existing space.</t>
  </si>
  <si>
    <t>3. Quantities for endpoints/collectors are an estimate ( except for POC where 2 TGB upgrade kits are required). API will advise qtys to best meet requirements.</t>
  </si>
  <si>
    <t>4. IC spectrum applicable only if need to utilize separate  DA spectrum. AMI RIS and contract SLA will determine if this is necessary. API will not hold Sensus financially responsible for SLA performance drops during POC or phase 2/3 if same AMI spectrum is utilized for DA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</si>
</sst>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8" formatCode="&quot;$&quot;#,##0.00;[Red]\-&quot;$&quot;#,##0.00"/>
    <numFmt numFmtId="44" formatCode="_-&quot;$&quot;* #,##0.00_-;\-&quot;$&quot;* #,##0.00_-;_-&quot;$&quot;* &quot;-&quot;??_-;_-@_-"/>
    <numFmt numFmtId="43" formatCode="_-* #,##0.00_-;\-* #,##0.00_-;_-* &quot;-&quot;??_-;_-@_-"/>
    <numFmt numFmtId="164" formatCode="&quot;$&quot;#,##0.00"/>
    <numFmt numFmtId="165" formatCode="0.0%"/>
    <numFmt numFmtId="166" formatCode="&quot;$&quot;#,##0.000"/>
    <numFmt numFmtId="167" formatCode="&quot;AMCD Vendor&quot;\ 0"/>
    <numFmt numFmtId="168" formatCode="&quot;AMRC Including WAN Costs Vendor&quot;\ 0"/>
    <numFmt numFmtId="169" formatCode="&quot;AMCC Vendor&quot;\ 0"/>
    <numFmt numFmtId="170" formatCode="&quot;AMI Miscellaneous Vendor&quot;\ 0"/>
    <numFmt numFmtId="171" formatCode="&quot;Smart Meter Installation Process Vendor&quot;\ 0"/>
    <numFmt numFmtId="172" formatCode="&quot;Contingency at&quot;\ 0.0%"/>
    <numFmt numFmtId="173" formatCode="&quot;Meter Data Management Software&quot;\ 0"/>
    <numFmt numFmtId="174" formatCode="&quot;Meter Data Management Hardware&quot;\ 0"/>
    <numFmt numFmtId="175" formatCode="&quot;Adaptor Installation Vendor&quot;\ 0"/>
    <numFmt numFmtId="176" formatCode="&quot;Workforce Management System Vendor&quot;\ 0"/>
    <numFmt numFmtId="177" formatCode="&quot;$&quot;#,##0.00;[Red]&quot;$&quot;#,##0.00"/>
    <numFmt numFmtId="178" formatCode="&quot;$&quot;#,##0"/>
    <numFmt numFmtId="179" formatCode="_-[$$-1009]* #,##0.00_-;\-[$$-1009]* #,##0.00_-;_-[$$-1009]* &quot;-&quot;??_-;_-@_-"/>
    <numFmt numFmtId="180" formatCode="_-* #,##0.000_-;\-* #,##0.000_-;_-* &quot;-&quot;??_-;_-@_-"/>
    <numFmt numFmtId="181" formatCode="_-* #,##0_-;\-* #,##0_-;_-* &quot;-&quot;??_-;_-@_-"/>
    <numFmt numFmtId="182" formatCode="_-* #,##0.00000_-;\-* #,##0.00000_-;_-* &quot;-&quot;??_-;_-@_-"/>
    <numFmt numFmtId="183" formatCode="0.000"/>
    <numFmt numFmtId="184" formatCode="#,##0.000"/>
  </numFmts>
  <fonts count="40" x14ac:knownFonts="1">
    <font>
      <sz val="11"/>
      <color theme="1"/>
      <name val="Calibri"/>
      <family val="2"/>
      <scheme val="minor"/>
    </font>
    <font>
      <sz val="11"/>
      <color indexed="8"/>
      <name val="Calibri"/>
      <family val="2"/>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1"/>
      <color rgb="FFFFFFFF"/>
      <name val="Calibri"/>
      <family val="2"/>
    </font>
    <font>
      <sz val="11"/>
      <color rgb="FF000000"/>
      <name val="Calibri"/>
      <family val="2"/>
    </font>
    <font>
      <sz val="10"/>
      <name val="Arial"/>
      <family val="2"/>
    </font>
    <font>
      <b/>
      <sz val="10"/>
      <color theme="0"/>
      <name val="Arial"/>
      <family val="2"/>
    </font>
    <font>
      <b/>
      <sz val="10"/>
      <name val="Arial"/>
      <family val="2"/>
    </font>
    <font>
      <sz val="10"/>
      <color indexed="9"/>
      <name val="Arial"/>
      <family val="2"/>
    </font>
    <font>
      <b/>
      <sz val="12"/>
      <color theme="0"/>
      <name val="Arial"/>
      <family val="2"/>
    </font>
    <font>
      <b/>
      <sz val="10"/>
      <color indexed="9"/>
      <name val="Arial"/>
      <family val="2"/>
    </font>
    <font>
      <b/>
      <sz val="12"/>
      <color indexed="9"/>
      <name val="Arial"/>
      <family val="2"/>
    </font>
    <font>
      <b/>
      <sz val="11"/>
      <name val="Times New Roman"/>
      <family val="1"/>
    </font>
    <font>
      <sz val="11"/>
      <name val="Times New Roman"/>
      <family val="1"/>
    </font>
    <font>
      <b/>
      <sz val="12"/>
      <color indexed="23"/>
      <name val="Arial"/>
      <family val="2"/>
    </font>
    <font>
      <sz val="11"/>
      <color indexed="9"/>
      <name val="Times New Roman"/>
      <family val="1"/>
    </font>
    <font>
      <b/>
      <sz val="8"/>
      <color indexed="81"/>
      <name val="Tahoma"/>
      <family val="2"/>
    </font>
    <font>
      <sz val="8"/>
      <color indexed="81"/>
      <name val="Tahoma"/>
      <family val="2"/>
    </font>
    <font>
      <b/>
      <sz val="11"/>
      <color theme="0"/>
      <name val="Arial"/>
      <family val="2"/>
    </font>
    <font>
      <sz val="12"/>
      <color theme="1"/>
      <name val="Calibri"/>
      <family val="2"/>
      <scheme val="minor"/>
    </font>
    <font>
      <b/>
      <sz val="14"/>
      <color rgb="FF1E2F48"/>
      <name val="Calibri"/>
      <family val="2"/>
      <scheme val="minor"/>
    </font>
    <font>
      <b/>
      <sz val="12"/>
      <color theme="1"/>
      <name val="Calibri"/>
      <family val="2"/>
      <scheme val="minor"/>
    </font>
    <font>
      <i/>
      <sz val="10"/>
      <name val="Calibri"/>
      <family val="2"/>
      <scheme val="minor"/>
    </font>
    <font>
      <b/>
      <sz val="10"/>
      <color theme="1"/>
      <name val="Calibri"/>
      <family val="2"/>
      <scheme val="minor"/>
    </font>
    <font>
      <i/>
      <strike/>
      <sz val="10"/>
      <name val="Calibri"/>
      <family val="2"/>
      <scheme val="minor"/>
    </font>
    <font>
      <strike/>
      <sz val="10"/>
      <color theme="1"/>
      <name val="Calibri"/>
      <family val="2"/>
      <scheme val="minor"/>
    </font>
    <font>
      <b/>
      <strike/>
      <sz val="10"/>
      <color theme="1"/>
      <name val="Calibri"/>
      <family val="2"/>
      <scheme val="minor"/>
    </font>
    <font>
      <b/>
      <sz val="14"/>
      <color indexed="62"/>
      <name val="Calibri"/>
      <family val="2"/>
    </font>
    <font>
      <b/>
      <sz val="12"/>
      <color indexed="8"/>
      <name val="Calibri"/>
      <family val="2"/>
    </font>
    <font>
      <sz val="12"/>
      <color indexed="8"/>
      <name val="Calibri"/>
      <family val="2"/>
    </font>
    <font>
      <i/>
      <sz val="10"/>
      <name val="Calibri"/>
      <family val="2"/>
    </font>
    <font>
      <sz val="10"/>
      <color indexed="8"/>
      <name val="Calibri"/>
      <family val="2"/>
    </font>
    <font>
      <b/>
      <sz val="10"/>
      <color indexed="8"/>
      <name val="Calibri"/>
      <family val="2"/>
    </font>
    <font>
      <sz val="10"/>
      <name val="Calibri"/>
      <family val="2"/>
    </font>
    <font>
      <b/>
      <sz val="11"/>
      <color rgb="FFFF0000"/>
      <name val="Calibri"/>
      <family val="2"/>
      <scheme val="minor"/>
    </font>
    <font>
      <sz val="9"/>
      <color indexed="81"/>
      <name val="Tahoma"/>
      <family val="2"/>
    </font>
    <font>
      <b/>
      <sz val="9"/>
      <color indexed="81"/>
      <name val="Tahoma"/>
      <family val="2"/>
    </font>
  </fonts>
  <fills count="16">
    <fill>
      <patternFill patternType="none"/>
    </fill>
    <fill>
      <patternFill patternType="gray125"/>
    </fill>
    <fill>
      <patternFill patternType="solid">
        <fgColor rgb="FF4F81BD"/>
        <bgColor indexed="64"/>
      </patternFill>
    </fill>
    <fill>
      <patternFill patternType="solid">
        <fgColor rgb="FFD0D8E8"/>
        <bgColor indexed="64"/>
      </patternFill>
    </fill>
    <fill>
      <patternFill patternType="solid">
        <fgColor rgb="FFE9EDF4"/>
        <bgColor indexed="64"/>
      </patternFill>
    </fill>
    <fill>
      <patternFill patternType="solid">
        <fgColor theme="4"/>
        <bgColor indexed="64"/>
      </patternFill>
    </fill>
    <fill>
      <patternFill patternType="solid">
        <fgColor theme="4" tint="0.79998168889431442"/>
        <bgColor indexed="64"/>
      </patternFill>
    </fill>
    <fill>
      <patternFill patternType="solid">
        <fgColor theme="6"/>
        <bgColor indexed="64"/>
      </patternFill>
    </fill>
    <fill>
      <patternFill patternType="solid">
        <fgColor theme="3" tint="0.79998168889431442"/>
        <bgColor indexed="64"/>
      </patternFill>
    </fill>
    <fill>
      <patternFill patternType="solid">
        <fgColor indexed="22"/>
        <bgColor indexed="64"/>
      </patternFill>
    </fill>
    <fill>
      <patternFill patternType="solid">
        <fgColor rgb="FFCCFF9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00"/>
        <bgColor indexed="64"/>
      </patternFill>
    </fill>
    <fill>
      <patternFill patternType="solid">
        <fgColor indexed="51"/>
        <bgColor indexed="64"/>
      </patternFill>
    </fill>
    <fill>
      <patternFill patternType="solid">
        <fgColor theme="6"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medium">
        <color rgb="FFFFFFFF"/>
      </left>
      <right/>
      <top/>
      <bottom/>
      <diagonal/>
    </border>
    <border>
      <left/>
      <right style="medium">
        <color rgb="FFFFFFFF"/>
      </right>
      <top/>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
      <left/>
      <right/>
      <top/>
      <bottom style="thin">
        <color indexed="64"/>
      </bottom>
      <diagonal/>
    </border>
  </borders>
  <cellStyleXfs count="9">
    <xf numFmtId="0" fontId="0" fillId="0" borderId="0"/>
    <xf numFmtId="43" fontId="2" fillId="0" borderId="0" applyFont="0" applyFill="0" applyBorder="0" applyAlignment="0" applyProtection="0"/>
    <xf numFmtId="44" fontId="8" fillId="0" borderId="0" applyFont="0" applyFill="0" applyBorder="0" applyAlignment="0" applyProtection="0"/>
    <xf numFmtId="9" fontId="2" fillId="0" borderId="0" applyFont="0" applyFill="0" applyBorder="0" applyAlignment="0" applyProtection="0"/>
    <xf numFmtId="0" fontId="22" fillId="0" borderId="0"/>
    <xf numFmtId="9" fontId="1"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cellStyleXfs>
  <cellXfs count="346">
    <xf numFmtId="0" fontId="0" fillId="0" borderId="0" xfId="0"/>
    <xf numFmtId="0" fontId="0" fillId="0" borderId="0" xfId="0" applyFont="1"/>
    <xf numFmtId="0" fontId="6" fillId="2" borderId="2" xfId="0" applyFont="1" applyFill="1" applyBorder="1" applyAlignment="1">
      <alignment horizontal="center" vertical="center" wrapText="1" readingOrder="1"/>
    </xf>
    <xf numFmtId="0" fontId="7" fillId="3" borderId="3" xfId="0" applyFont="1" applyFill="1" applyBorder="1" applyAlignment="1">
      <alignment horizontal="center" vertical="center" wrapText="1" readingOrder="1"/>
    </xf>
    <xf numFmtId="0" fontId="7" fillId="3" borderId="3" xfId="0" applyFont="1" applyFill="1" applyBorder="1" applyAlignment="1">
      <alignment horizontal="center" vertical="top" wrapText="1" readingOrder="1"/>
    </xf>
    <xf numFmtId="0" fontId="7" fillId="4" borderId="4" xfId="0" applyFont="1" applyFill="1" applyBorder="1" applyAlignment="1">
      <alignment horizontal="center" vertical="center" wrapText="1" readingOrder="1"/>
    </xf>
    <xf numFmtId="0" fontId="7" fillId="4" borderId="4" xfId="0" applyFont="1" applyFill="1" applyBorder="1" applyAlignment="1">
      <alignment horizontal="center" vertical="top" wrapText="1" readingOrder="1"/>
    </xf>
    <xf numFmtId="0" fontId="7" fillId="3" borderId="4" xfId="0" applyFont="1" applyFill="1" applyBorder="1" applyAlignment="1">
      <alignment horizontal="center" vertical="center" wrapText="1" readingOrder="1"/>
    </xf>
    <xf numFmtId="0" fontId="7" fillId="3" borderId="4" xfId="0" applyFont="1" applyFill="1" applyBorder="1" applyAlignment="1">
      <alignment horizontal="center" vertical="top" wrapText="1" readingOrder="1"/>
    </xf>
    <xf numFmtId="8" fontId="7" fillId="3" borderId="3" xfId="0" applyNumberFormat="1" applyFont="1" applyFill="1" applyBorder="1" applyAlignment="1">
      <alignment horizontal="center" vertical="center" wrapText="1" readingOrder="1"/>
    </xf>
    <xf numFmtId="8" fontId="7" fillId="3" borderId="3" xfId="0" applyNumberFormat="1" applyFont="1" applyFill="1" applyBorder="1" applyAlignment="1">
      <alignment horizontal="center" vertical="top" wrapText="1" readingOrder="1"/>
    </xf>
    <xf numFmtId="8" fontId="7" fillId="4" borderId="4" xfId="0" applyNumberFormat="1" applyFont="1" applyFill="1" applyBorder="1" applyAlignment="1">
      <alignment horizontal="center" vertical="center" wrapText="1" readingOrder="1"/>
    </xf>
    <xf numFmtId="8" fontId="7" fillId="4" borderId="4" xfId="0" applyNumberFormat="1" applyFont="1" applyFill="1" applyBorder="1" applyAlignment="1">
      <alignment horizontal="center" vertical="top" wrapText="1" readingOrder="1"/>
    </xf>
    <xf numFmtId="8" fontId="7" fillId="3" borderId="4" xfId="0" applyNumberFormat="1" applyFont="1" applyFill="1" applyBorder="1" applyAlignment="1">
      <alignment horizontal="center" vertical="center" wrapText="1" readingOrder="1"/>
    </xf>
    <xf numFmtId="8" fontId="7" fillId="3" borderId="4" xfId="0" applyNumberFormat="1" applyFont="1" applyFill="1" applyBorder="1" applyAlignment="1">
      <alignment horizontal="center" vertical="top" wrapText="1" readingOrder="1"/>
    </xf>
    <xf numFmtId="164" fontId="0" fillId="0" borderId="1" xfId="0" applyNumberFormat="1" applyBorder="1"/>
    <xf numFmtId="0" fontId="8" fillId="0" borderId="1" xfId="0" applyFont="1" applyBorder="1"/>
    <xf numFmtId="0" fontId="10" fillId="0" borderId="10" xfId="0" applyFont="1" applyBorder="1" applyAlignment="1">
      <alignment horizontal="center"/>
    </xf>
    <xf numFmtId="0" fontId="10" fillId="0" borderId="13" xfId="0" applyFont="1" applyBorder="1" applyAlignment="1">
      <alignment horizontal="center"/>
    </xf>
    <xf numFmtId="165" fontId="10" fillId="0" borderId="13" xfId="0" applyNumberFormat="1" applyFont="1" applyBorder="1" applyAlignment="1">
      <alignment horizontal="center"/>
    </xf>
    <xf numFmtId="0" fontId="8" fillId="0" borderId="1" xfId="0" applyFont="1" applyBorder="1" applyAlignment="1">
      <alignment horizontal="center"/>
    </xf>
    <xf numFmtId="164" fontId="0" fillId="6" borderId="1" xfId="0" applyNumberFormat="1" applyFill="1" applyBorder="1" applyAlignment="1">
      <alignment horizontal="center"/>
    </xf>
    <xf numFmtId="164" fontId="0" fillId="0" borderId="1" xfId="0" applyNumberFormat="1" applyFill="1" applyBorder="1" applyAlignment="1">
      <alignment horizontal="center"/>
    </xf>
    <xf numFmtId="0" fontId="13" fillId="5" borderId="1" xfId="0" applyFont="1" applyFill="1" applyBorder="1" applyAlignment="1">
      <alignment horizontal="center"/>
    </xf>
    <xf numFmtId="0" fontId="9" fillId="5" borderId="1" xfId="0" applyFont="1" applyFill="1" applyBorder="1" applyAlignment="1"/>
    <xf numFmtId="164" fontId="9" fillId="5" borderId="1" xfId="0" applyNumberFormat="1" applyFont="1" applyFill="1" applyBorder="1" applyAlignment="1">
      <alignment horizontal="center"/>
    </xf>
    <xf numFmtId="0" fontId="9" fillId="5" borderId="7" xfId="0" applyFont="1" applyFill="1" applyBorder="1" applyAlignment="1"/>
    <xf numFmtId="166" fontId="9" fillId="5" borderId="1" xfId="0" applyNumberFormat="1" applyFont="1" applyFill="1" applyBorder="1" applyAlignment="1">
      <alignment horizontal="center"/>
    </xf>
    <xf numFmtId="164" fontId="9" fillId="7" borderId="1" xfId="0" applyNumberFormat="1" applyFont="1" applyFill="1" applyBorder="1" applyAlignment="1">
      <alignment horizontal="center"/>
    </xf>
    <xf numFmtId="164" fontId="10" fillId="0" borderId="1" xfId="0" applyNumberFormat="1" applyFont="1" applyBorder="1" applyAlignment="1">
      <alignment horizontal="center"/>
    </xf>
    <xf numFmtId="0" fontId="10" fillId="0" borderId="0" xfId="0" applyFont="1"/>
    <xf numFmtId="3" fontId="8" fillId="0" borderId="0" xfId="0" applyNumberFormat="1" applyFont="1" applyBorder="1" applyAlignment="1">
      <alignment horizontal="center" vertical="center" wrapText="1"/>
    </xf>
    <xf numFmtId="0" fontId="8" fillId="0" borderId="0" xfId="0" applyFont="1" applyFill="1" applyBorder="1" applyAlignment="1">
      <alignment vertical="top" wrapText="1"/>
    </xf>
    <xf numFmtId="0" fontId="8" fillId="0" borderId="0" xfId="0" applyFont="1" applyBorder="1" applyAlignment="1">
      <alignment horizontal="center" vertical="center" wrapText="1"/>
    </xf>
    <xf numFmtId="0" fontId="13" fillId="5" borderId="11" xfId="0" applyFont="1" applyFill="1" applyBorder="1" applyAlignment="1">
      <alignment horizontal="center" vertical="top" wrapText="1"/>
    </xf>
    <xf numFmtId="0" fontId="13" fillId="5" borderId="13" xfId="0" applyFont="1" applyFill="1" applyBorder="1" applyAlignment="1">
      <alignment horizontal="center" vertical="top" wrapText="1"/>
    </xf>
    <xf numFmtId="0" fontId="13" fillId="5" borderId="24" xfId="0" applyFont="1" applyFill="1" applyBorder="1" applyAlignment="1">
      <alignment horizontal="center" vertical="top" wrapText="1"/>
    </xf>
    <xf numFmtId="0" fontId="13" fillId="5" borderId="12" xfId="0" applyFont="1" applyFill="1" applyBorder="1" applyAlignment="1">
      <alignment horizontal="center" vertical="top" wrapText="1"/>
    </xf>
    <xf numFmtId="0" fontId="15" fillId="0" borderId="25" xfId="0" applyFont="1" applyBorder="1" applyAlignment="1">
      <alignment horizontal="justify" vertical="top" wrapText="1"/>
    </xf>
    <xf numFmtId="0" fontId="15" fillId="0" borderId="11" xfId="0" applyFont="1" applyBorder="1" applyAlignment="1">
      <alignment horizontal="justify" vertical="top" wrapText="1"/>
    </xf>
    <xf numFmtId="0" fontId="15" fillId="0" borderId="13" xfId="0" applyFont="1" applyBorder="1" applyAlignment="1">
      <alignment horizontal="justify" vertical="top" wrapText="1"/>
    </xf>
    <xf numFmtId="164" fontId="16" fillId="0" borderId="11" xfId="0" applyNumberFormat="1" applyFont="1" applyBorder="1" applyAlignment="1">
      <alignment horizontal="center" vertical="top" wrapText="1"/>
    </xf>
    <xf numFmtId="164" fontId="16" fillId="0" borderId="13" xfId="0" applyNumberFormat="1" applyFont="1" applyBorder="1" applyAlignment="1">
      <alignment horizontal="center" vertical="top" wrapText="1"/>
    </xf>
    <xf numFmtId="167" fontId="16" fillId="0" borderId="25" xfId="0" applyNumberFormat="1" applyFont="1" applyBorder="1" applyAlignment="1">
      <alignment horizontal="left" vertical="top" wrapText="1" indent="2"/>
    </xf>
    <xf numFmtId="0" fontId="16" fillId="0" borderId="11" xfId="0" applyFont="1" applyBorder="1" applyAlignment="1">
      <alignment horizontal="center" vertical="top" wrapText="1"/>
    </xf>
    <xf numFmtId="0" fontId="16" fillId="0" borderId="13" xfId="0" applyFont="1" applyBorder="1" applyAlignment="1">
      <alignment horizontal="center" vertical="top" wrapText="1"/>
    </xf>
    <xf numFmtId="168" fontId="16" fillId="0" borderId="25" xfId="0" applyNumberFormat="1" applyFont="1" applyBorder="1" applyAlignment="1">
      <alignment horizontal="left" vertical="top" wrapText="1" indent="2"/>
    </xf>
    <xf numFmtId="164" fontId="16" fillId="0" borderId="13" xfId="0" applyNumberFormat="1" applyFont="1" applyFill="1" applyBorder="1" applyAlignment="1">
      <alignment horizontal="center" vertical="top" wrapText="1"/>
    </xf>
    <xf numFmtId="169" fontId="16" fillId="0" borderId="25" xfId="0" applyNumberFormat="1" applyFont="1" applyBorder="1" applyAlignment="1">
      <alignment horizontal="left" vertical="top" wrapText="1" indent="2"/>
    </xf>
    <xf numFmtId="170" fontId="16" fillId="0" borderId="25" xfId="0" applyNumberFormat="1" applyFont="1" applyBorder="1" applyAlignment="1">
      <alignment horizontal="left" vertical="top" wrapText="1" indent="2"/>
    </xf>
    <xf numFmtId="171" fontId="15" fillId="0" borderId="25" xfId="0" applyNumberFormat="1" applyFont="1" applyBorder="1" applyAlignment="1">
      <alignment horizontal="justify" vertical="top" wrapText="1"/>
    </xf>
    <xf numFmtId="164" fontId="0" fillId="0" borderId="13" xfId="0" applyNumberFormat="1" applyBorder="1"/>
    <xf numFmtId="0" fontId="16" fillId="0" borderId="25" xfId="0" applyFont="1" applyBorder="1" applyAlignment="1">
      <alignment horizontal="justify" vertical="top" wrapText="1"/>
    </xf>
    <xf numFmtId="0" fontId="0" fillId="0" borderId="13" xfId="0" applyBorder="1"/>
    <xf numFmtId="164" fontId="17" fillId="0" borderId="11" xfId="0" applyNumberFormat="1" applyFont="1" applyBorder="1" applyAlignment="1">
      <alignment horizontal="center" vertical="top" wrapText="1"/>
    </xf>
    <xf numFmtId="164" fontId="16" fillId="0" borderId="24" xfId="0" applyNumberFormat="1" applyFont="1" applyBorder="1" applyAlignment="1">
      <alignment horizontal="center" vertical="top" wrapText="1"/>
    </xf>
    <xf numFmtId="164" fontId="16" fillId="0" borderId="11" xfId="2" applyNumberFormat="1" applyFont="1" applyBorder="1" applyAlignment="1">
      <alignment horizontal="right" vertical="top" wrapText="1"/>
    </xf>
    <xf numFmtId="164" fontId="16" fillId="0" borderId="12" xfId="0" applyNumberFormat="1" applyFont="1" applyBorder="1" applyAlignment="1">
      <alignment horizontal="center" vertical="top" wrapText="1"/>
    </xf>
    <xf numFmtId="164" fontId="17" fillId="0" borderId="13" xfId="0" applyNumberFormat="1" applyFont="1" applyBorder="1" applyAlignment="1">
      <alignment horizontal="center" vertical="top" wrapText="1"/>
    </xf>
    <xf numFmtId="164" fontId="16" fillId="0" borderId="11" xfId="0" applyNumberFormat="1" applyFont="1" applyBorder="1" applyAlignment="1">
      <alignment horizontal="right" vertical="top" wrapText="1"/>
    </xf>
    <xf numFmtId="164" fontId="16" fillId="0" borderId="13" xfId="0" applyNumberFormat="1" applyFont="1" applyBorder="1" applyAlignment="1">
      <alignment horizontal="right" vertical="top" wrapText="1"/>
    </xf>
    <xf numFmtId="172" fontId="16" fillId="0" borderId="25" xfId="0" applyNumberFormat="1" applyFont="1" applyBorder="1" applyAlignment="1">
      <alignment horizontal="justify" vertical="top" wrapText="1"/>
    </xf>
    <xf numFmtId="0" fontId="16" fillId="9" borderId="25" xfId="0" applyFont="1" applyFill="1" applyBorder="1" applyAlignment="1">
      <alignment horizontal="justify" vertical="top" wrapText="1"/>
    </xf>
    <xf numFmtId="0" fontId="16" fillId="9" borderId="11" xfId="0" applyFont="1" applyFill="1" applyBorder="1" applyAlignment="1">
      <alignment horizontal="justify" vertical="top" wrapText="1"/>
    </xf>
    <xf numFmtId="0" fontId="16" fillId="9" borderId="13" xfId="0" applyFont="1" applyFill="1" applyBorder="1" applyAlignment="1">
      <alignment horizontal="justify" vertical="top" wrapText="1"/>
    </xf>
    <xf numFmtId="164" fontId="16" fillId="9" borderId="11" xfId="0" applyNumberFormat="1" applyFont="1" applyFill="1" applyBorder="1" applyAlignment="1">
      <alignment horizontal="center" vertical="top" wrapText="1"/>
    </xf>
    <xf numFmtId="164" fontId="16" fillId="9" borderId="13" xfId="0" applyNumberFormat="1" applyFont="1" applyFill="1" applyBorder="1" applyAlignment="1">
      <alignment horizontal="center" vertical="top" wrapText="1"/>
    </xf>
    <xf numFmtId="0" fontId="14" fillId="5" borderId="25" xfId="0" applyFont="1" applyFill="1" applyBorder="1" applyAlignment="1">
      <alignment horizontal="center" vertical="top" wrapText="1"/>
    </xf>
    <xf numFmtId="0" fontId="14" fillId="5" borderId="11" xfId="0" applyFont="1" applyFill="1" applyBorder="1" applyAlignment="1">
      <alignment horizontal="center" vertical="top" wrapText="1"/>
    </xf>
    <xf numFmtId="0" fontId="14" fillId="5" borderId="13" xfId="0" applyFont="1" applyFill="1" applyBorder="1" applyAlignment="1">
      <alignment horizontal="center" vertical="top" wrapText="1"/>
    </xf>
    <xf numFmtId="164" fontId="14" fillId="5" borderId="11" xfId="0" applyNumberFormat="1" applyFont="1" applyFill="1" applyBorder="1" applyAlignment="1">
      <alignment horizontal="justify" vertical="top" wrapText="1"/>
    </xf>
    <xf numFmtId="164" fontId="14" fillId="5" borderId="13" xfId="0" applyNumberFormat="1" applyFont="1" applyFill="1" applyBorder="1" applyAlignment="1">
      <alignment horizontal="justify" vertical="top" wrapText="1"/>
    </xf>
    <xf numFmtId="164" fontId="11" fillId="5" borderId="13" xfId="0" applyNumberFormat="1" applyFont="1" applyFill="1" applyBorder="1"/>
    <xf numFmtId="164" fontId="16" fillId="0" borderId="25" xfId="0" applyNumberFormat="1" applyFont="1" applyBorder="1" applyAlignment="1">
      <alignment horizontal="right" vertical="top" wrapText="1"/>
    </xf>
    <xf numFmtId="174" fontId="16" fillId="0" borderId="25" xfId="0" applyNumberFormat="1" applyFont="1" applyBorder="1" applyAlignment="1">
      <alignment horizontal="justify" vertical="top" wrapText="1"/>
    </xf>
    <xf numFmtId="164" fontId="16" fillId="0" borderId="13" xfId="2" applyNumberFormat="1" applyFont="1" applyBorder="1" applyAlignment="1">
      <alignment horizontal="right" vertical="top" wrapText="1"/>
    </xf>
    <xf numFmtId="164" fontId="16" fillId="0" borderId="13" xfId="2" applyNumberFormat="1" applyFont="1" applyBorder="1" applyAlignment="1">
      <alignment horizontal="right"/>
    </xf>
    <xf numFmtId="164" fontId="17" fillId="0" borderId="11" xfId="0" applyNumberFormat="1" applyFont="1" applyBorder="1" applyAlignment="1">
      <alignment horizontal="right" vertical="top" wrapText="1"/>
    </xf>
    <xf numFmtId="164" fontId="16" fillId="9" borderId="11" xfId="0" applyNumberFormat="1" applyFont="1" applyFill="1" applyBorder="1" applyAlignment="1">
      <alignment horizontal="right" vertical="top" wrapText="1"/>
    </xf>
    <xf numFmtId="164" fontId="16" fillId="9" borderId="13" xfId="0" applyNumberFormat="1" applyFont="1" applyFill="1" applyBorder="1" applyAlignment="1">
      <alignment horizontal="right" vertical="top" wrapText="1"/>
    </xf>
    <xf numFmtId="164" fontId="17" fillId="0" borderId="13" xfId="0" applyNumberFormat="1" applyFont="1" applyBorder="1" applyAlignment="1">
      <alignment horizontal="right" vertical="top" wrapText="1"/>
    </xf>
    <xf numFmtId="164" fontId="0" fillId="0" borderId="13" xfId="0" applyNumberFormat="1" applyBorder="1" applyAlignment="1">
      <alignment horizontal="right"/>
    </xf>
    <xf numFmtId="175" fontId="16" fillId="0" borderId="25" xfId="0" applyNumberFormat="1" applyFont="1" applyBorder="1" applyAlignment="1">
      <alignment horizontal="left" vertical="top" wrapText="1" indent="2"/>
    </xf>
    <xf numFmtId="176" fontId="16" fillId="0" borderId="25" xfId="0" applyNumberFormat="1" applyFont="1" applyBorder="1" applyAlignment="1">
      <alignment horizontal="left" vertical="top" wrapText="1" indent="2"/>
    </xf>
    <xf numFmtId="164" fontId="17" fillId="0" borderId="11" xfId="0" applyNumberFormat="1" applyFont="1" applyBorder="1" applyAlignment="1">
      <alignment horizontal="justify" vertical="top" wrapText="1"/>
    </xf>
    <xf numFmtId="164" fontId="17" fillId="0" borderId="13" xfId="0" applyNumberFormat="1" applyFont="1" applyBorder="1" applyAlignment="1">
      <alignment horizontal="justify" vertical="top" wrapText="1"/>
    </xf>
    <xf numFmtId="0" fontId="18" fillId="5" borderId="27" xfId="0" applyFont="1" applyFill="1" applyBorder="1" applyAlignment="1">
      <alignment horizontal="justify" vertical="top" wrapText="1"/>
    </xf>
    <xf numFmtId="164" fontId="18" fillId="5" borderId="11" xfId="0" applyNumberFormat="1" applyFont="1" applyFill="1" applyBorder="1" applyAlignment="1">
      <alignment horizontal="center" vertical="top" wrapText="1"/>
    </xf>
    <xf numFmtId="0" fontId="14" fillId="5" borderId="28" xfId="0" applyFont="1" applyFill="1" applyBorder="1" applyAlignment="1">
      <alignment horizontal="justify" vertical="top" wrapText="1"/>
    </xf>
    <xf numFmtId="0" fontId="14" fillId="5" borderId="14" xfId="0" applyFont="1" applyFill="1" applyBorder="1" applyAlignment="1">
      <alignment horizontal="center" vertical="top" wrapText="1"/>
    </xf>
    <xf numFmtId="0" fontId="14" fillId="5" borderId="16" xfId="0" applyFont="1" applyFill="1" applyBorder="1" applyAlignment="1">
      <alignment horizontal="center" vertical="top" wrapText="1"/>
    </xf>
    <xf numFmtId="0" fontId="14" fillId="5" borderId="14" xfId="0" applyFont="1" applyFill="1" applyBorder="1" applyAlignment="1">
      <alignment horizontal="justify" vertical="top" wrapText="1"/>
    </xf>
    <xf numFmtId="0" fontId="14" fillId="5" borderId="16" xfId="0" applyFont="1" applyFill="1" applyBorder="1" applyAlignment="1">
      <alignment horizontal="justify" vertical="top" wrapText="1"/>
    </xf>
    <xf numFmtId="0" fontId="11" fillId="5" borderId="16" xfId="0" applyFont="1" applyFill="1" applyBorder="1"/>
    <xf numFmtId="164" fontId="7" fillId="3" borderId="4" xfId="0" applyNumberFormat="1" applyFont="1" applyFill="1" applyBorder="1" applyAlignment="1">
      <alignment horizontal="center" vertical="top" wrapText="1" readingOrder="1"/>
    </xf>
    <xf numFmtId="43" fontId="13" fillId="5" borderId="8" xfId="1" applyFont="1" applyFill="1" applyBorder="1"/>
    <xf numFmtId="0" fontId="13" fillId="5" borderId="9" xfId="0" applyFont="1" applyFill="1" applyBorder="1" applyAlignment="1">
      <alignment horizontal="center" vertical="center"/>
    </xf>
    <xf numFmtId="0" fontId="13" fillId="5" borderId="9" xfId="0" applyFont="1" applyFill="1" applyBorder="1" applyAlignment="1">
      <alignment horizontal="center"/>
    </xf>
    <xf numFmtId="0" fontId="13" fillId="5" borderId="31" xfId="0" applyFont="1" applyFill="1" applyBorder="1" applyAlignment="1">
      <alignment horizontal="center"/>
    </xf>
    <xf numFmtId="0" fontId="13" fillId="5" borderId="10" xfId="0" applyFont="1" applyFill="1" applyBorder="1" applyAlignment="1">
      <alignment horizontal="center"/>
    </xf>
    <xf numFmtId="43" fontId="10" fillId="8" borderId="24" xfId="1" applyFont="1" applyFill="1" applyBorder="1"/>
    <xf numFmtId="0" fontId="10" fillId="8" borderId="18" xfId="0" applyFont="1" applyFill="1" applyBorder="1" applyAlignment="1">
      <alignment horizontal="center" vertical="center"/>
    </xf>
    <xf numFmtId="0" fontId="10" fillId="8" borderId="18" xfId="0" applyFont="1" applyFill="1" applyBorder="1" applyAlignment="1">
      <alignment horizontal="center"/>
    </xf>
    <xf numFmtId="0" fontId="10" fillId="8" borderId="32" xfId="0" applyFont="1" applyFill="1" applyBorder="1" applyAlignment="1">
      <alignment horizontal="center"/>
    </xf>
    <xf numFmtId="0" fontId="10" fillId="8" borderId="13" xfId="0" applyFont="1" applyFill="1" applyBorder="1" applyAlignment="1">
      <alignment horizontal="center"/>
    </xf>
    <xf numFmtId="0" fontId="8" fillId="0" borderId="11" xfId="0" applyFont="1" applyBorder="1"/>
    <xf numFmtId="164" fontId="10" fillId="10" borderId="1" xfId="0" applyNumberFormat="1" applyFont="1" applyFill="1" applyBorder="1" applyAlignment="1">
      <alignment horizontal="center"/>
    </xf>
    <xf numFmtId="164" fontId="8" fillId="0" borderId="7" xfId="0" applyNumberFormat="1" applyFont="1" applyFill="1" applyBorder="1" applyAlignment="1">
      <alignment horizontal="center"/>
    </xf>
    <xf numFmtId="164" fontId="8" fillId="0" borderId="13" xfId="0" applyNumberFormat="1" applyFont="1" applyFill="1" applyBorder="1" applyAlignment="1">
      <alignment horizontal="center"/>
    </xf>
    <xf numFmtId="0" fontId="10" fillId="8" borderId="11" xfId="0" applyFont="1" applyFill="1" applyBorder="1"/>
    <xf numFmtId="0" fontId="8" fillId="8" borderId="1" xfId="0" applyFont="1" applyFill="1" applyBorder="1" applyAlignment="1">
      <alignment horizontal="center"/>
    </xf>
    <xf numFmtId="0" fontId="0" fillId="8" borderId="1" xfId="0" applyFill="1" applyBorder="1" applyAlignment="1">
      <alignment horizontal="center"/>
    </xf>
    <xf numFmtId="0" fontId="0" fillId="8" borderId="7" xfId="0" applyFill="1" applyBorder="1"/>
    <xf numFmtId="0" fontId="0" fillId="8" borderId="13" xfId="0" applyFill="1" applyBorder="1"/>
    <xf numFmtId="0" fontId="0" fillId="0" borderId="11" xfId="0" applyBorder="1"/>
    <xf numFmtId="0" fontId="10" fillId="0" borderId="1" xfId="0" applyFont="1" applyBorder="1" applyAlignment="1">
      <alignment horizontal="right"/>
    </xf>
    <xf numFmtId="0" fontId="0" fillId="0" borderId="26" xfId="0" applyBorder="1"/>
    <xf numFmtId="0" fontId="10" fillId="0" borderId="17" xfId="0" applyFont="1" applyBorder="1" applyAlignment="1">
      <alignment horizontal="right"/>
    </xf>
    <xf numFmtId="164" fontId="10" fillId="0" borderId="17" xfId="0" applyNumberFormat="1" applyFont="1" applyBorder="1" applyAlignment="1">
      <alignment horizontal="center"/>
    </xf>
    <xf numFmtId="0" fontId="0" fillId="5" borderId="14" xfId="0" applyFill="1" applyBorder="1"/>
    <xf numFmtId="0" fontId="0" fillId="5" borderId="16" xfId="0" applyFill="1" applyBorder="1"/>
    <xf numFmtId="0" fontId="3" fillId="5" borderId="15" xfId="0" applyFont="1" applyFill="1" applyBorder="1" applyAlignment="1">
      <alignment horizontal="right"/>
    </xf>
    <xf numFmtId="164" fontId="13" fillId="5" borderId="15" xfId="0" applyNumberFormat="1" applyFont="1" applyFill="1" applyBorder="1" applyAlignment="1">
      <alignment horizontal="center"/>
    </xf>
    <xf numFmtId="0" fontId="11" fillId="5" borderId="8" xfId="0" applyFont="1" applyFill="1" applyBorder="1" applyAlignment="1"/>
    <xf numFmtId="0" fontId="11" fillId="5" borderId="11" xfId="0" applyFont="1" applyFill="1" applyBorder="1" applyAlignment="1"/>
    <xf numFmtId="0" fontId="11" fillId="5" borderId="14" xfId="0" applyFont="1" applyFill="1" applyBorder="1" applyAlignment="1"/>
    <xf numFmtId="3" fontId="0" fillId="0" borderId="34" xfId="0" applyNumberFormat="1" applyBorder="1" applyAlignment="1">
      <alignment horizontal="center" vertical="center"/>
    </xf>
    <xf numFmtId="0" fontId="21" fillId="5" borderId="34" xfId="0" applyFont="1" applyFill="1" applyBorder="1" applyAlignment="1">
      <alignment vertical="center"/>
    </xf>
    <xf numFmtId="10" fontId="10" fillId="0" borderId="16" xfId="0" applyNumberFormat="1" applyFont="1" applyBorder="1" applyAlignment="1">
      <alignment horizontal="center"/>
    </xf>
    <xf numFmtId="164" fontId="4" fillId="0" borderId="33" xfId="0" applyNumberFormat="1" applyFont="1" applyBorder="1"/>
    <xf numFmtId="164" fontId="0" fillId="11" borderId="1" xfId="0" applyNumberFormat="1" applyFill="1" applyBorder="1" applyAlignment="1">
      <alignment horizontal="center"/>
    </xf>
    <xf numFmtId="0" fontId="0" fillId="11" borderId="1" xfId="0" applyFill="1" applyBorder="1"/>
    <xf numFmtId="43" fontId="10" fillId="11" borderId="1" xfId="1" applyFont="1" applyFill="1" applyBorder="1"/>
    <xf numFmtId="0" fontId="10" fillId="11" borderId="1" xfId="0" applyFont="1" applyFill="1" applyBorder="1"/>
    <xf numFmtId="164" fontId="0" fillId="0" borderId="0" xfId="0" applyNumberFormat="1" applyFont="1"/>
    <xf numFmtId="0" fontId="9" fillId="5" borderId="1" xfId="0" applyFont="1" applyFill="1" applyBorder="1" applyAlignment="1">
      <alignment horizontal="center"/>
    </xf>
    <xf numFmtId="173" fontId="16" fillId="0" borderId="25" xfId="0" applyNumberFormat="1" applyFont="1" applyBorder="1" applyAlignment="1">
      <alignment horizontal="left" vertical="top" wrapText="1" indent="1"/>
    </xf>
    <xf numFmtId="173" fontId="15" fillId="0" borderId="25" xfId="0" applyNumberFormat="1" applyFont="1" applyBorder="1" applyAlignment="1">
      <alignment horizontal="justify" vertical="top" wrapText="1"/>
    </xf>
    <xf numFmtId="0" fontId="22" fillId="0" borderId="0" xfId="4"/>
    <xf numFmtId="0" fontId="22" fillId="0" borderId="1" xfId="4" applyBorder="1"/>
    <xf numFmtId="0" fontId="22" fillId="0" borderId="1" xfId="4" applyBorder="1" applyAlignment="1">
      <alignment wrapText="1"/>
    </xf>
    <xf numFmtId="0" fontId="22" fillId="12" borderId="1" xfId="4" applyFill="1" applyBorder="1" applyAlignment="1">
      <alignment wrapText="1"/>
    </xf>
    <xf numFmtId="0" fontId="22" fillId="12" borderId="1" xfId="4" applyFill="1" applyBorder="1"/>
    <xf numFmtId="177" fontId="22" fillId="0" borderId="1" xfId="4" applyNumberFormat="1" applyBorder="1"/>
    <xf numFmtId="177" fontId="22" fillId="12" borderId="1" xfId="4" applyNumberFormat="1" applyFill="1" applyBorder="1"/>
    <xf numFmtId="177" fontId="22" fillId="0" borderId="1" xfId="4" applyNumberFormat="1" applyFill="1" applyBorder="1"/>
    <xf numFmtId="0" fontId="0" fillId="0" borderId="0" xfId="0" applyBorder="1"/>
    <xf numFmtId="0" fontId="24" fillId="13" borderId="0" xfId="0" applyFont="1" applyFill="1" applyBorder="1" applyAlignment="1">
      <alignment vertical="top"/>
    </xf>
    <xf numFmtId="0" fontId="22" fillId="13" borderId="0" xfId="0" applyFont="1" applyFill="1" applyBorder="1" applyAlignment="1">
      <alignment vertical="top"/>
    </xf>
    <xf numFmtId="0" fontId="22" fillId="13" borderId="0" xfId="0" applyFont="1" applyFill="1" applyBorder="1" applyAlignment="1">
      <alignment vertical="top" wrapText="1"/>
    </xf>
    <xf numFmtId="0" fontId="22" fillId="0" borderId="0" xfId="0" applyFont="1" applyBorder="1"/>
    <xf numFmtId="0" fontId="5" fillId="0" borderId="0" xfId="0" applyFont="1" applyBorder="1"/>
    <xf numFmtId="0" fontId="5" fillId="0" borderId="0" xfId="0" applyFont="1" applyBorder="1" applyAlignment="1">
      <alignment vertical="center"/>
    </xf>
    <xf numFmtId="0" fontId="5" fillId="0" borderId="0" xfId="0" applyFont="1" applyBorder="1" applyAlignment="1">
      <alignment vertical="center" wrapText="1"/>
    </xf>
    <xf numFmtId="0" fontId="26" fillId="13" borderId="0" xfId="0" applyFont="1" applyFill="1" applyBorder="1" applyAlignment="1">
      <alignment vertical="center"/>
    </xf>
    <xf numFmtId="0" fontId="26" fillId="13" borderId="0" xfId="0" applyFont="1" applyFill="1" applyBorder="1" applyAlignment="1">
      <alignment vertical="center" wrapText="1"/>
    </xf>
    <xf numFmtId="0" fontId="26" fillId="0" borderId="0" xfId="0" applyFont="1" applyBorder="1" applyAlignment="1">
      <alignment vertical="center"/>
    </xf>
    <xf numFmtId="0" fontId="26" fillId="0" borderId="0" xfId="0" applyFont="1" applyBorder="1" applyAlignment="1">
      <alignment vertical="center" wrapText="1"/>
    </xf>
    <xf numFmtId="164" fontId="5" fillId="0" borderId="0" xfId="0" applyNumberFormat="1" applyFont="1" applyBorder="1" applyAlignment="1">
      <alignment vertical="center"/>
    </xf>
    <xf numFmtId="1" fontId="5" fillId="0" borderId="0" xfId="0" applyNumberFormat="1" applyFont="1" applyBorder="1" applyAlignment="1">
      <alignment vertical="center"/>
    </xf>
    <xf numFmtId="9" fontId="5" fillId="0" borderId="0" xfId="3" applyFont="1" applyBorder="1" applyAlignment="1">
      <alignment vertical="center"/>
    </xf>
    <xf numFmtId="164" fontId="5" fillId="0" borderId="0" xfId="0" applyNumberFormat="1" applyFont="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vertical="center" wrapText="1"/>
    </xf>
    <xf numFmtId="164" fontId="5" fillId="0" borderId="0" xfId="0" applyNumberFormat="1" applyFont="1" applyFill="1" applyBorder="1" applyAlignment="1">
      <alignment vertical="center"/>
    </xf>
    <xf numFmtId="0" fontId="24" fillId="13" borderId="0" xfId="0" applyFont="1" applyFill="1" applyBorder="1" applyAlignment="1">
      <alignment vertical="center"/>
    </xf>
    <xf numFmtId="0" fontId="22" fillId="13" borderId="0" xfId="0" applyFont="1" applyFill="1" applyBorder="1" applyAlignment="1">
      <alignment vertical="center"/>
    </xf>
    <xf numFmtId="0" fontId="22" fillId="13" borderId="0" xfId="0" applyFont="1" applyFill="1" applyBorder="1" applyAlignment="1">
      <alignment vertical="center" wrapText="1"/>
    </xf>
    <xf numFmtId="0" fontId="5" fillId="0" borderId="0" xfId="0" applyFont="1" applyBorder="1" applyAlignment="1">
      <alignment horizontal="left" vertical="center" wrapText="1"/>
    </xf>
    <xf numFmtId="0" fontId="5" fillId="0" borderId="0" xfId="0" applyFont="1" applyBorder="1" applyAlignment="1">
      <alignment vertical="top"/>
    </xf>
    <xf numFmtId="9" fontId="5" fillId="0" borderId="0" xfId="3" applyFont="1" applyBorder="1" applyAlignment="1">
      <alignment vertical="center" wrapText="1"/>
    </xf>
    <xf numFmtId="9" fontId="5" fillId="0" borderId="0" xfId="0" applyNumberFormat="1" applyFont="1" applyBorder="1" applyAlignment="1">
      <alignment vertical="center" wrapText="1"/>
    </xf>
    <xf numFmtId="0" fontId="0" fillId="0" borderId="0" xfId="0" applyBorder="1" applyAlignment="1">
      <alignment wrapText="1"/>
    </xf>
    <xf numFmtId="0" fontId="26" fillId="13" borderId="0" xfId="0" applyFont="1" applyFill="1" applyBorder="1" applyAlignment="1">
      <alignment vertical="top"/>
    </xf>
    <xf numFmtId="0" fontId="26" fillId="13" borderId="0" xfId="0" applyFont="1" applyFill="1" applyBorder="1" applyAlignment="1">
      <alignment vertical="top" wrapText="1"/>
    </xf>
    <xf numFmtId="0" fontId="26" fillId="0" borderId="0" xfId="0" applyFont="1" applyBorder="1" applyAlignment="1">
      <alignment vertical="top"/>
    </xf>
    <xf numFmtId="178" fontId="5" fillId="0" borderId="0" xfId="0" applyNumberFormat="1" applyFont="1" applyBorder="1" applyAlignment="1">
      <alignment vertical="center"/>
    </xf>
    <xf numFmtId="1" fontId="5" fillId="0" borderId="0" xfId="0" applyNumberFormat="1" applyFont="1" applyBorder="1" applyAlignment="1">
      <alignment horizontal="center" vertical="center"/>
    </xf>
    <xf numFmtId="9" fontId="5" fillId="0" borderId="0" xfId="3" applyFont="1" applyBorder="1" applyAlignment="1">
      <alignment vertical="top"/>
    </xf>
    <xf numFmtId="178" fontId="5" fillId="0" borderId="0" xfId="0" applyNumberFormat="1" applyFont="1" applyBorder="1" applyAlignment="1">
      <alignment vertical="top"/>
    </xf>
    <xf numFmtId="1" fontId="5" fillId="0" borderId="0" xfId="0" applyNumberFormat="1" applyFont="1" applyBorder="1" applyAlignment="1">
      <alignment horizontal="center" vertical="top"/>
    </xf>
    <xf numFmtId="0" fontId="5" fillId="0" borderId="0" xfId="0" applyFont="1" applyFill="1" applyBorder="1" applyAlignment="1">
      <alignment vertical="top" wrapText="1"/>
    </xf>
    <xf numFmtId="0" fontId="5" fillId="0" borderId="0" xfId="0" applyFont="1" applyBorder="1" applyAlignment="1">
      <alignment vertical="top" wrapText="1"/>
    </xf>
    <xf numFmtId="1" fontId="5" fillId="0" borderId="0" xfId="0" applyNumberFormat="1" applyFont="1" applyBorder="1" applyAlignment="1">
      <alignment vertical="top"/>
    </xf>
    <xf numFmtId="164" fontId="5" fillId="0" borderId="0" xfId="0" applyNumberFormat="1" applyFont="1" applyBorder="1" applyAlignment="1">
      <alignment vertical="top"/>
    </xf>
    <xf numFmtId="164" fontId="5" fillId="0" borderId="0" xfId="0" applyNumberFormat="1" applyFont="1" applyBorder="1" applyAlignment="1">
      <alignment vertical="top" wrapText="1"/>
    </xf>
    <xf numFmtId="0" fontId="5" fillId="0" borderId="0" xfId="0" applyFont="1" applyBorder="1" applyAlignment="1">
      <alignment wrapText="1"/>
    </xf>
    <xf numFmtId="9" fontId="5" fillId="0" borderId="0" xfId="0" applyNumberFormat="1" applyFont="1" applyBorder="1" applyAlignment="1">
      <alignment vertical="top"/>
    </xf>
    <xf numFmtId="0" fontId="24" fillId="13" borderId="0" xfId="0" applyFont="1" applyFill="1" applyBorder="1" applyAlignment="1">
      <alignment horizontal="left" vertical="top"/>
    </xf>
    <xf numFmtId="0" fontId="22" fillId="13" borderId="0" xfId="0" applyFont="1" applyFill="1" applyBorder="1" applyAlignment="1">
      <alignment horizontal="left" vertical="top"/>
    </xf>
    <xf numFmtId="0" fontId="22"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28" fillId="0" borderId="0" xfId="0" applyFont="1" applyBorder="1"/>
    <xf numFmtId="0" fontId="28" fillId="0" borderId="0" xfId="0" applyFont="1" applyBorder="1" applyAlignment="1">
      <alignment vertical="top"/>
    </xf>
    <xf numFmtId="0" fontId="29" fillId="13" borderId="0" xfId="0" applyFont="1" applyFill="1" applyBorder="1" applyAlignment="1">
      <alignment vertical="top"/>
    </xf>
    <xf numFmtId="0" fontId="29" fillId="13" borderId="0" xfId="0" applyFont="1" applyFill="1" applyBorder="1" applyAlignment="1">
      <alignment vertical="top" wrapText="1"/>
    </xf>
    <xf numFmtId="0" fontId="29" fillId="0" borderId="0" xfId="0" applyFont="1" applyBorder="1" applyAlignment="1">
      <alignment vertical="top"/>
    </xf>
    <xf numFmtId="164" fontId="28" fillId="0" borderId="0" xfId="0" applyNumberFormat="1" applyFont="1" applyBorder="1" applyAlignment="1">
      <alignment vertical="top"/>
    </xf>
    <xf numFmtId="1" fontId="28" fillId="0" borderId="0" xfId="0" applyNumberFormat="1" applyFont="1" applyBorder="1" applyAlignment="1">
      <alignment vertical="top"/>
    </xf>
    <xf numFmtId="9" fontId="28" fillId="0" borderId="0" xfId="3" applyFont="1" applyBorder="1" applyAlignment="1">
      <alignment vertical="top"/>
    </xf>
    <xf numFmtId="0" fontId="28" fillId="0" borderId="0" xfId="0" applyFont="1" applyFill="1" applyBorder="1" applyAlignment="1">
      <alignment vertical="top" wrapText="1"/>
    </xf>
    <xf numFmtId="0" fontId="28" fillId="0" borderId="0" xfId="0" applyFont="1" applyBorder="1" applyAlignment="1">
      <alignment vertical="top" wrapText="1"/>
    </xf>
    <xf numFmtId="0" fontId="5" fillId="0" borderId="0" xfId="0" applyFont="1" applyFill="1" applyBorder="1" applyAlignment="1">
      <alignment vertical="top"/>
    </xf>
    <xf numFmtId="0" fontId="5" fillId="0" borderId="0" xfId="0" applyFont="1" applyFill="1" applyBorder="1" applyAlignment="1">
      <alignment horizontal="left" vertical="top" wrapText="1"/>
    </xf>
    <xf numFmtId="0" fontId="24" fillId="13" borderId="0" xfId="0" applyFont="1" applyFill="1" applyBorder="1"/>
    <xf numFmtId="0" fontId="22" fillId="13" borderId="0" xfId="0" applyFont="1" applyFill="1" applyBorder="1"/>
    <xf numFmtId="0" fontId="32" fillId="0" borderId="0" xfId="0" applyFont="1" applyBorder="1"/>
    <xf numFmtId="0" fontId="34" fillId="0" borderId="0" xfId="0" applyFont="1" applyBorder="1"/>
    <xf numFmtId="0" fontId="35" fillId="0" borderId="0" xfId="0" applyFont="1" applyBorder="1"/>
    <xf numFmtId="0" fontId="34" fillId="0" borderId="0" xfId="0" applyFont="1" applyBorder="1" applyAlignment="1">
      <alignment vertical="top"/>
    </xf>
    <xf numFmtId="0" fontId="35" fillId="14" borderId="0" xfId="0" applyFont="1" applyFill="1" applyBorder="1" applyAlignment="1">
      <alignment vertical="top"/>
    </xf>
    <xf numFmtId="0" fontId="35" fillId="14" borderId="0" xfId="0" applyFont="1" applyFill="1" applyBorder="1" applyAlignment="1">
      <alignment vertical="top" wrapText="1"/>
    </xf>
    <xf numFmtId="0" fontId="35" fillId="0" borderId="0" xfId="0" applyFont="1" applyBorder="1" applyAlignment="1">
      <alignment vertical="top"/>
    </xf>
    <xf numFmtId="179" fontId="0" fillId="0" borderId="0" xfId="0" applyNumberFormat="1"/>
    <xf numFmtId="1" fontId="34" fillId="0" borderId="0" xfId="0" applyNumberFormat="1" applyFont="1" applyBorder="1" applyAlignment="1">
      <alignment vertical="top"/>
    </xf>
    <xf numFmtId="9" fontId="34" fillId="0" borderId="0" xfId="5" applyFont="1" applyBorder="1" applyAlignment="1">
      <alignment vertical="top"/>
    </xf>
    <xf numFmtId="0" fontId="34" fillId="0" borderId="0" xfId="0" applyFont="1" applyFill="1" applyBorder="1" applyAlignment="1">
      <alignment vertical="top" wrapText="1"/>
    </xf>
    <xf numFmtId="164" fontId="34" fillId="0" borderId="0" xfId="0" applyNumberFormat="1" applyFont="1" applyBorder="1" applyAlignment="1">
      <alignment vertical="top"/>
    </xf>
    <xf numFmtId="179" fontId="36" fillId="0" borderId="0" xfId="0" applyNumberFormat="1" applyFont="1" applyFill="1" applyBorder="1"/>
    <xf numFmtId="0" fontId="34" fillId="0" borderId="0" xfId="0" applyFont="1" applyBorder="1" applyAlignment="1">
      <alignment vertical="top" wrapText="1"/>
    </xf>
    <xf numFmtId="0" fontId="31" fillId="14" borderId="0" xfId="0" applyFont="1" applyFill="1" applyBorder="1" applyAlignment="1">
      <alignment vertical="top"/>
    </xf>
    <xf numFmtId="0" fontId="32" fillId="14" borderId="0" xfId="0" applyFont="1" applyFill="1" applyBorder="1" applyAlignment="1">
      <alignment vertical="top"/>
    </xf>
    <xf numFmtId="0" fontId="34" fillId="0" borderId="0" xfId="0" applyFont="1" applyFill="1" applyBorder="1" applyAlignment="1">
      <alignment vertical="top"/>
    </xf>
    <xf numFmtId="0" fontId="34" fillId="0" borderId="0" xfId="0" applyFont="1" applyFill="1" applyBorder="1" applyAlignment="1">
      <alignment horizontal="left" vertical="top" wrapText="1"/>
    </xf>
    <xf numFmtId="0" fontId="34" fillId="0" borderId="0" xfId="0" applyFont="1" applyBorder="1" applyAlignment="1">
      <alignment horizontal="left" vertical="top" wrapText="1"/>
    </xf>
    <xf numFmtId="0" fontId="34" fillId="0" borderId="0" xfId="0" applyFont="1" applyBorder="1" applyAlignment="1">
      <alignment vertical="justify"/>
    </xf>
    <xf numFmtId="9" fontId="34" fillId="0" borderId="0" xfId="0" applyNumberFormat="1" applyFont="1" applyBorder="1" applyAlignment="1">
      <alignment vertical="top"/>
    </xf>
    <xf numFmtId="0" fontId="31" fillId="14" borderId="0" xfId="0" applyFont="1" applyFill="1" applyBorder="1"/>
    <xf numFmtId="0" fontId="32" fillId="14" borderId="0" xfId="0" applyFont="1" applyFill="1" applyBorder="1"/>
    <xf numFmtId="0" fontId="26" fillId="0" borderId="0" xfId="0" applyFont="1" applyBorder="1"/>
    <xf numFmtId="164" fontId="5" fillId="0" borderId="0" xfId="0" applyNumberFormat="1" applyFont="1" applyBorder="1" applyAlignment="1">
      <alignment horizontal="right" vertical="center"/>
    </xf>
    <xf numFmtId="164" fontId="5" fillId="0" borderId="0" xfId="0" applyNumberFormat="1" applyFont="1" applyBorder="1" applyAlignment="1">
      <alignment horizontal="center" vertical="top"/>
    </xf>
    <xf numFmtId="0" fontId="37" fillId="0" borderId="0" xfId="0" applyFont="1" applyBorder="1" applyAlignment="1">
      <alignment vertical="top"/>
    </xf>
    <xf numFmtId="0" fontId="37" fillId="0" borderId="0" xfId="0" applyFont="1" applyBorder="1" applyAlignment="1">
      <alignment horizontal="center" vertical="center"/>
    </xf>
    <xf numFmtId="0" fontId="8" fillId="0" borderId="0" xfId="6"/>
    <xf numFmtId="0" fontId="9" fillId="5" borderId="1" xfId="6" applyFont="1" applyFill="1" applyBorder="1" applyAlignment="1">
      <alignment horizontal="center"/>
    </xf>
    <xf numFmtId="3" fontId="10" fillId="0" borderId="1" xfId="6" applyNumberFormat="1" applyFont="1" applyBorder="1" applyAlignment="1">
      <alignment horizontal="center"/>
    </xf>
    <xf numFmtId="166" fontId="8" fillId="0" borderId="1" xfId="6" applyNumberFormat="1" applyBorder="1" applyAlignment="1">
      <alignment horizontal="center"/>
    </xf>
    <xf numFmtId="164" fontId="8" fillId="0" borderId="1" xfId="6" applyNumberFormat="1" applyBorder="1" applyAlignment="1">
      <alignment horizontal="center"/>
    </xf>
    <xf numFmtId="0" fontId="10" fillId="6" borderId="1" xfId="6" applyFont="1" applyFill="1" applyBorder="1" applyAlignment="1">
      <alignment horizontal="center"/>
    </xf>
    <xf numFmtId="180" fontId="8" fillId="6" borderId="1" xfId="7" applyNumberFormat="1" applyFont="1" applyFill="1" applyBorder="1" applyAlignment="1">
      <alignment horizontal="center"/>
    </xf>
    <xf numFmtId="180" fontId="0" fillId="6" borderId="1" xfId="7" applyNumberFormat="1" applyFont="1" applyFill="1" applyBorder="1" applyAlignment="1">
      <alignment horizontal="center"/>
    </xf>
    <xf numFmtId="181" fontId="0" fillId="6" borderId="1" xfId="7" applyNumberFormat="1" applyFont="1" applyFill="1" applyBorder="1" applyAlignment="1">
      <alignment horizontal="center"/>
    </xf>
    <xf numFmtId="0" fontId="10" fillId="0" borderId="1" xfId="6" applyFont="1" applyBorder="1" applyAlignment="1">
      <alignment horizontal="center"/>
    </xf>
    <xf numFmtId="8" fontId="10" fillId="6" borderId="1" xfId="6" applyNumberFormat="1" applyFont="1" applyFill="1" applyBorder="1" applyAlignment="1">
      <alignment horizontal="center"/>
    </xf>
    <xf numFmtId="0" fontId="8" fillId="15" borderId="1" xfId="6" applyFill="1" applyBorder="1" applyAlignment="1">
      <alignment horizontal="center"/>
    </xf>
    <xf numFmtId="164" fontId="8" fillId="15" borderId="1" xfId="6" applyNumberFormat="1" applyFill="1" applyBorder="1" applyAlignment="1">
      <alignment horizontal="center"/>
    </xf>
    <xf numFmtId="0" fontId="8" fillId="0" borderId="35" xfId="6" applyBorder="1" applyAlignment="1">
      <alignment horizontal="center"/>
    </xf>
    <xf numFmtId="181" fontId="8" fillId="6" borderId="1" xfId="7" applyNumberFormat="1" applyFont="1" applyFill="1" applyBorder="1" applyAlignment="1">
      <alignment horizontal="center"/>
    </xf>
    <xf numFmtId="182" fontId="8" fillId="0" borderId="0" xfId="6" applyNumberFormat="1"/>
    <xf numFmtId="164" fontId="8" fillId="0" borderId="0" xfId="6" applyNumberFormat="1"/>
    <xf numFmtId="10" fontId="0" fillId="0" borderId="0" xfId="8" applyNumberFormat="1" applyFont="1"/>
    <xf numFmtId="0" fontId="8" fillId="0" borderId="1" xfId="6" applyBorder="1"/>
    <xf numFmtId="164" fontId="8" fillId="0" borderId="1" xfId="6" applyNumberFormat="1" applyBorder="1"/>
    <xf numFmtId="0" fontId="8" fillId="0" borderId="0" xfId="6" applyAlignment="1">
      <alignment horizontal="center"/>
    </xf>
    <xf numFmtId="10" fontId="8" fillId="0" borderId="0" xfId="6" applyNumberFormat="1"/>
    <xf numFmtId="0" fontId="0" fillId="0" borderId="1" xfId="0" applyBorder="1"/>
    <xf numFmtId="0" fontId="0" fillId="6" borderId="1" xfId="0" applyFill="1" applyBorder="1"/>
    <xf numFmtId="164" fontId="0" fillId="6" borderId="1" xfId="0" applyNumberFormat="1" applyFill="1" applyBorder="1"/>
    <xf numFmtId="8" fontId="0" fillId="6" borderId="1" xfId="0" applyNumberFormat="1" applyFill="1" applyBorder="1"/>
    <xf numFmtId="0" fontId="8" fillId="6" borderId="1" xfId="0" applyFont="1" applyFill="1" applyBorder="1"/>
    <xf numFmtId="0" fontId="0" fillId="0" borderId="1" xfId="0" applyFill="1" applyBorder="1"/>
    <xf numFmtId="164" fontId="0" fillId="0" borderId="1" xfId="0" applyNumberFormat="1" applyFill="1" applyBorder="1"/>
    <xf numFmtId="0" fontId="8" fillId="0" borderId="1" xfId="0" applyFont="1" applyFill="1" applyBorder="1"/>
    <xf numFmtId="164" fontId="8" fillId="0" borderId="1" xfId="0" applyNumberFormat="1" applyFont="1" applyFill="1" applyBorder="1"/>
    <xf numFmtId="0" fontId="10" fillId="0" borderId="1" xfId="0" applyFont="1" applyFill="1" applyBorder="1"/>
    <xf numFmtId="164" fontId="10" fillId="0" borderId="1" xfId="0" applyNumberFormat="1" applyFont="1" applyFill="1" applyBorder="1"/>
    <xf numFmtId="43" fontId="0" fillId="0" borderId="1" xfId="0" applyNumberFormat="1" applyFill="1" applyBorder="1"/>
    <xf numFmtId="164" fontId="0" fillId="0" borderId="1" xfId="0" applyNumberFormat="1" applyBorder="1" applyAlignment="1">
      <alignment horizontal="center"/>
    </xf>
    <xf numFmtId="184" fontId="0" fillId="6" borderId="1" xfId="7" applyNumberFormat="1" applyFont="1" applyFill="1" applyBorder="1" applyAlignment="1">
      <alignment horizontal="center"/>
    </xf>
    <xf numFmtId="0" fontId="0" fillId="0" borderId="0" xfId="0" applyFill="1"/>
    <xf numFmtId="0" fontId="4" fillId="0" borderId="0" xfId="0" applyFont="1"/>
    <xf numFmtId="0" fontId="9" fillId="5" borderId="1" xfId="0" applyFont="1" applyFill="1" applyBorder="1" applyAlignment="1">
      <alignment horizontal="center"/>
    </xf>
    <xf numFmtId="0" fontId="9" fillId="5" borderId="1" xfId="6" applyFont="1" applyFill="1" applyBorder="1" applyAlignment="1">
      <alignment horizontal="center"/>
    </xf>
    <xf numFmtId="8" fontId="8" fillId="0" borderId="0" xfId="6" applyNumberFormat="1"/>
    <xf numFmtId="8" fontId="8" fillId="0" borderId="1" xfId="6" applyNumberFormat="1" applyBorder="1"/>
    <xf numFmtId="164" fontId="0" fillId="6" borderId="7" xfId="0" applyNumberFormat="1" applyFill="1" applyBorder="1" applyAlignment="1">
      <alignment horizontal="center"/>
    </xf>
    <xf numFmtId="164" fontId="0" fillId="6" borderId="36" xfId="0" applyNumberFormat="1" applyFill="1" applyBorder="1" applyAlignment="1">
      <alignment horizontal="center"/>
    </xf>
    <xf numFmtId="0" fontId="9" fillId="5" borderId="7" xfId="0" applyFont="1" applyFill="1" applyBorder="1" applyAlignment="1">
      <alignment horizontal="center"/>
    </xf>
    <xf numFmtId="0" fontId="9" fillId="5" borderId="35" xfId="0" applyFont="1" applyFill="1" applyBorder="1" applyAlignment="1">
      <alignment horizontal="center"/>
    </xf>
    <xf numFmtId="0" fontId="9" fillId="5" borderId="36" xfId="0" applyFont="1" applyFill="1" applyBorder="1" applyAlignment="1">
      <alignment horizontal="center"/>
    </xf>
    <xf numFmtId="183" fontId="0" fillId="6" borderId="7" xfId="0" applyNumberFormat="1" applyFill="1" applyBorder="1" applyAlignment="1">
      <alignment horizontal="center"/>
    </xf>
    <xf numFmtId="183" fontId="0" fillId="6" borderId="36" xfId="0" applyNumberFormat="1" applyFill="1" applyBorder="1" applyAlignment="1">
      <alignment horizontal="center"/>
    </xf>
    <xf numFmtId="10" fontId="0" fillId="6" borderId="7" xfId="0" applyNumberFormat="1" applyFill="1" applyBorder="1" applyAlignment="1">
      <alignment horizontal="center"/>
    </xf>
    <xf numFmtId="10" fontId="0" fillId="6" borderId="36" xfId="0" applyNumberFormat="1" applyFill="1" applyBorder="1" applyAlignment="1">
      <alignment horizontal="center"/>
    </xf>
    <xf numFmtId="164" fontId="10" fillId="0" borderId="7" xfId="0" applyNumberFormat="1" applyFont="1" applyFill="1" applyBorder="1" applyAlignment="1">
      <alignment horizontal="center"/>
    </xf>
    <xf numFmtId="164" fontId="10" fillId="0" borderId="36" xfId="0" applyNumberFormat="1" applyFont="1" applyFill="1" applyBorder="1" applyAlignment="1">
      <alignment horizont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9" fillId="5" borderId="1" xfId="0" applyFont="1" applyFill="1" applyBorder="1" applyAlignment="1">
      <alignment horizont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33" xfId="0" applyFont="1" applyFill="1" applyBorder="1" applyAlignment="1">
      <alignment horizontal="center" vertical="center"/>
    </xf>
    <xf numFmtId="0" fontId="13" fillId="5" borderId="32" xfId="0" applyFont="1" applyFill="1" applyBorder="1" applyAlignment="1">
      <alignment horizontal="center" vertical="center"/>
    </xf>
    <xf numFmtId="0" fontId="14" fillId="5" borderId="21" xfId="0" applyFont="1" applyFill="1" applyBorder="1" applyAlignment="1">
      <alignment horizontal="center" vertical="top" wrapText="1"/>
    </xf>
    <xf numFmtId="0" fontId="14" fillId="5" borderId="22" xfId="0" applyFont="1" applyFill="1" applyBorder="1" applyAlignment="1">
      <alignment horizontal="center" vertical="top" wrapText="1"/>
    </xf>
    <xf numFmtId="0" fontId="14" fillId="5" borderId="8" xfId="0" applyFont="1" applyFill="1" applyBorder="1" applyAlignment="1">
      <alignment horizontal="center" vertical="top" wrapText="1"/>
    </xf>
    <xf numFmtId="0" fontId="14" fillId="5" borderId="10" xfId="0" applyFont="1" applyFill="1" applyBorder="1" applyAlignment="1">
      <alignment horizontal="center" vertical="top" wrapText="1"/>
    </xf>
    <xf numFmtId="164" fontId="0" fillId="0" borderId="37" xfId="0" applyNumberFormat="1" applyFill="1" applyBorder="1" applyAlignment="1">
      <alignment horizontal="center"/>
    </xf>
    <xf numFmtId="0" fontId="0" fillId="0" borderId="37" xfId="0" applyBorder="1" applyAlignment="1">
      <alignment horizontal="center"/>
    </xf>
    <xf numFmtId="0" fontId="14" fillId="5" borderId="19"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7" fillId="4" borderId="5" xfId="0" applyFont="1" applyFill="1" applyBorder="1" applyAlignment="1">
      <alignment horizontal="right" vertical="center" wrapText="1" readingOrder="1"/>
    </xf>
    <xf numFmtId="0" fontId="7" fillId="4" borderId="6" xfId="0" applyFont="1" applyFill="1" applyBorder="1" applyAlignment="1">
      <alignment horizontal="right" vertical="center" wrapText="1" readingOrder="1"/>
    </xf>
    <xf numFmtId="0" fontId="6" fillId="2" borderId="29" xfId="0" applyFont="1" applyFill="1" applyBorder="1" applyAlignment="1">
      <alignment horizontal="center" vertical="center" wrapText="1" readingOrder="1"/>
    </xf>
    <xf numFmtId="0" fontId="6" fillId="2" borderId="0" xfId="0" applyFont="1" applyFill="1" applyBorder="1" applyAlignment="1">
      <alignment horizontal="center" vertical="center" wrapText="1" readingOrder="1"/>
    </xf>
    <xf numFmtId="0" fontId="7" fillId="3" borderId="0" xfId="0" applyFont="1" applyFill="1" applyBorder="1" applyAlignment="1">
      <alignment horizontal="center" vertical="center" wrapText="1" readingOrder="1"/>
    </xf>
    <xf numFmtId="0" fontId="7" fillId="3" borderId="30" xfId="0" applyFont="1" applyFill="1" applyBorder="1" applyAlignment="1">
      <alignment horizontal="center" vertical="center" wrapText="1" readingOrder="1"/>
    </xf>
    <xf numFmtId="0" fontId="9" fillId="5" borderId="17" xfId="6" applyFont="1" applyFill="1" applyBorder="1" applyAlignment="1">
      <alignment horizontal="center" vertical="center" wrapText="1"/>
    </xf>
    <xf numFmtId="0" fontId="9" fillId="5" borderId="38" xfId="6" applyFont="1" applyFill="1" applyBorder="1" applyAlignment="1">
      <alignment horizontal="center" vertical="center" wrapText="1"/>
    </xf>
    <xf numFmtId="0" fontId="9" fillId="5" borderId="18" xfId="6" applyFont="1" applyFill="1" applyBorder="1" applyAlignment="1">
      <alignment horizontal="center" vertical="center" wrapText="1"/>
    </xf>
    <xf numFmtId="0" fontId="8" fillId="0" borderId="1" xfId="6" applyBorder="1" applyAlignment="1">
      <alignment horizontal="center" vertical="center" wrapText="1"/>
    </xf>
    <xf numFmtId="0" fontId="9" fillId="5" borderId="1" xfId="6" applyFont="1" applyFill="1" applyBorder="1" applyAlignment="1">
      <alignment horizontal="center"/>
    </xf>
    <xf numFmtId="0" fontId="8" fillId="0" borderId="1" xfId="6" applyFont="1" applyBorder="1" applyAlignment="1">
      <alignment horizontal="center" vertical="center" wrapText="1"/>
    </xf>
    <xf numFmtId="0" fontId="8" fillId="0" borderId="7" xfId="6" applyFont="1" applyBorder="1" applyAlignment="1">
      <alignment horizontal="right"/>
    </xf>
    <xf numFmtId="0" fontId="8" fillId="0" borderId="35" xfId="6" applyFont="1" applyBorder="1" applyAlignment="1">
      <alignment horizontal="right"/>
    </xf>
    <xf numFmtId="0" fontId="8" fillId="0" borderId="36" xfId="6" applyFont="1" applyBorder="1" applyAlignment="1">
      <alignment horizontal="right"/>
    </xf>
    <xf numFmtId="2" fontId="0" fillId="0" borderId="7" xfId="7" applyNumberFormat="1" applyFont="1" applyBorder="1" applyAlignment="1">
      <alignment horizontal="center"/>
    </xf>
    <xf numFmtId="2" fontId="0" fillId="0" borderId="36" xfId="7" applyNumberFormat="1" applyFont="1" applyBorder="1" applyAlignment="1">
      <alignment horizontal="center"/>
    </xf>
    <xf numFmtId="0" fontId="9" fillId="5" borderId="39" xfId="6" applyFont="1" applyFill="1" applyBorder="1" applyAlignment="1">
      <alignment horizontal="center"/>
    </xf>
    <xf numFmtId="10" fontId="8" fillId="0" borderId="7" xfId="6" applyNumberFormat="1" applyBorder="1" applyAlignment="1">
      <alignment horizontal="center"/>
    </xf>
    <xf numFmtId="10" fontId="8" fillId="0" borderId="36" xfId="6" applyNumberFormat="1" applyBorder="1" applyAlignment="1">
      <alignment horizontal="center"/>
    </xf>
    <xf numFmtId="0" fontId="5" fillId="0" borderId="0" xfId="0" applyFont="1" applyBorder="1"/>
    <xf numFmtId="0" fontId="23" fillId="13" borderId="0" xfId="0" applyFont="1" applyFill="1" applyBorder="1" applyAlignment="1">
      <alignment horizontal="center"/>
    </xf>
    <xf numFmtId="0" fontId="25" fillId="0" borderId="0" xfId="0" applyFont="1" applyFill="1" applyBorder="1" applyAlignment="1">
      <alignment vertical="center"/>
    </xf>
    <xf numFmtId="0" fontId="26" fillId="13" borderId="0" xfId="0" applyFont="1" applyFill="1" applyBorder="1" applyAlignment="1">
      <alignment horizontal="center" vertical="center"/>
    </xf>
    <xf numFmtId="0" fontId="5" fillId="0" borderId="0" xfId="0" applyFont="1" applyBorder="1" applyAlignment="1">
      <alignment horizontal="center" vertical="center" wrapText="1"/>
    </xf>
    <xf numFmtId="0" fontId="26" fillId="13" borderId="0" xfId="0" applyFont="1" applyFill="1" applyBorder="1" applyAlignment="1">
      <alignment horizontal="center"/>
    </xf>
    <xf numFmtId="0" fontId="24" fillId="13" borderId="0" xfId="0" applyFont="1" applyFill="1" applyBorder="1"/>
    <xf numFmtId="0" fontId="25" fillId="0" borderId="0" xfId="0" applyFont="1" applyFill="1" applyBorder="1"/>
    <xf numFmtId="0" fontId="5" fillId="0" borderId="0" xfId="0" applyFont="1" applyBorder="1" applyAlignment="1">
      <alignment horizontal="left" vertical="top"/>
    </xf>
    <xf numFmtId="0" fontId="25" fillId="0" borderId="0" xfId="0" applyFont="1" applyFill="1" applyBorder="1" applyAlignment="1">
      <alignment vertical="top"/>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27" fillId="0" borderId="0" xfId="0" applyFont="1" applyFill="1" applyBorder="1"/>
    <xf numFmtId="0" fontId="29" fillId="13" borderId="0" xfId="0" applyFont="1" applyFill="1" applyBorder="1" applyAlignment="1">
      <alignment horizontal="center"/>
    </xf>
    <xf numFmtId="0" fontId="26" fillId="13" borderId="0" xfId="0" applyFont="1" applyFill="1" applyBorder="1" applyAlignment="1">
      <alignment horizontal="center" vertical="top"/>
    </xf>
    <xf numFmtId="0" fontId="33" fillId="0" borderId="0" xfId="0" applyFont="1" applyFill="1" applyBorder="1" applyAlignment="1">
      <alignment vertical="top"/>
    </xf>
    <xf numFmtId="0" fontId="30" fillId="14" borderId="0" xfId="0" applyFont="1" applyFill="1" applyBorder="1" applyAlignment="1">
      <alignment horizontal="center"/>
    </xf>
    <xf numFmtId="0" fontId="31" fillId="14" borderId="0" xfId="0" applyFont="1" applyFill="1" applyBorder="1"/>
    <xf numFmtId="0" fontId="33" fillId="0" borderId="0" xfId="0" applyFont="1" applyFill="1" applyBorder="1"/>
    <xf numFmtId="0" fontId="35" fillId="14" borderId="0" xfId="0" applyFont="1" applyFill="1" applyBorder="1" applyAlignment="1">
      <alignment horizontal="center"/>
    </xf>
    <xf numFmtId="0" fontId="35" fillId="14" borderId="0" xfId="0" applyFont="1" applyFill="1" applyBorder="1" applyAlignment="1">
      <alignment horizontal="center" vertical="top"/>
    </xf>
    <xf numFmtId="0" fontId="34" fillId="0" borderId="0" xfId="0" applyFont="1" applyBorder="1"/>
  </cellXfs>
  <cellStyles count="9">
    <cellStyle name="Comma" xfId="1" builtinId="3"/>
    <cellStyle name="Comma 2" xfId="7"/>
    <cellStyle name="Currency 2" xfId="2"/>
    <cellStyle name="Normal" xfId="0" builtinId="0"/>
    <cellStyle name="Normal 2" xfId="4"/>
    <cellStyle name="Normal 3" xfId="6"/>
    <cellStyle name="Percent" xfId="3" builtinId="5"/>
    <cellStyle name="Percent 2" xfId="5"/>
    <cellStyle name="Percent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323850</xdr:colOff>
      <xdr:row>0</xdr:row>
      <xdr:rowOff>140084</xdr:rowOff>
    </xdr:from>
    <xdr:to>
      <xdr:col>1</xdr:col>
      <xdr:colOff>685800</xdr:colOff>
      <xdr:row>2</xdr:row>
      <xdr:rowOff>114300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40084"/>
          <a:ext cx="1209675" cy="450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0</xdr:row>
      <xdr:rowOff>140084</xdr:rowOff>
    </xdr:from>
    <xdr:to>
      <xdr:col>1</xdr:col>
      <xdr:colOff>685800</xdr:colOff>
      <xdr:row>2</xdr:row>
      <xdr:rowOff>114300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40084"/>
          <a:ext cx="1209675" cy="450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140084</xdr:rowOff>
    </xdr:from>
    <xdr:to>
      <xdr:col>1</xdr:col>
      <xdr:colOff>685800</xdr:colOff>
      <xdr:row>2</xdr:row>
      <xdr:rowOff>114300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40084"/>
          <a:ext cx="1209675" cy="450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323850</xdr:colOff>
      <xdr:row>0</xdr:row>
      <xdr:rowOff>140084</xdr:rowOff>
    </xdr:from>
    <xdr:to>
      <xdr:col>1</xdr:col>
      <xdr:colOff>685800</xdr:colOff>
      <xdr:row>2</xdr:row>
      <xdr:rowOff>114300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40084"/>
          <a:ext cx="1209675" cy="450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0</xdr:row>
      <xdr:rowOff>142875</xdr:rowOff>
    </xdr:from>
    <xdr:to>
      <xdr:col>1</xdr:col>
      <xdr:colOff>685800</xdr:colOff>
      <xdr:row>2</xdr:row>
      <xdr:rowOff>114300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23850" y="142875"/>
          <a:ext cx="1209675" cy="4476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140084</xdr:rowOff>
    </xdr:from>
    <xdr:to>
      <xdr:col>1</xdr:col>
      <xdr:colOff>685800</xdr:colOff>
      <xdr:row>2</xdr:row>
      <xdr:rowOff>114300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40084"/>
          <a:ext cx="1209675" cy="450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0</xdr:row>
      <xdr:rowOff>140084</xdr:rowOff>
    </xdr:from>
    <xdr:to>
      <xdr:col>1</xdr:col>
      <xdr:colOff>685800</xdr:colOff>
      <xdr:row>2</xdr:row>
      <xdr:rowOff>114300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40084"/>
          <a:ext cx="1209675" cy="450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4124325</xdr:colOff>
      <xdr:row>0</xdr:row>
      <xdr:rowOff>171450</xdr:rowOff>
    </xdr:from>
    <xdr:to>
      <xdr:col>6</xdr:col>
      <xdr:colOff>6057900</xdr:colOff>
      <xdr:row>2</xdr:row>
      <xdr:rowOff>47625</xdr:rowOff>
    </xdr:to>
    <xdr:pic>
      <xdr:nvPicPr>
        <xdr:cNvPr id="3" name="Picture 2" descr="Thomas&amp;Betts_logo_RGB"/>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10925" y="171450"/>
          <a:ext cx="1933575" cy="3524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323850</xdr:colOff>
      <xdr:row>0</xdr:row>
      <xdr:rowOff>140084</xdr:rowOff>
    </xdr:from>
    <xdr:to>
      <xdr:col>1</xdr:col>
      <xdr:colOff>685800</xdr:colOff>
      <xdr:row>2</xdr:row>
      <xdr:rowOff>114300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40084"/>
          <a:ext cx="1209675" cy="450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YMONDE\My%20Documents\Meters%20Docs\Cost-Price%20Workbook%20-Dong%20v1.0%2009052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ept\Metering%20Systems\A_AMR_Proposals\A_Aquila%20-%20Colorado%20Electric\Pricing\FCM%20Aquila%20Feb08%20v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kedif01psge\dosdata\Documents%20and%20Settings\105001249\Local%20Settings\Temporary%20Internet%20Files\OLKD\User_Interface_Analysis%20-%20cost%20breakdow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nts%20and%20Settings\symonde\Local%20Settings\Temporary%20Internet%20Files\OLK11\R1%20Scottish%20and%20Southern%20Energ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FILES\HYDROQ\PM\Pricing\Lab_System\HQ_LAB_2d_v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FILES\CP&amp;L\Pricing\FCM\CP&amp;L_FCM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ept\Marketing\Pricing\Pricing%20Files%20Feb%202008%20CS\Miscellaneous%20Pricing\test%20vb%20excel(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USERS\AHERN_C\FIRS\HW03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20Documents\FY2K%20Plan\Final\SGA\340655H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mkovacs\AppData\Local\Microsoft\Windows\Temporary%20Internet%20Files\Content.Outlook\IU4GZ7CW\Trilliant%20SecureMesh%20Project%20Model%20MASTER%20GE%20Updates%205-13-2010%20(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E194203\Local%20Settings\Temporary%20Internet%20Files\OLK34\RR%20Docs\RR%20-%20Portland%20Water%20-%20Estimate%20and%20Cash%20Flo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mkovacs\AppData\Local\Microsoft\Windows\Temporary%20Internet%20Files\Content.Outlook\IU4GZ7CW\4Review%20Fountain%20Estimation%202010-07-20%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s%20and%20Settings\jdouglas1\Local%20Settings\Temporary%20Internet%20Files\OLK49\Group%20-%20061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dows\TEMP\DETAIL_F.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DOS\TEL04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Triggers"/>
      <sheetName val="Financial Summary"/>
      <sheetName val="Overview (2)"/>
      <sheetName val="WBS Costings"/>
      <sheetName val="T&amp;L"/>
      <sheetName val="Daily Rates"/>
      <sheetName val="Cash Flow"/>
      <sheetName val="T&amp;L Option D"/>
      <sheetName val="Dev Est - 22th May"/>
      <sheetName val="GE Licence Summary"/>
      <sheetName val="BOM - 3rd Party SW"/>
      <sheetName val="Mobile"/>
      <sheetName val="Payment Options"/>
      <sheetName val="BOM - GE Licenses"/>
      <sheetName val="BOM Hardware"/>
      <sheetName val="PriceCat"/>
      <sheetName val="Rates"/>
      <sheetName val="Lookups"/>
      <sheetName val="UK Resources"/>
      <sheetName val="Overview"/>
    </sheetNames>
    <sheetDataSet>
      <sheetData sheetId="0"/>
      <sheetData sheetId="1"/>
      <sheetData sheetId="2"/>
      <sheetData sheetId="3"/>
      <sheetData sheetId="4" refreshError="1">
        <row r="26">
          <cell r="L26">
            <v>41300</v>
          </cell>
        </row>
      </sheetData>
      <sheetData sheetId="5"/>
      <sheetData sheetId="6"/>
      <sheetData sheetId="7"/>
      <sheetData sheetId="8"/>
      <sheetData sheetId="9"/>
      <sheetData sheetId="10" refreshError="1">
        <row r="19">
          <cell r="F19">
            <v>89051.512074828293</v>
          </cell>
        </row>
      </sheetData>
      <sheetData sheetId="11"/>
      <sheetData sheetId="12"/>
      <sheetData sheetId="13"/>
      <sheetData sheetId="14"/>
      <sheetData sheetId="15"/>
      <sheetData sheetId="16"/>
      <sheetData sheetId="17" refreshError="1">
        <row r="64">
          <cell r="A64" t="str">
            <v>Currency_Code</v>
          </cell>
        </row>
        <row r="66">
          <cell r="A66" t="str">
            <v>AUD</v>
          </cell>
        </row>
        <row r="67">
          <cell r="A67" t="str">
            <v>EUR</v>
          </cell>
        </row>
        <row r="68">
          <cell r="A68" t="str">
            <v>GBP</v>
          </cell>
        </row>
        <row r="69">
          <cell r="A69" t="str">
            <v>OTHER</v>
          </cell>
        </row>
        <row r="70">
          <cell r="A70" t="str">
            <v>RUB</v>
          </cell>
        </row>
        <row r="71">
          <cell r="A71" t="str">
            <v>USD</v>
          </cell>
        </row>
        <row r="73">
          <cell r="A73" t="str">
            <v>Rates_Year</v>
          </cell>
        </row>
        <row r="75">
          <cell r="A75">
            <v>2009</v>
          </cell>
        </row>
        <row r="76">
          <cell r="A76">
            <v>2010</v>
          </cell>
        </row>
        <row r="77">
          <cell r="A77">
            <v>2011</v>
          </cell>
        </row>
        <row r="78">
          <cell r="A78">
            <v>2012</v>
          </cell>
        </row>
        <row r="79">
          <cell r="A79" t="str">
            <v>2 yr from 2009</v>
          </cell>
        </row>
        <row r="80">
          <cell r="A80" t="str">
            <v>3 yr from 2009</v>
          </cell>
        </row>
        <row r="95">
          <cell r="A95" t="str">
            <v>Resource</v>
          </cell>
        </row>
        <row r="97">
          <cell r="A97" t="str">
            <v>AP_Prcpl_Tech_Consult</v>
          </cell>
        </row>
        <row r="98">
          <cell r="A98" t="str">
            <v>AP_Proj_Mgr</v>
          </cell>
        </row>
        <row r="99">
          <cell r="A99" t="str">
            <v>AP_Snr_Proj_Mgr</v>
          </cell>
        </row>
        <row r="100">
          <cell r="A100" t="str">
            <v>AP_Snr_Tech_Consult</v>
          </cell>
        </row>
        <row r="101">
          <cell r="A101" t="str">
            <v>AP_Tech_Consult</v>
          </cell>
        </row>
        <row r="102">
          <cell r="A102" t="str">
            <v>AP_Tech_Mgr</v>
          </cell>
        </row>
        <row r="103">
          <cell r="A103" t="str">
            <v>China COE</v>
          </cell>
        </row>
        <row r="104">
          <cell r="A104" t="str">
            <v>India COE</v>
          </cell>
        </row>
        <row r="105">
          <cell r="A105" t="str">
            <v>Melb.Fl._AutoCAD</v>
          </cell>
        </row>
        <row r="106">
          <cell r="A106" t="str">
            <v>Melb.Fl._CM (M2)</v>
          </cell>
        </row>
        <row r="107">
          <cell r="A107" t="str">
            <v>Melb.Fl._Config (M2)</v>
          </cell>
        </row>
        <row r="108">
          <cell r="A108" t="str">
            <v>Melb.Fl._DB Bld (M2)</v>
          </cell>
        </row>
        <row r="109">
          <cell r="A109" t="str">
            <v>Melb.Fl._Doc Clerk (M2)</v>
          </cell>
        </row>
        <row r="110">
          <cell r="A110" t="str">
            <v>Melb.Fl._Doc Mgr (M3)</v>
          </cell>
        </row>
        <row r="111">
          <cell r="A111" t="str">
            <v>Melb.Fl._Engineer (M2)</v>
          </cell>
        </row>
        <row r="112">
          <cell r="A112" t="str">
            <v>Melb.Fl._Engineer(M2)</v>
          </cell>
        </row>
        <row r="113">
          <cell r="A113" t="str">
            <v>Melb.Fl._Engineer(M2)</v>
          </cell>
        </row>
        <row r="114">
          <cell r="A114" t="str">
            <v>Melb.Fl._Flr Sup/Dftg (M1)</v>
          </cell>
        </row>
        <row r="115">
          <cell r="A115" t="str">
            <v>Melb.Fl._HW (M2)</v>
          </cell>
        </row>
        <row r="116">
          <cell r="A116" t="str">
            <v>Melb.Fl._Install (M2)</v>
          </cell>
        </row>
        <row r="117">
          <cell r="A117" t="str">
            <v>Melb.Fl._PCA(M1)</v>
          </cell>
        </row>
        <row r="118">
          <cell r="A118" t="str">
            <v>Melb.Fl._PE (M3)</v>
          </cell>
        </row>
        <row r="119">
          <cell r="A119" t="str">
            <v>Melb.Fl._PM (M3)</v>
          </cell>
        </row>
        <row r="120">
          <cell r="A120" t="str">
            <v>Melb.Fl._QC&amp;Assem (M2)</v>
          </cell>
        </row>
        <row r="121">
          <cell r="A121" t="str">
            <v>Melb.Fl._SA (M2)</v>
          </cell>
        </row>
        <row r="122">
          <cell r="A122" t="str">
            <v>Melb.Fl._SAT (M2)</v>
          </cell>
        </row>
        <row r="123">
          <cell r="A123" t="str">
            <v>Melb.Fl._Sys Integ (M2)</v>
          </cell>
        </row>
        <row r="124">
          <cell r="A124" t="str">
            <v>Melb.Fl._Test (1M2)</v>
          </cell>
        </row>
        <row r="125">
          <cell r="A125" t="str">
            <v>Partner_Eng_Rate</v>
          </cell>
        </row>
        <row r="126">
          <cell r="A126" t="str">
            <v>Partner_Sen_Eng_Rate</v>
          </cell>
        </row>
        <row r="127">
          <cell r="A127" t="str">
            <v>SSG-Dev</v>
          </cell>
        </row>
        <row r="128">
          <cell r="A128" t="str">
            <v>UK_Consult</v>
          </cell>
        </row>
        <row r="129">
          <cell r="A129" t="str">
            <v>UK_Eng</v>
          </cell>
        </row>
        <row r="130">
          <cell r="A130" t="str">
            <v>UK_Proj_Mgr</v>
          </cell>
        </row>
        <row r="146">
          <cell r="A146" t="str">
            <v>Required Y/N</v>
          </cell>
        </row>
        <row r="148">
          <cell r="A148" t="str">
            <v>No</v>
          </cell>
        </row>
        <row r="149">
          <cell r="A149" t="str">
            <v>Yes</v>
          </cell>
        </row>
      </sheetData>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M_Summary"/>
      <sheetName val="Assumptions"/>
      <sheetName val="Transfer Costs"/>
      <sheetName val="MAS Hdwr"/>
      <sheetName val="Manpower &amp; Travel"/>
      <sheetName val="Ph 1"/>
      <sheetName val="Ph 2"/>
      <sheetName val="Ph 3"/>
      <sheetName val="Ph 4"/>
      <sheetName val="Ph 5"/>
      <sheetName val="Ph 6"/>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5">
          <cell r="B5" t="str">
            <v>Product</v>
          </cell>
        </row>
        <row r="6">
          <cell r="B6" t="str">
            <v>Already in product</v>
          </cell>
        </row>
        <row r="7">
          <cell r="B7" t="str">
            <v>Good for product now</v>
          </cell>
        </row>
        <row r="8">
          <cell r="B8" t="str">
            <v>Does not make sense for product</v>
          </cell>
        </row>
        <row r="9">
          <cell r="B9" t="str">
            <v>Good for product in future</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Detail"/>
      <sheetName val="R1 Summary"/>
      <sheetName val="R2 - Smallworld"/>
      <sheetName val="R2 - RTCS"/>
      <sheetName val="CRB - Smallworld"/>
      <sheetName val="Review Monitor"/>
      <sheetName val="Lists"/>
      <sheetName val="Hurdles"/>
      <sheetName val="R3 Handoff - Smallworld "/>
      <sheetName val="R3 Handoff - RTCS"/>
    </sheetNames>
    <sheetDataSet>
      <sheetData sheetId="0"/>
      <sheetData sheetId="1"/>
      <sheetData sheetId="2"/>
      <sheetData sheetId="3"/>
      <sheetData sheetId="4"/>
      <sheetData sheetId="5"/>
      <sheetData sheetId="6">
        <row r="12">
          <cell r="B12" t="str">
            <v>Comms</v>
          </cell>
        </row>
        <row r="13">
          <cell r="B13" t="str">
            <v>GIS</v>
          </cell>
        </row>
        <row r="14">
          <cell r="B14" t="str">
            <v>RTCS</v>
          </cell>
        </row>
        <row r="15">
          <cell r="B15" t="str">
            <v>Utility</v>
          </cell>
        </row>
        <row r="33">
          <cell r="B33" t="str">
            <v>North America</v>
          </cell>
        </row>
        <row r="34">
          <cell r="B34" t="str">
            <v>South America</v>
          </cell>
        </row>
        <row r="35">
          <cell r="B35" t="str">
            <v>Latin America</v>
          </cell>
        </row>
        <row r="36">
          <cell r="B36" t="str">
            <v>Canada</v>
          </cell>
        </row>
        <row r="37">
          <cell r="B37" t="str">
            <v>Europe</v>
          </cell>
        </row>
        <row r="38">
          <cell r="B38" t="str">
            <v>AIM</v>
          </cell>
        </row>
        <row r="39">
          <cell r="B39" t="str">
            <v>Asia</v>
          </cell>
        </row>
        <row r="40">
          <cell r="B40" t="str">
            <v>West</v>
          </cell>
        </row>
        <row r="41">
          <cell r="B41" t="str">
            <v>Mid America</v>
          </cell>
        </row>
        <row r="42">
          <cell r="B42" t="str">
            <v>Northeast</v>
          </cell>
        </row>
        <row r="43">
          <cell r="B43" t="str">
            <v>Southeast</v>
          </cell>
        </row>
      </sheetData>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Ultra 2's"/>
      <sheetName val="Ultra 30's"/>
      <sheetName val="Comm Server"/>
      <sheetName val="Maintenance"/>
      <sheetName val="Service"/>
      <sheetName val="ultra 10"/>
      <sheetName val="Canadian "/>
      <sheetName val="e450"/>
      <sheetName val="Pricing_Summary"/>
      <sheetName val="Cash Flow"/>
      <sheetName val="Proposal Price summary"/>
      <sheetName val="Assumptions"/>
      <sheetName val="Meters &amp; Deployment"/>
      <sheetName val="Proposal Insert"/>
      <sheetName val="BD PM-Dev Estimates"/>
      <sheetName val="Fld Trial 4Q02"/>
      <sheetName val="POC 2K 1Q03"/>
      <sheetName val="Ph1 10K 2Q03"/>
      <sheetName val="Ph2 10K 3Q03"/>
      <sheetName val="Ph3 50K 4Q03"/>
      <sheetName val="Ph4 520K 04"/>
      <sheetName val="Ph5 520K 05"/>
      <sheetName val="Ph6 520K 06"/>
      <sheetName val="Ph7 612K 07"/>
      <sheetName val="Ph8 612K 08"/>
      <sheetName val="Ph9 612K 09"/>
      <sheetName val="Trial Hdwr"/>
      <sheetName val="Trial Storage"/>
      <sheetName val="Full Hdwr"/>
      <sheetName val="Full Storage"/>
    </sheetNames>
    <sheetDataSet>
      <sheetData sheetId="0">
        <row r="4">
          <cell r="F4">
            <v>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m_cp&amp;l"/>
      <sheetName val="Variable_Summ"/>
      <sheetName val="cp&amp;l-ph2"/>
      <sheetName val="Test_System"/>
      <sheetName val="Disk_Calc"/>
      <sheetName val="cp&amp;l-ph1-lease"/>
      <sheetName val="cp&amp;L-ph1"/>
      <sheetName val="E4500-ph3"/>
    </sheetNames>
    <sheetDataSet>
      <sheetData sheetId="0" refreshError="1"/>
      <sheetData sheetId="1">
        <row r="2">
          <cell r="B2">
            <v>0.2</v>
          </cell>
        </row>
        <row r="3">
          <cell r="B3">
            <v>0.2</v>
          </cell>
        </row>
        <row r="4">
          <cell r="B4">
            <v>0.17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ulations"/>
      <sheetName val="Output"/>
    </sheetNames>
    <sheetDataSet>
      <sheetData sheetId="0" refreshError="1"/>
      <sheetData sheetId="1">
        <row r="12">
          <cell r="A12" t="str">
            <v>Standard</v>
          </cell>
        </row>
        <row r="13">
          <cell r="A13" t="str">
            <v>Extended Weekend</v>
          </cell>
        </row>
        <row r="14">
          <cell r="A14" t="str">
            <v>24/7/365</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sheetName val="ACTUALS"/>
      <sheetName val="SALARY"/>
      <sheetName val="CAPITAL"/>
      <sheetName val="HEADCOUNT"/>
      <sheetName val="BDINPUT"/>
      <sheetName val="MANAGERIAL REPORTS"/>
      <sheetName val="ALLOCATE"/>
      <sheetName val="BUDMACRO"/>
      <sheetName val="Module2"/>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PROJECT"/>
      <sheetName val="Table of Contents"/>
      <sheetName val="Glossary"/>
      <sheetName val="Project Scenario"/>
      <sheetName val="Hardware Price List"/>
      <sheetName val="HW List with Cost"/>
      <sheetName val="Gas"/>
      <sheetName val="COST Forward"/>
      <sheetName val="WARRANTY"/>
      <sheetName val="SVCs Price List"/>
      <sheetName val="SERVICES"/>
      <sheetName val="SW Price List"/>
      <sheetName val="Meters"/>
      <sheetName val="MeterInstall"/>
      <sheetName val="HAN Devices"/>
      <sheetName val="HAN Costs"/>
      <sheetName val="DataCenter"/>
      <sheetName val="HostHdwrCost"/>
      <sheetName val="PECO Hosting"/>
      <sheetName val="CMP Hosting"/>
      <sheetName val="Analysis"/>
      <sheetName val="ESB Integration"/>
      <sheetName val="Installation-Ntwk&amp;HAN"/>
      <sheetName val="Badger"/>
      <sheetName val="Network"/>
      <sheetName val="IBM SW OEM Costs"/>
      <sheetName val="4Review"/>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 (Page 1)"/>
      <sheetName val="CASH INPUT"/>
      <sheetName val="CASH OUTPUT"/>
      <sheetName val="SUMMARY INPUT"/>
      <sheetName val="SUMMARY OUTPUT"/>
      <sheetName val="Drop list option"/>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twk Model"/>
      <sheetName val="4Review total project"/>
      <sheetName val="4Review SAT"/>
      <sheetName val="4Review DEP"/>
      <sheetName val="SERVICES SAT"/>
      <sheetName val="SERVICES DEP"/>
      <sheetName val="AMI and DR PRICING SUMMARY"/>
      <sheetName val="HDS table"/>
      <sheetName val="Compare"/>
    </sheetNames>
    <sheetDataSet>
      <sheetData sheetId="0"/>
      <sheetData sheetId="1"/>
      <sheetData sheetId="2"/>
      <sheetData sheetId="3"/>
      <sheetData sheetId="4">
        <row r="12">
          <cell r="E12">
            <v>1500</v>
          </cell>
        </row>
      </sheetData>
      <sheetData sheetId="5">
        <row r="12">
          <cell r="E12">
            <v>1500</v>
          </cell>
        </row>
      </sheetData>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ricing &amp; Variable Costs"/>
      <sheetName val="Utility Summary"/>
      <sheetName val="Budget Calcs"/>
      <sheetName val="Fringes"/>
      <sheetName val="Pricing Summary"/>
      <sheetName val="Worksheet"/>
      <sheetName val="Group - Linked"/>
      <sheetName val="Group Pricing"/>
      <sheetName val="Price Page"/>
      <sheetName val="Pricing Calcs B"/>
      <sheetName val="Pricing Calcs C"/>
      <sheetName val="Sub Quote (unofficial)"/>
      <sheetName val="AMCO Quote (unofficial)"/>
      <sheetName val="Hexagram Quote (unofficial)"/>
    </sheetNames>
    <sheetDataSet>
      <sheetData sheetId="0"/>
      <sheetData sheetId="1">
        <row r="50">
          <cell r="A50" t="str">
            <v>DESCRIPTION OPTIONS</v>
          </cell>
        </row>
        <row r="52">
          <cell r="D52" t="str">
            <v>Enter new drop down options into the yellow spaces under the appropriate heading.</v>
          </cell>
        </row>
        <row r="53">
          <cell r="D53" t="str">
            <v>Use the button below to add new lines</v>
          </cell>
        </row>
        <row r="55">
          <cell r="C55" t="str">
            <v>Labor Type</v>
          </cell>
          <cell r="D55" t="str">
            <v>Work Type</v>
          </cell>
          <cell r="E55" t="str">
            <v>Description</v>
          </cell>
          <cell r="F55" t="str">
            <v>Size</v>
          </cell>
          <cell r="G55" t="str">
            <v>Scope of Work</v>
          </cell>
          <cell r="H55" t="str">
            <v>Location</v>
          </cell>
          <cell r="K55" t="str">
            <v>Unit</v>
          </cell>
        </row>
        <row r="56">
          <cell r="A56" t="str">
            <v>-</v>
          </cell>
        </row>
        <row r="58">
          <cell r="C58" t="str">
            <v>Internal Labor</v>
          </cell>
          <cell r="D58" t="str">
            <v>Electric Meter</v>
          </cell>
          <cell r="E58" t="str">
            <v>Pits</v>
          </cell>
          <cell r="F58" t="str">
            <v>5/8"</v>
          </cell>
          <cell r="G58" t="str">
            <v>Retrofit</v>
          </cell>
          <cell r="H58" t="str">
            <v>Indoor</v>
          </cell>
          <cell r="K58" t="str">
            <v>each</v>
          </cell>
        </row>
        <row r="59">
          <cell r="C59" t="str">
            <v>Temporary Labor</v>
          </cell>
          <cell r="D59" t="str">
            <v>Water Meter</v>
          </cell>
          <cell r="E59" t="str">
            <v>Pits - Hole Req'd</v>
          </cell>
          <cell r="F59" t="str">
            <v>3/4"</v>
          </cell>
          <cell r="G59" t="str">
            <v>Exchange</v>
          </cell>
          <cell r="H59" t="str">
            <v>Outdoor</v>
          </cell>
          <cell r="K59" t="str">
            <v>per hr</v>
          </cell>
        </row>
        <row r="60">
          <cell r="C60" t="str">
            <v>Subcontracted</v>
          </cell>
          <cell r="D60" t="str">
            <v>Gas Meter</v>
          </cell>
          <cell r="E60" t="str">
            <v>CATV</v>
          </cell>
          <cell r="F60" t="str">
            <v>1"</v>
          </cell>
          <cell r="G60" t="str">
            <v>Exch w Relight</v>
          </cell>
          <cell r="H60" t="str">
            <v>Scheduled</v>
          </cell>
          <cell r="K60" t="str">
            <v>per month</v>
          </cell>
        </row>
        <row r="61">
          <cell r="C61" t="str">
            <v>Other</v>
          </cell>
          <cell r="D61" t="str">
            <v>Gas Batteries</v>
          </cell>
          <cell r="E61" t="str">
            <v>Phone</v>
          </cell>
          <cell r="F61" t="str">
            <v>1 1/4"</v>
          </cell>
          <cell r="G61" t="str">
            <v>Dense Area Retrofit</v>
          </cell>
          <cell r="H61" t="str">
            <v>Unscheduled</v>
          </cell>
          <cell r="K61" t="str">
            <v>startup fee</v>
          </cell>
        </row>
        <row r="62">
          <cell r="D62" t="str">
            <v>Other</v>
          </cell>
          <cell r="E62" t="str">
            <v>Touch Pad</v>
          </cell>
          <cell r="F62" t="str">
            <v>1 1/2"</v>
          </cell>
          <cell r="G62" t="str">
            <v>Dense Area Exchange</v>
          </cell>
          <cell r="H62" t="str">
            <v>Pit</v>
          </cell>
        </row>
        <row r="63">
          <cell r="E63" t="str">
            <v>ARB</v>
          </cell>
          <cell r="F63" t="str">
            <v>2"</v>
          </cell>
          <cell r="G63" t="str">
            <v>Dense Area Exch w Relight</v>
          </cell>
          <cell r="H63" t="str">
            <v>Vault</v>
          </cell>
        </row>
        <row r="64">
          <cell r="F64" t="str">
            <v>3"</v>
          </cell>
          <cell r="G64" t="str">
            <v>Sparse Area Retrofit</v>
          </cell>
          <cell r="H64" t="str">
            <v>Indoor/Scheduled</v>
          </cell>
        </row>
        <row r="65">
          <cell r="F65" t="str">
            <v>4"</v>
          </cell>
          <cell r="G65" t="str">
            <v>Sparse Area Exchange</v>
          </cell>
          <cell r="H65" t="str">
            <v>Indoor/Unscheduled</v>
          </cell>
        </row>
        <row r="66">
          <cell r="F66" t="str">
            <v>6"</v>
          </cell>
          <cell r="G66" t="str">
            <v>Sparse Area Exch w Relight</v>
          </cell>
          <cell r="H66" t="str">
            <v>Outdoor/Scheduled</v>
          </cell>
        </row>
        <row r="67">
          <cell r="F67" t="str">
            <v>8"</v>
          </cell>
          <cell r="G67" t="str">
            <v>Plumbing - Bypass &amp; Detecter Check</v>
          </cell>
          <cell r="H67" t="str">
            <v>Outdoor/Unscheduled</v>
          </cell>
        </row>
        <row r="68">
          <cell r="F68" t="str">
            <v>10"</v>
          </cell>
          <cell r="G68" t="str">
            <v>Materials &amp; Installation</v>
          </cell>
          <cell r="H68" t="str">
            <v>Pit/Scheduled</v>
          </cell>
        </row>
        <row r="69">
          <cell r="F69" t="str">
            <v>12"</v>
          </cell>
          <cell r="G69" t="str">
            <v>Installation &amp; Training</v>
          </cell>
          <cell r="H69" t="str">
            <v>Pit/Unscheduled</v>
          </cell>
        </row>
        <row r="70">
          <cell r="F70" t="str">
            <v>1600 cf</v>
          </cell>
          <cell r="G70" t="str">
            <v>Bypass Only</v>
          </cell>
          <cell r="H70" t="str">
            <v>Vault/Scheduled</v>
          </cell>
        </row>
        <row r="71">
          <cell r="F71" t="str">
            <v>3000 cf</v>
          </cell>
          <cell r="G71" t="str">
            <v>Site Surveys</v>
          </cell>
          <cell r="H71" t="str">
            <v>Vault/Unscheduled</v>
          </cell>
        </row>
        <row r="72">
          <cell r="F72" t="str">
            <v>5000 cf</v>
          </cell>
          <cell r="H72" t="str">
            <v>Industrial</v>
          </cell>
        </row>
        <row r="73">
          <cell r="F73" t="str">
            <v>10000 cf</v>
          </cell>
          <cell r="H73" t="str">
            <v>Other</v>
          </cell>
        </row>
        <row r="74">
          <cell r="F74" t="str">
            <v>Small</v>
          </cell>
          <cell r="H74" t="str">
            <v>Transformer Rated</v>
          </cell>
        </row>
        <row r="75">
          <cell r="F75" t="str">
            <v>Large</v>
          </cell>
        </row>
        <row r="76">
          <cell r="F76" t="str">
            <v>Residential</v>
          </cell>
        </row>
        <row r="77">
          <cell r="F77" t="str">
            <v>Commercial</v>
          </cell>
        </row>
        <row r="78">
          <cell r="F78" t="str">
            <v>Other</v>
          </cell>
        </row>
        <row r="87">
          <cell r="A87" t="str">
            <v>-</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Balance Scorecard"/>
      <sheetName val="Summary"/>
      <sheetName val="Install P&amp;L "/>
      <sheetName val="Install WC "/>
      <sheetName val="Install Risk&amp;Oppy "/>
      <sheetName val="ER Residual"/>
      <sheetName val="Service P&amp;L"/>
      <sheetName val="Service WC "/>
      <sheetName val="Service Risk&amp;Oppy"/>
      <sheetName val="Security P&amp;L"/>
      <sheetName val="Security WC"/>
      <sheetName val="Security Risk &amp; Oppy"/>
      <sheetName val="Pricing &amp; Variable Costs"/>
    </sheetNames>
    <sheetDataSet>
      <sheetData sheetId="0" refreshError="1">
        <row r="4">
          <cell r="C4">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P&amp;L"/>
      <sheetName val="Tablecontents"/>
      <sheetName val="Input"/>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workbookViewId="0">
      <selection activeCell="B6" sqref="B6"/>
    </sheetView>
  </sheetViews>
  <sheetFormatPr defaultColWidth="15.140625" defaultRowHeight="15" x14ac:dyDescent="0.25"/>
  <cols>
    <col min="1" max="1" width="8.85546875" customWidth="1"/>
    <col min="2" max="2" width="38.7109375" bestFit="1" customWidth="1"/>
    <col min="3" max="3" width="13.85546875" bestFit="1" customWidth="1"/>
    <col min="4" max="4" width="12.7109375" bestFit="1" customWidth="1"/>
    <col min="5" max="5" width="6.85546875" customWidth="1"/>
    <col min="6" max="6" width="36.28515625" bestFit="1" customWidth="1"/>
  </cols>
  <sheetData>
    <row r="2" spans="2:8" x14ac:dyDescent="0.25">
      <c r="B2" s="279" t="s">
        <v>412</v>
      </c>
      <c r="C2" s="280"/>
      <c r="D2" s="281"/>
      <c r="F2" s="279" t="s">
        <v>442</v>
      </c>
      <c r="G2" s="280"/>
      <c r="H2" s="281"/>
    </row>
    <row r="3" spans="2:8" x14ac:dyDescent="0.25">
      <c r="B3" s="135" t="s">
        <v>159</v>
      </c>
      <c r="C3" s="135" t="s">
        <v>398</v>
      </c>
      <c r="D3" s="135" t="s">
        <v>397</v>
      </c>
      <c r="F3" s="273" t="s">
        <v>159</v>
      </c>
      <c r="G3" s="273" t="s">
        <v>398</v>
      </c>
      <c r="H3" s="273" t="s">
        <v>397</v>
      </c>
    </row>
    <row r="4" spans="2:8" x14ac:dyDescent="0.25">
      <c r="B4" s="257" t="s">
        <v>409</v>
      </c>
      <c r="C4" s="15">
        <f>Summary!C17+Summary!C18+Summary!C19+Summary!C20+Summary!C21+Summary!C34+Summary!C35</f>
        <v>738874.11241692561</v>
      </c>
      <c r="D4" s="257"/>
      <c r="F4" s="257" t="s">
        <v>409</v>
      </c>
      <c r="G4" s="15">
        <f>Summary!D17+Summary!D18+Summary!D19+Summary!D20+Summary!D21+Summary!D34+Summary!D35</f>
        <v>658276.22925011592</v>
      </c>
      <c r="H4" s="257"/>
    </row>
    <row r="5" spans="2:8" x14ac:dyDescent="0.25">
      <c r="B5" s="258" t="s">
        <v>443</v>
      </c>
      <c r="C5" s="259">
        <f>Summary!C23+Summary!C24+Summary!C25+Summary!C37+Summary!C38</f>
        <v>1872734.1259879298</v>
      </c>
      <c r="D5" s="258"/>
      <c r="F5" s="258" t="s">
        <v>443</v>
      </c>
      <c r="G5" s="259">
        <f>Summary!D23+Summary!D24+Summary!D25+Summary!D37+Summary!D38</f>
        <v>1712679.8493138244</v>
      </c>
      <c r="H5" s="258"/>
    </row>
    <row r="6" spans="2:8" x14ac:dyDescent="0.25">
      <c r="B6" s="262" t="s">
        <v>410</v>
      </c>
      <c r="C6" s="263">
        <f>Summary!C27+Summary!C28+Summary!C29+Summary!C40+Summary!C41+Summary!C42</f>
        <v>2071007.0611692057</v>
      </c>
      <c r="D6" s="262"/>
      <c r="F6" s="262" t="s">
        <v>410</v>
      </c>
      <c r="G6" s="263">
        <f>Summary!D27+Summary!D28+Summary!D29+Summary!D40+Summary!D41+Summary!D42</f>
        <v>1797666.4726601799</v>
      </c>
      <c r="H6" s="262"/>
    </row>
    <row r="7" spans="2:8" x14ac:dyDescent="0.25">
      <c r="B7" s="258" t="s">
        <v>402</v>
      </c>
      <c r="C7" s="259"/>
      <c r="D7" s="258"/>
      <c r="F7" s="258" t="s">
        <v>402</v>
      </c>
      <c r="G7" s="259"/>
      <c r="H7" s="258"/>
    </row>
    <row r="8" spans="2:8" x14ac:dyDescent="0.25">
      <c r="B8" s="264" t="s">
        <v>403</v>
      </c>
      <c r="C8" s="265">
        <f>Summary!C44</f>
        <v>336282.42924689339</v>
      </c>
      <c r="D8" s="262"/>
      <c r="F8" s="264" t="s">
        <v>403</v>
      </c>
      <c r="G8" s="265">
        <f>Summary!D44</f>
        <v>288434.76048872218</v>
      </c>
      <c r="H8" s="262"/>
    </row>
    <row r="9" spans="2:8" x14ac:dyDescent="0.25">
      <c r="B9" s="258" t="s">
        <v>411</v>
      </c>
      <c r="C9" s="258"/>
      <c r="D9" s="260">
        <f>Benefits!F6+Benefits!F11+Benefits!F16</f>
        <v>7937256.8108280525</v>
      </c>
      <c r="F9" s="258" t="s">
        <v>411</v>
      </c>
      <c r="G9" s="258"/>
      <c r="H9" s="260">
        <f>Benefits!D6+Benefits!D11+Benefits!D16</f>
        <v>6736468.6730506159</v>
      </c>
    </row>
    <row r="10" spans="2:8" x14ac:dyDescent="0.25">
      <c r="B10" s="266" t="s">
        <v>0</v>
      </c>
      <c r="C10" s="267">
        <f>SUM(C4:C9)</f>
        <v>5018897.7288209535</v>
      </c>
      <c r="D10" s="267">
        <f>SUM(D4:D9)</f>
        <v>7937256.8108280525</v>
      </c>
      <c r="F10" s="266" t="s">
        <v>0</v>
      </c>
      <c r="G10" s="267">
        <f>SUM(G4:G9)</f>
        <v>4457057.3117128424</v>
      </c>
      <c r="H10" s="267">
        <f>SUM(H4:H9)</f>
        <v>6736468.6730506159</v>
      </c>
    </row>
    <row r="11" spans="2:8" x14ac:dyDescent="0.25">
      <c r="B11" s="261" t="s">
        <v>404</v>
      </c>
      <c r="C11" s="282">
        <f>D10/C10</f>
        <v>1.5814741083980375</v>
      </c>
      <c r="D11" s="283"/>
      <c r="E11" s="271"/>
      <c r="F11" s="261" t="s">
        <v>404</v>
      </c>
      <c r="G11" s="282">
        <f>H10/G10</f>
        <v>1.5114162107244249</v>
      </c>
      <c r="H11" s="283"/>
    </row>
    <row r="12" spans="2:8" x14ac:dyDescent="0.25">
      <c r="B12" s="264" t="s">
        <v>405</v>
      </c>
      <c r="C12" s="268">
        <f>ROI!E18</f>
        <v>8.0814097736408979</v>
      </c>
      <c r="D12" s="264" t="s">
        <v>406</v>
      </c>
      <c r="F12" s="264" t="s">
        <v>405</v>
      </c>
      <c r="G12" s="268">
        <f>ROI!M18</f>
        <v>8.3119642621878107</v>
      </c>
      <c r="H12" s="264" t="s">
        <v>406</v>
      </c>
    </row>
    <row r="13" spans="2:8" x14ac:dyDescent="0.25">
      <c r="B13" s="261" t="s">
        <v>407</v>
      </c>
      <c r="C13" s="284">
        <f>ROI!E17</f>
        <v>0.21032034376739239</v>
      </c>
      <c r="D13" s="285"/>
      <c r="F13" s="261" t="s">
        <v>407</v>
      </c>
      <c r="G13" s="284">
        <f>ROI!M17</f>
        <v>0.18658857232096793</v>
      </c>
      <c r="H13" s="285"/>
    </row>
    <row r="14" spans="2:8" x14ac:dyDescent="0.25">
      <c r="B14" s="264" t="s">
        <v>415</v>
      </c>
      <c r="C14" s="286">
        <f>Summary!C30</f>
        <v>1941793.6871158024</v>
      </c>
      <c r="D14" s="287"/>
      <c r="F14" s="264" t="s">
        <v>416</v>
      </c>
      <c r="G14" s="286">
        <f>Summary!D30</f>
        <v>1796875.5796446973</v>
      </c>
      <c r="H14" s="287"/>
    </row>
    <row r="15" spans="2:8" x14ac:dyDescent="0.25">
      <c r="B15" s="258" t="s">
        <v>408</v>
      </c>
      <c r="C15" s="277">
        <f>Summary!C45</f>
        <v>3077104.041705152</v>
      </c>
      <c r="D15" s="278"/>
      <c r="F15" s="258" t="s">
        <v>408</v>
      </c>
      <c r="G15" s="277">
        <f>Summary!D45</f>
        <v>2660181.7320681452</v>
      </c>
      <c r="H15" s="278"/>
    </row>
  </sheetData>
  <mergeCells count="10">
    <mergeCell ref="G15:H15"/>
    <mergeCell ref="F2:H2"/>
    <mergeCell ref="G11:H11"/>
    <mergeCell ref="G13:H13"/>
    <mergeCell ref="G14:H14"/>
    <mergeCell ref="C15:D15"/>
    <mergeCell ref="B2:D2"/>
    <mergeCell ref="C11:D11"/>
    <mergeCell ref="C13:D13"/>
    <mergeCell ref="C14:D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zoomScaleNormal="100" workbookViewId="0">
      <selection sqref="A1:G1"/>
    </sheetView>
  </sheetViews>
  <sheetFormatPr defaultRowHeight="15" x14ac:dyDescent="0.25"/>
  <cols>
    <col min="1" max="1" width="12.7109375" style="146" customWidth="1"/>
    <col min="2" max="2" width="36" style="146" customWidth="1"/>
    <col min="3" max="3" width="29.140625" style="146" customWidth="1"/>
    <col min="4" max="4" width="10" style="146" customWidth="1"/>
    <col min="5" max="5" width="11.42578125" style="146" customWidth="1"/>
    <col min="6" max="6" width="9.140625" style="146" customWidth="1"/>
    <col min="7" max="7" width="27.42578125" style="146" customWidth="1"/>
    <col min="8" max="16384" width="9.140625" style="146"/>
  </cols>
  <sheetData>
    <row r="1" spans="1:7" ht="18.75" x14ac:dyDescent="0.3">
      <c r="A1" s="325" t="s">
        <v>149</v>
      </c>
      <c r="B1" s="325"/>
      <c r="C1" s="325"/>
      <c r="D1" s="325"/>
      <c r="E1" s="325"/>
      <c r="F1" s="325"/>
      <c r="G1" s="325"/>
    </row>
    <row r="2" spans="1:7" ht="18.75" x14ac:dyDescent="0.3">
      <c r="A2" s="325" t="s">
        <v>150</v>
      </c>
      <c r="B2" s="325"/>
      <c r="C2" s="325"/>
      <c r="D2" s="325"/>
      <c r="E2" s="325"/>
      <c r="F2" s="325"/>
      <c r="G2" s="325"/>
    </row>
    <row r="3" spans="1:7" ht="18.75" x14ac:dyDescent="0.3">
      <c r="A3" s="325" t="s">
        <v>151</v>
      </c>
      <c r="B3" s="325"/>
      <c r="C3" s="325"/>
      <c r="D3" s="325"/>
      <c r="E3" s="325"/>
      <c r="F3" s="325"/>
      <c r="G3" s="325"/>
    </row>
    <row r="5" spans="1:7" s="150" customFormat="1" ht="15.75" x14ac:dyDescent="0.25">
      <c r="A5" s="330" t="s">
        <v>250</v>
      </c>
      <c r="B5" s="330"/>
      <c r="C5" s="330"/>
      <c r="D5" s="330"/>
      <c r="E5" s="330"/>
      <c r="F5" s="330"/>
      <c r="G5" s="330"/>
    </row>
    <row r="6" spans="1:7" s="151" customFormat="1" ht="12.75" x14ac:dyDescent="0.2">
      <c r="A6" s="331" t="s">
        <v>251</v>
      </c>
      <c r="B6" s="331"/>
      <c r="C6" s="331"/>
      <c r="D6" s="331"/>
      <c r="E6" s="331"/>
      <c r="F6" s="331"/>
      <c r="G6" s="331"/>
    </row>
    <row r="7" spans="1:7" s="151" customFormat="1" ht="12.75" x14ac:dyDescent="0.2">
      <c r="A7" s="151" t="s">
        <v>154</v>
      </c>
      <c r="B7" s="151" t="s">
        <v>252</v>
      </c>
    </row>
    <row r="8" spans="1:7" s="151" customFormat="1" ht="12.75" x14ac:dyDescent="0.2">
      <c r="A8" s="151" t="s">
        <v>156</v>
      </c>
      <c r="B8" s="151" t="s">
        <v>253</v>
      </c>
    </row>
    <row r="9" spans="1:7" s="151" customFormat="1" ht="12.75" x14ac:dyDescent="0.2">
      <c r="E9" s="329" t="s">
        <v>158</v>
      </c>
      <c r="F9" s="329"/>
    </row>
    <row r="10" spans="1:7" s="151" customFormat="1" ht="12.75" x14ac:dyDescent="0.2">
      <c r="A10" s="169"/>
      <c r="B10" s="173" t="s">
        <v>159</v>
      </c>
      <c r="C10" s="173" t="s">
        <v>160</v>
      </c>
      <c r="D10" s="173" t="s">
        <v>161</v>
      </c>
      <c r="E10" s="173" t="s">
        <v>162</v>
      </c>
      <c r="F10" s="174" t="s">
        <v>163</v>
      </c>
      <c r="G10" s="173" t="s">
        <v>164</v>
      </c>
    </row>
    <row r="11" spans="1:7" s="151" customFormat="1" ht="12.75" x14ac:dyDescent="0.2">
      <c r="A11" s="169"/>
      <c r="B11" s="175" t="s">
        <v>254</v>
      </c>
      <c r="C11" s="175" t="s">
        <v>207</v>
      </c>
      <c r="D11" s="176">
        <f>700/0.90182</f>
        <v>776.20811248364419</v>
      </c>
      <c r="E11" s="177" t="s">
        <v>255</v>
      </c>
      <c r="F11" s="178">
        <v>0</v>
      </c>
      <c r="G11" s="169"/>
    </row>
    <row r="12" spans="1:7" s="151" customFormat="1" ht="12.75" x14ac:dyDescent="0.2">
      <c r="A12" s="169"/>
      <c r="B12" s="175" t="s">
        <v>254</v>
      </c>
      <c r="C12" s="175" t="s">
        <v>207</v>
      </c>
      <c r="D12" s="176">
        <f>686/0.90182</f>
        <v>760.68395023397136</v>
      </c>
      <c r="E12" s="177" t="s">
        <v>256</v>
      </c>
      <c r="F12" s="178">
        <v>0</v>
      </c>
      <c r="G12" s="169"/>
    </row>
    <row r="13" spans="1:7" s="151" customFormat="1" ht="12.75" x14ac:dyDescent="0.2">
      <c r="A13" s="169"/>
      <c r="B13" s="175" t="s">
        <v>254</v>
      </c>
      <c r="C13" s="175" t="s">
        <v>207</v>
      </c>
      <c r="D13" s="176">
        <f>672/0.90182</f>
        <v>745.15978798429842</v>
      </c>
      <c r="E13" s="177" t="s">
        <v>257</v>
      </c>
      <c r="F13" s="178">
        <v>0</v>
      </c>
      <c r="G13" s="169"/>
    </row>
    <row r="14" spans="1:7" s="151" customFormat="1" ht="12.75" x14ac:dyDescent="0.2">
      <c r="A14" s="169" t="s">
        <v>258</v>
      </c>
      <c r="B14" s="175" t="s">
        <v>254</v>
      </c>
      <c r="C14" s="175" t="s">
        <v>207</v>
      </c>
      <c r="D14" s="176">
        <f>658/0.90182</f>
        <v>729.63562573462559</v>
      </c>
      <c r="E14" s="177" t="s">
        <v>259</v>
      </c>
      <c r="F14" s="178">
        <v>0</v>
      </c>
      <c r="G14" s="169"/>
    </row>
    <row r="15" spans="1:7" s="151" customFormat="1" ht="12.75" x14ac:dyDescent="0.2">
      <c r="A15" s="169"/>
      <c r="B15" s="169" t="s">
        <v>260</v>
      </c>
      <c r="C15" s="169"/>
      <c r="D15" s="179">
        <v>0</v>
      </c>
      <c r="E15" s="180">
        <v>0</v>
      </c>
      <c r="F15" s="178">
        <v>0</v>
      </c>
      <c r="G15" s="169"/>
    </row>
    <row r="16" spans="1:7" s="151" customFormat="1" ht="12.75" x14ac:dyDescent="0.2">
      <c r="A16" s="169"/>
      <c r="B16" s="169" t="s">
        <v>261</v>
      </c>
      <c r="C16" s="169" t="s">
        <v>262</v>
      </c>
      <c r="D16" s="179">
        <f>50/0.90182</f>
        <v>55.44343660597459</v>
      </c>
      <c r="E16" s="180" t="s">
        <v>263</v>
      </c>
      <c r="F16" s="178">
        <v>0</v>
      </c>
      <c r="G16" s="169"/>
    </row>
    <row r="17" spans="1:7" s="151" customFormat="1" ht="12.75" x14ac:dyDescent="0.2">
      <c r="A17" s="169"/>
      <c r="B17" s="169" t="s">
        <v>261</v>
      </c>
      <c r="C17" s="169" t="s">
        <v>262</v>
      </c>
      <c r="D17" s="179">
        <f>120/0.90182</f>
        <v>133.06424785433902</v>
      </c>
      <c r="E17" s="180" t="s">
        <v>264</v>
      </c>
      <c r="F17" s="178">
        <v>0</v>
      </c>
      <c r="G17" s="169"/>
    </row>
    <row r="18" spans="1:7" s="151" customFormat="1" ht="12.75" x14ac:dyDescent="0.2">
      <c r="A18" s="169"/>
      <c r="B18" s="169" t="s">
        <v>261</v>
      </c>
      <c r="C18" s="169" t="s">
        <v>262</v>
      </c>
      <c r="D18" s="179">
        <f>360/0.90182</f>
        <v>399.19274356301702</v>
      </c>
      <c r="E18" s="180" t="s">
        <v>265</v>
      </c>
      <c r="F18" s="178"/>
      <c r="G18" s="169"/>
    </row>
    <row r="19" spans="1:7" s="151" customFormat="1" ht="12.75" x14ac:dyDescent="0.2">
      <c r="A19" s="169"/>
      <c r="B19" s="169" t="s">
        <v>167</v>
      </c>
      <c r="C19" s="169"/>
      <c r="D19" s="179">
        <v>0</v>
      </c>
      <c r="E19" s="180" t="s">
        <v>266</v>
      </c>
      <c r="F19" s="178">
        <v>0</v>
      </c>
      <c r="G19" s="169"/>
    </row>
    <row r="20" spans="1:7" s="151" customFormat="1" ht="64.5" customHeight="1" x14ac:dyDescent="0.2">
      <c r="A20" s="169"/>
      <c r="B20" s="181" t="s">
        <v>267</v>
      </c>
      <c r="C20" s="181" t="s">
        <v>268</v>
      </c>
      <c r="D20" s="179">
        <v>0</v>
      </c>
      <c r="E20" s="180" t="s">
        <v>266</v>
      </c>
      <c r="F20" s="178">
        <v>0</v>
      </c>
      <c r="G20" s="169"/>
    </row>
    <row r="21" spans="1:7" s="151" customFormat="1" ht="25.5" x14ac:dyDescent="0.2">
      <c r="A21" s="169"/>
      <c r="B21" s="182" t="s">
        <v>186</v>
      </c>
      <c r="C21" s="169"/>
      <c r="D21" s="179">
        <v>0</v>
      </c>
      <c r="E21" s="180" t="s">
        <v>266</v>
      </c>
      <c r="F21" s="178">
        <v>0</v>
      </c>
      <c r="G21" s="169"/>
    </row>
    <row r="22" spans="1:7" s="151" customFormat="1" ht="25.5" x14ac:dyDescent="0.2">
      <c r="A22" s="169"/>
      <c r="B22" s="182" t="s">
        <v>188</v>
      </c>
      <c r="C22" s="169"/>
      <c r="D22" s="179">
        <v>0</v>
      </c>
      <c r="E22" s="180" t="s">
        <v>266</v>
      </c>
      <c r="F22" s="178">
        <v>0</v>
      </c>
      <c r="G22" s="169"/>
    </row>
    <row r="23" spans="1:7" s="151" customFormat="1" ht="12.75" x14ac:dyDescent="0.2">
      <c r="A23" s="169"/>
      <c r="B23" s="169"/>
      <c r="C23" s="169"/>
      <c r="D23" s="179"/>
      <c r="E23" s="183"/>
      <c r="F23" s="178"/>
      <c r="G23" s="169"/>
    </row>
    <row r="24" spans="1:7" s="151" customFormat="1" ht="12.75" x14ac:dyDescent="0.2">
      <c r="A24" s="169"/>
      <c r="B24" s="175" t="s">
        <v>269</v>
      </c>
      <c r="C24" s="169" t="s">
        <v>270</v>
      </c>
      <c r="D24" s="179">
        <f>10000/0.90182</f>
        <v>11088.687321194917</v>
      </c>
      <c r="E24" s="183" t="s">
        <v>271</v>
      </c>
      <c r="F24" s="178"/>
      <c r="G24" s="169"/>
    </row>
    <row r="25" spans="1:7" s="169" customFormat="1" ht="114.75" x14ac:dyDescent="0.25">
      <c r="B25" s="175" t="s">
        <v>272</v>
      </c>
      <c r="C25" s="182"/>
      <c r="D25" s="179" t="s">
        <v>266</v>
      </c>
      <c r="E25" s="183"/>
      <c r="F25" s="178"/>
      <c r="G25" s="182" t="s">
        <v>273</v>
      </c>
    </row>
    <row r="26" spans="1:7" s="151" customFormat="1" ht="12.75" x14ac:dyDescent="0.2">
      <c r="A26" s="169"/>
      <c r="B26" s="169"/>
      <c r="C26" s="169"/>
      <c r="D26" s="179"/>
      <c r="E26" s="183"/>
      <c r="F26" s="178"/>
      <c r="G26" s="169"/>
    </row>
    <row r="27" spans="1:7" s="150" customFormat="1" ht="15.75" x14ac:dyDescent="0.25">
      <c r="A27" s="147" t="s">
        <v>232</v>
      </c>
      <c r="B27" s="148"/>
      <c r="C27" s="148"/>
      <c r="D27" s="148"/>
      <c r="E27" s="148"/>
      <c r="F27" s="148"/>
      <c r="G27" s="148"/>
    </row>
    <row r="28" spans="1:7" s="151" customFormat="1" ht="12.75" x14ac:dyDescent="0.2">
      <c r="A28" s="333" t="s">
        <v>233</v>
      </c>
      <c r="B28" s="333"/>
      <c r="C28" s="333"/>
      <c r="D28" s="333"/>
      <c r="E28" s="333"/>
      <c r="F28" s="333"/>
      <c r="G28" s="333"/>
    </row>
    <row r="29" spans="1:7" s="151" customFormat="1" ht="12.75" x14ac:dyDescent="0.2">
      <c r="A29" s="169"/>
      <c r="B29" s="173" t="s">
        <v>159</v>
      </c>
      <c r="C29" s="173" t="s">
        <v>234</v>
      </c>
      <c r="D29" s="173"/>
      <c r="E29" s="173"/>
      <c r="F29" s="173"/>
      <c r="G29" s="173" t="s">
        <v>164</v>
      </c>
    </row>
    <row r="30" spans="1:7" s="151" customFormat="1" ht="38.25" x14ac:dyDescent="0.2">
      <c r="A30" s="169"/>
      <c r="B30" s="169" t="s">
        <v>235</v>
      </c>
      <c r="C30" s="184">
        <v>0</v>
      </c>
      <c r="D30" s="169"/>
      <c r="E30" s="169"/>
      <c r="F30" s="169"/>
      <c r="G30" s="182" t="s">
        <v>274</v>
      </c>
    </row>
    <row r="31" spans="1:7" s="151" customFormat="1" ht="63.75" x14ac:dyDescent="0.2">
      <c r="A31" s="169"/>
      <c r="B31" s="169" t="s">
        <v>235</v>
      </c>
      <c r="C31" s="184">
        <v>0</v>
      </c>
      <c r="D31" s="169"/>
      <c r="E31" s="169"/>
      <c r="F31" s="169"/>
      <c r="G31" s="182" t="s">
        <v>275</v>
      </c>
    </row>
    <row r="32" spans="1:7" s="151" customFormat="1" ht="12.75" x14ac:dyDescent="0.2">
      <c r="A32" s="169"/>
      <c r="B32" s="169" t="s">
        <v>237</v>
      </c>
      <c r="C32" s="184">
        <v>0</v>
      </c>
      <c r="D32" s="169"/>
      <c r="E32" s="169"/>
      <c r="F32" s="169"/>
      <c r="G32" s="169"/>
    </row>
    <row r="33" spans="1:7" s="186" customFormat="1" ht="76.5" x14ac:dyDescent="0.2">
      <c r="A33" s="182"/>
      <c r="B33" s="182" t="s">
        <v>238</v>
      </c>
      <c r="C33" s="185">
        <v>0</v>
      </c>
      <c r="D33" s="182"/>
      <c r="E33" s="181" t="s">
        <v>239</v>
      </c>
      <c r="F33" s="185">
        <v>0</v>
      </c>
      <c r="G33" s="182" t="s">
        <v>276</v>
      </c>
    </row>
    <row r="34" spans="1:7" s="186" customFormat="1" ht="38.25" x14ac:dyDescent="0.2">
      <c r="A34" s="182"/>
      <c r="B34" s="182" t="s">
        <v>238</v>
      </c>
      <c r="C34" s="185">
        <v>0</v>
      </c>
      <c r="D34" s="182"/>
      <c r="E34" s="181" t="s">
        <v>239</v>
      </c>
      <c r="F34" s="185">
        <v>0</v>
      </c>
      <c r="G34" s="182" t="s">
        <v>277</v>
      </c>
    </row>
    <row r="35" spans="1:7" s="151" customFormat="1" ht="12.75" x14ac:dyDescent="0.2">
      <c r="A35" s="169"/>
      <c r="B35" s="169"/>
      <c r="C35" s="169"/>
      <c r="D35" s="169"/>
      <c r="E35" s="169"/>
      <c r="F35" s="169"/>
      <c r="G35" s="169"/>
    </row>
    <row r="36" spans="1:7" s="150" customFormat="1" ht="15.75" x14ac:dyDescent="0.25">
      <c r="A36" s="147" t="s">
        <v>240</v>
      </c>
      <c r="B36" s="148"/>
      <c r="C36" s="148"/>
      <c r="D36" s="148"/>
      <c r="E36" s="148"/>
      <c r="F36" s="148"/>
      <c r="G36" s="148"/>
    </row>
    <row r="37" spans="1:7" s="151" customFormat="1" ht="12.75" x14ac:dyDescent="0.2">
      <c r="A37" s="333" t="s">
        <v>241</v>
      </c>
      <c r="B37" s="333"/>
      <c r="C37" s="333"/>
      <c r="D37" s="333"/>
      <c r="E37" s="333"/>
      <c r="F37" s="333"/>
      <c r="G37" s="333"/>
    </row>
    <row r="38" spans="1:7" s="151" customFormat="1" ht="12.75" x14ac:dyDescent="0.2">
      <c r="A38" s="169"/>
      <c r="B38" s="173" t="s">
        <v>159</v>
      </c>
      <c r="C38" s="173" t="s">
        <v>163</v>
      </c>
      <c r="D38" s="173"/>
      <c r="E38" s="173"/>
      <c r="F38" s="173"/>
      <c r="G38" s="173" t="s">
        <v>164</v>
      </c>
    </row>
    <row r="39" spans="1:7" s="151" customFormat="1" ht="25.5" x14ac:dyDescent="0.2">
      <c r="A39" s="169"/>
      <c r="B39" s="182" t="s">
        <v>242</v>
      </c>
      <c r="C39" s="178">
        <v>0</v>
      </c>
      <c r="D39" s="169"/>
      <c r="E39" s="169"/>
      <c r="F39" s="169"/>
      <c r="G39" s="182" t="s">
        <v>278</v>
      </c>
    </row>
    <row r="40" spans="1:7" s="151" customFormat="1" ht="25.5" x14ac:dyDescent="0.2">
      <c r="A40" s="169"/>
      <c r="B40" s="182" t="s">
        <v>242</v>
      </c>
      <c r="C40" s="187">
        <v>0</v>
      </c>
      <c r="D40" s="169"/>
      <c r="E40" s="169"/>
      <c r="F40" s="169"/>
      <c r="G40" s="182" t="s">
        <v>279</v>
      </c>
    </row>
    <row r="41" spans="1:7" s="151" customFormat="1" ht="12.75" x14ac:dyDescent="0.2">
      <c r="A41" s="169"/>
      <c r="B41" s="169"/>
      <c r="C41" s="169"/>
      <c r="D41" s="169"/>
      <c r="E41" s="169"/>
      <c r="F41" s="169"/>
      <c r="G41" s="169"/>
    </row>
    <row r="42" spans="1:7" s="151" customFormat="1" ht="12.75" x14ac:dyDescent="0.2">
      <c r="A42" s="169"/>
      <c r="B42" s="169"/>
      <c r="C42" s="169"/>
      <c r="D42" s="169"/>
      <c r="E42" s="169"/>
      <c r="F42" s="169"/>
      <c r="G42" s="169"/>
    </row>
    <row r="43" spans="1:7" s="190" customFormat="1" ht="15.75" x14ac:dyDescent="0.25">
      <c r="A43" s="188" t="s">
        <v>249</v>
      </c>
      <c r="B43" s="189"/>
      <c r="C43" s="189"/>
      <c r="D43" s="189"/>
      <c r="E43" s="189"/>
      <c r="F43" s="189"/>
      <c r="G43" s="189"/>
    </row>
    <row r="44" spans="1:7" s="191" customFormat="1" ht="36" customHeight="1" x14ac:dyDescent="0.25">
      <c r="A44" s="334" t="s">
        <v>280</v>
      </c>
      <c r="B44" s="334"/>
      <c r="C44" s="334"/>
      <c r="D44" s="334"/>
      <c r="E44" s="334"/>
      <c r="F44" s="334"/>
      <c r="G44" s="334"/>
    </row>
    <row r="45" spans="1:7" s="191" customFormat="1" ht="12.75" x14ac:dyDescent="0.25">
      <c r="A45" s="334"/>
      <c r="B45" s="334"/>
      <c r="C45" s="334"/>
      <c r="D45" s="334"/>
      <c r="E45" s="334"/>
      <c r="F45" s="334"/>
      <c r="G45" s="334"/>
    </row>
    <row r="46" spans="1:7" s="191" customFormat="1" ht="12.75" x14ac:dyDescent="0.25">
      <c r="A46" s="334"/>
      <c r="B46" s="334"/>
      <c r="C46" s="334"/>
      <c r="D46" s="334"/>
      <c r="E46" s="334"/>
      <c r="F46" s="334"/>
      <c r="G46" s="334"/>
    </row>
    <row r="47" spans="1:7" s="191" customFormat="1" ht="12.75" x14ac:dyDescent="0.25">
      <c r="A47" s="334"/>
      <c r="B47" s="334"/>
      <c r="C47" s="334"/>
      <c r="D47" s="334"/>
      <c r="E47" s="334"/>
      <c r="F47" s="334"/>
      <c r="G47" s="334"/>
    </row>
    <row r="48" spans="1:7" s="192" customFormat="1" ht="12.75" x14ac:dyDescent="0.25">
      <c r="A48" s="332"/>
      <c r="B48" s="332"/>
      <c r="C48" s="332"/>
      <c r="D48" s="332"/>
      <c r="E48" s="332"/>
      <c r="F48" s="332"/>
      <c r="G48" s="332"/>
    </row>
    <row r="49" spans="1:7" s="192" customFormat="1" ht="12.75" x14ac:dyDescent="0.25">
      <c r="A49" s="332"/>
      <c r="B49" s="332"/>
      <c r="C49" s="332"/>
      <c r="D49" s="332"/>
      <c r="E49" s="332"/>
      <c r="F49" s="332"/>
      <c r="G49" s="332"/>
    </row>
  </sheetData>
  <mergeCells count="14">
    <mergeCell ref="A48:G48"/>
    <mergeCell ref="A49:G49"/>
    <mergeCell ref="A28:G28"/>
    <mergeCell ref="A37:G37"/>
    <mergeCell ref="A44:G44"/>
    <mergeCell ref="A45:G45"/>
    <mergeCell ref="A46:G46"/>
    <mergeCell ref="A47:G47"/>
    <mergeCell ref="E9:F9"/>
    <mergeCell ref="A1:G1"/>
    <mergeCell ref="A2:G2"/>
    <mergeCell ref="A3:G3"/>
    <mergeCell ref="A5:G5"/>
    <mergeCell ref="A6:G6"/>
  </mergeCells>
  <pageMargins left="0.7" right="0.7" top="0.75" bottom="0.75" header="0.3" footer="0.3"/>
  <pageSetup scale="67"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topLeftCell="A4" workbookViewId="0">
      <selection activeCell="D35" sqref="D35"/>
    </sheetView>
  </sheetViews>
  <sheetFormatPr defaultRowHeight="15" x14ac:dyDescent="0.25"/>
  <cols>
    <col min="1" max="1" width="12.7109375" style="146" customWidth="1"/>
    <col min="2" max="2" width="36" style="146" customWidth="1"/>
    <col min="3" max="3" width="29.140625" style="146" customWidth="1"/>
    <col min="4" max="4" width="10" style="146" customWidth="1"/>
    <col min="5" max="5" width="9.28515625" style="146" customWidth="1"/>
    <col min="6" max="6" width="9.140625" style="146" customWidth="1"/>
    <col min="7" max="7" width="27.42578125" style="146" customWidth="1"/>
    <col min="8" max="16384" width="9.140625" style="146"/>
  </cols>
  <sheetData>
    <row r="1" spans="1:7" ht="18.75" x14ac:dyDescent="0.3">
      <c r="A1" s="325" t="s">
        <v>149</v>
      </c>
      <c r="B1" s="325"/>
      <c r="C1" s="325"/>
      <c r="D1" s="325"/>
      <c r="E1" s="325"/>
      <c r="F1" s="325"/>
      <c r="G1" s="325"/>
    </row>
    <row r="2" spans="1:7" ht="18.75" x14ac:dyDescent="0.3">
      <c r="A2" s="325" t="s">
        <v>150</v>
      </c>
      <c r="B2" s="325"/>
      <c r="C2" s="325"/>
      <c r="D2" s="325"/>
      <c r="E2" s="325"/>
      <c r="F2" s="325"/>
      <c r="G2" s="325"/>
    </row>
    <row r="3" spans="1:7" ht="18.75" x14ac:dyDescent="0.3">
      <c r="A3" s="325" t="s">
        <v>151</v>
      </c>
      <c r="B3" s="325"/>
      <c r="C3" s="325"/>
      <c r="D3" s="325"/>
      <c r="E3" s="325"/>
      <c r="F3" s="325"/>
      <c r="G3" s="325"/>
    </row>
    <row r="5" spans="1:7" s="150" customFormat="1" ht="15.75" x14ac:dyDescent="0.25">
      <c r="A5" s="330" t="s">
        <v>250</v>
      </c>
      <c r="B5" s="330"/>
      <c r="C5" s="330"/>
      <c r="D5" s="330"/>
      <c r="E5" s="330"/>
      <c r="F5" s="330"/>
      <c r="G5" s="330"/>
    </row>
    <row r="6" spans="1:7" s="151" customFormat="1" ht="12.75" x14ac:dyDescent="0.2">
      <c r="A6" s="336" t="s">
        <v>251</v>
      </c>
      <c r="B6" s="336"/>
      <c r="C6" s="336"/>
      <c r="D6" s="336"/>
      <c r="E6" s="336"/>
      <c r="F6" s="336"/>
      <c r="G6" s="336"/>
    </row>
    <row r="7" spans="1:7" s="151" customFormat="1" ht="12.75" x14ac:dyDescent="0.2">
      <c r="A7" s="193" t="s">
        <v>154</v>
      </c>
      <c r="B7" s="193"/>
      <c r="C7" s="193"/>
      <c r="D7" s="193"/>
      <c r="E7" s="193"/>
      <c r="F7" s="193"/>
      <c r="G7" s="193"/>
    </row>
    <row r="8" spans="1:7" s="151" customFormat="1" ht="12.75" x14ac:dyDescent="0.2">
      <c r="A8" s="193" t="s">
        <v>156</v>
      </c>
      <c r="B8" s="193"/>
      <c r="C8" s="193"/>
      <c r="D8" s="193"/>
      <c r="E8" s="193"/>
      <c r="F8" s="193"/>
      <c r="G8" s="193"/>
    </row>
    <row r="9" spans="1:7" s="151" customFormat="1" ht="12.75" x14ac:dyDescent="0.2">
      <c r="A9" s="193"/>
      <c r="B9" s="193"/>
      <c r="C9" s="193"/>
      <c r="D9" s="193"/>
      <c r="E9" s="337" t="s">
        <v>158</v>
      </c>
      <c r="F9" s="337"/>
      <c r="G9" s="193"/>
    </row>
    <row r="10" spans="1:7" s="151" customFormat="1" ht="12.75" x14ac:dyDescent="0.2">
      <c r="A10" s="194"/>
      <c r="B10" s="195" t="s">
        <v>159</v>
      </c>
      <c r="C10" s="195" t="s">
        <v>160</v>
      </c>
      <c r="D10" s="195" t="s">
        <v>161</v>
      </c>
      <c r="E10" s="195" t="s">
        <v>162</v>
      </c>
      <c r="F10" s="196" t="s">
        <v>163</v>
      </c>
      <c r="G10" s="195" t="s">
        <v>164</v>
      </c>
    </row>
    <row r="11" spans="1:7" s="151" customFormat="1" ht="12.75" x14ac:dyDescent="0.2">
      <c r="A11" s="194"/>
      <c r="B11" s="197" t="s">
        <v>254</v>
      </c>
      <c r="C11" s="197" t="s">
        <v>207</v>
      </c>
      <c r="D11" s="198">
        <v>0</v>
      </c>
      <c r="E11" s="199">
        <v>0</v>
      </c>
      <c r="F11" s="200">
        <v>0</v>
      </c>
      <c r="G11" s="194"/>
    </row>
    <row r="12" spans="1:7" s="151" customFormat="1" ht="12.75" x14ac:dyDescent="0.2">
      <c r="A12" s="194"/>
      <c r="B12" s="194" t="s">
        <v>260</v>
      </c>
      <c r="C12" s="194"/>
      <c r="D12" s="198">
        <v>0</v>
      </c>
      <c r="E12" s="199">
        <v>0</v>
      </c>
      <c r="F12" s="200">
        <v>0</v>
      </c>
      <c r="G12" s="194"/>
    </row>
    <row r="13" spans="1:7" s="151" customFormat="1" ht="12.75" x14ac:dyDescent="0.2">
      <c r="A13" s="194"/>
      <c r="B13" s="194" t="s">
        <v>281</v>
      </c>
      <c r="C13" s="194" t="s">
        <v>262</v>
      </c>
      <c r="D13" s="198">
        <v>0</v>
      </c>
      <c r="E13" s="199">
        <v>0</v>
      </c>
      <c r="F13" s="200">
        <v>0</v>
      </c>
      <c r="G13" s="194"/>
    </row>
    <row r="14" spans="1:7" s="151" customFormat="1" ht="12.75" x14ac:dyDescent="0.2">
      <c r="A14" s="194"/>
      <c r="B14" s="194" t="s">
        <v>167</v>
      </c>
      <c r="C14" s="194"/>
      <c r="D14" s="198">
        <v>0</v>
      </c>
      <c r="E14" s="199">
        <v>0</v>
      </c>
      <c r="F14" s="200">
        <v>0</v>
      </c>
      <c r="G14" s="194"/>
    </row>
    <row r="15" spans="1:7" s="151" customFormat="1" ht="64.5" customHeight="1" x14ac:dyDescent="0.2">
      <c r="A15" s="194"/>
      <c r="B15" s="201" t="s">
        <v>267</v>
      </c>
      <c r="C15" s="201" t="s">
        <v>268</v>
      </c>
      <c r="D15" s="198">
        <v>0</v>
      </c>
      <c r="E15" s="199">
        <v>0</v>
      </c>
      <c r="F15" s="200">
        <v>0</v>
      </c>
      <c r="G15" s="194"/>
    </row>
    <row r="16" spans="1:7" s="151" customFormat="1" ht="25.5" x14ac:dyDescent="0.2">
      <c r="A16" s="194"/>
      <c r="B16" s="202" t="s">
        <v>186</v>
      </c>
      <c r="C16" s="194"/>
      <c r="D16" s="198">
        <v>0</v>
      </c>
      <c r="E16" s="199">
        <v>0</v>
      </c>
      <c r="F16" s="200">
        <v>0</v>
      </c>
      <c r="G16" s="194"/>
    </row>
    <row r="17" spans="1:7" s="151" customFormat="1" ht="25.5" x14ac:dyDescent="0.2">
      <c r="A17" s="194"/>
      <c r="B17" s="202" t="s">
        <v>188</v>
      </c>
      <c r="C17" s="194"/>
      <c r="D17" s="198">
        <v>0</v>
      </c>
      <c r="E17" s="199">
        <v>0</v>
      </c>
      <c r="F17" s="200">
        <v>0</v>
      </c>
      <c r="G17" s="194"/>
    </row>
    <row r="18" spans="1:7" s="151" customFormat="1" ht="12.75" x14ac:dyDescent="0.2">
      <c r="A18" s="169"/>
      <c r="B18" s="169"/>
      <c r="C18" s="169"/>
      <c r="D18" s="184"/>
      <c r="E18" s="183"/>
      <c r="F18" s="178"/>
      <c r="G18" s="169"/>
    </row>
    <row r="19" spans="1:7" s="151" customFormat="1" ht="12.75" x14ac:dyDescent="0.2">
      <c r="A19" s="169"/>
      <c r="B19" s="169"/>
      <c r="C19" s="169"/>
      <c r="D19" s="184"/>
      <c r="E19" s="183"/>
      <c r="F19" s="178"/>
      <c r="G19" s="169"/>
    </row>
    <row r="20" spans="1:7" s="150" customFormat="1" ht="15.75" x14ac:dyDescent="0.25">
      <c r="A20" s="147" t="s">
        <v>152</v>
      </c>
      <c r="B20" s="148"/>
      <c r="C20" s="148"/>
      <c r="D20" s="148"/>
      <c r="E20" s="148"/>
      <c r="F20" s="148"/>
      <c r="G20" s="148"/>
    </row>
    <row r="21" spans="1:7" s="151" customFormat="1" ht="12.75" x14ac:dyDescent="0.2">
      <c r="A21" s="333" t="s">
        <v>153</v>
      </c>
      <c r="B21" s="333"/>
      <c r="C21" s="333"/>
      <c r="D21" s="333"/>
      <c r="E21" s="333"/>
      <c r="F21" s="333"/>
      <c r="G21" s="333"/>
    </row>
    <row r="22" spans="1:7" s="151" customFormat="1" ht="12.75" x14ac:dyDescent="0.2">
      <c r="A22" s="169" t="s">
        <v>154</v>
      </c>
      <c r="B22" s="169" t="s">
        <v>282</v>
      </c>
      <c r="C22" s="169"/>
      <c r="D22" s="169"/>
      <c r="E22" s="169"/>
      <c r="F22" s="169"/>
      <c r="G22" s="169"/>
    </row>
    <row r="23" spans="1:7" s="151" customFormat="1" ht="12.75" x14ac:dyDescent="0.2">
      <c r="A23" s="169" t="s">
        <v>156</v>
      </c>
      <c r="B23" s="169" t="s">
        <v>283</v>
      </c>
      <c r="C23" s="169"/>
      <c r="D23" s="169"/>
      <c r="E23" s="169"/>
      <c r="F23" s="169"/>
      <c r="G23" s="169"/>
    </row>
    <row r="24" spans="1:7" s="151" customFormat="1" ht="12.75" x14ac:dyDescent="0.2">
      <c r="A24" s="169"/>
      <c r="B24" s="169"/>
      <c r="C24" s="169"/>
      <c r="D24" s="169"/>
      <c r="E24" s="338" t="s">
        <v>158</v>
      </c>
      <c r="F24" s="338"/>
      <c r="G24" s="169"/>
    </row>
    <row r="25" spans="1:7" s="151" customFormat="1" ht="12.75" x14ac:dyDescent="0.2">
      <c r="A25" s="169"/>
      <c r="B25" s="173" t="s">
        <v>159</v>
      </c>
      <c r="C25" s="173" t="s">
        <v>160</v>
      </c>
      <c r="D25" s="173" t="s">
        <v>161</v>
      </c>
      <c r="E25" s="173" t="s">
        <v>162</v>
      </c>
      <c r="F25" s="174" t="s">
        <v>163</v>
      </c>
      <c r="G25" s="173" t="s">
        <v>164</v>
      </c>
    </row>
    <row r="26" spans="1:7" s="151" customFormat="1" ht="12.75" x14ac:dyDescent="0.2">
      <c r="A26" s="169"/>
      <c r="B26" s="175" t="s">
        <v>165</v>
      </c>
      <c r="C26" s="175" t="s">
        <v>166</v>
      </c>
      <c r="D26" s="184">
        <v>31225</v>
      </c>
      <c r="E26" s="183" t="s">
        <v>284</v>
      </c>
      <c r="F26" s="178">
        <v>0.1</v>
      </c>
      <c r="G26" s="169"/>
    </row>
    <row r="27" spans="1:7" s="151" customFormat="1" ht="12.75" x14ac:dyDescent="0.2">
      <c r="A27" s="169"/>
      <c r="B27" s="175" t="s">
        <v>285</v>
      </c>
      <c r="C27" s="175" t="s">
        <v>286</v>
      </c>
      <c r="D27" s="184">
        <v>9010</v>
      </c>
      <c r="E27" s="183" t="s">
        <v>284</v>
      </c>
      <c r="F27" s="178">
        <v>0</v>
      </c>
      <c r="G27" s="169"/>
    </row>
    <row r="28" spans="1:7" s="151" customFormat="1" ht="12.75" x14ac:dyDescent="0.2">
      <c r="A28" s="169"/>
      <c r="B28" s="169" t="s">
        <v>167</v>
      </c>
      <c r="C28" s="169"/>
      <c r="D28" s="184">
        <v>0</v>
      </c>
      <c r="E28" s="183">
        <v>0</v>
      </c>
      <c r="F28" s="178">
        <v>0</v>
      </c>
      <c r="G28" s="169" t="s">
        <v>266</v>
      </c>
    </row>
    <row r="29" spans="1:7" s="151" customFormat="1" ht="12.75" x14ac:dyDescent="0.2">
      <c r="A29" s="169"/>
      <c r="B29" s="169" t="s">
        <v>169</v>
      </c>
      <c r="C29" s="169"/>
      <c r="D29" s="184">
        <v>0</v>
      </c>
      <c r="E29" s="183">
        <v>0</v>
      </c>
      <c r="F29" s="178">
        <v>0</v>
      </c>
      <c r="G29" s="169" t="s">
        <v>287</v>
      </c>
    </row>
    <row r="30" spans="1:7" s="151" customFormat="1" ht="38.25" x14ac:dyDescent="0.2">
      <c r="A30" s="169"/>
      <c r="B30" s="182" t="s">
        <v>172</v>
      </c>
      <c r="C30" s="169"/>
      <c r="D30" s="184">
        <v>5670</v>
      </c>
      <c r="E30" s="183">
        <v>0</v>
      </c>
      <c r="F30" s="178">
        <v>0</v>
      </c>
      <c r="G30" s="169" t="s">
        <v>288</v>
      </c>
    </row>
    <row r="31" spans="1:7" s="151" customFormat="1" ht="25.5" x14ac:dyDescent="0.2">
      <c r="A31" s="169"/>
      <c r="B31" s="182" t="s">
        <v>173</v>
      </c>
      <c r="C31" s="169"/>
      <c r="D31" s="184">
        <v>2200</v>
      </c>
      <c r="E31" s="183">
        <v>0</v>
      </c>
      <c r="F31" s="178">
        <v>0</v>
      </c>
      <c r="G31" s="169" t="s">
        <v>289</v>
      </c>
    </row>
    <row r="32" spans="1:7" s="151" customFormat="1" ht="25.5" x14ac:dyDescent="0.2">
      <c r="A32" s="169"/>
      <c r="B32" s="182" t="s">
        <v>174</v>
      </c>
      <c r="C32" s="169" t="s">
        <v>175</v>
      </c>
      <c r="D32" s="184">
        <v>2200</v>
      </c>
      <c r="E32" s="183">
        <v>0</v>
      </c>
      <c r="F32" s="178">
        <v>0</v>
      </c>
      <c r="G32" s="169" t="s">
        <v>290</v>
      </c>
    </row>
    <row r="33" spans="1:8" s="151" customFormat="1" ht="12.75" x14ac:dyDescent="0.2">
      <c r="A33" s="169"/>
      <c r="B33" s="169" t="s">
        <v>176</v>
      </c>
      <c r="C33" s="169"/>
      <c r="D33" s="184">
        <v>150</v>
      </c>
      <c r="E33" s="183">
        <v>0</v>
      </c>
      <c r="F33" s="178">
        <v>0</v>
      </c>
      <c r="G33" s="169"/>
    </row>
    <row r="34" spans="1:8" s="151" customFormat="1" ht="12.75" x14ac:dyDescent="0.2">
      <c r="A34" s="169"/>
      <c r="B34" s="169" t="s">
        <v>178</v>
      </c>
      <c r="C34" s="169" t="s">
        <v>179</v>
      </c>
      <c r="D34" s="184">
        <v>850</v>
      </c>
      <c r="E34" s="183">
        <v>0</v>
      </c>
      <c r="F34" s="178">
        <v>0</v>
      </c>
      <c r="G34" s="169"/>
    </row>
    <row r="35" spans="1:8" s="151" customFormat="1" ht="63.75" x14ac:dyDescent="0.2">
      <c r="A35" s="169"/>
      <c r="B35" s="169" t="s">
        <v>181</v>
      </c>
      <c r="C35" s="182" t="s">
        <v>182</v>
      </c>
      <c r="D35" s="184">
        <v>4025</v>
      </c>
      <c r="E35" s="183">
        <v>0</v>
      </c>
      <c r="F35" s="178">
        <v>0</v>
      </c>
      <c r="G35" s="169"/>
    </row>
    <row r="36" spans="1:8" s="151" customFormat="1" ht="12.75" x14ac:dyDescent="0.2">
      <c r="A36" s="169"/>
      <c r="B36" s="203" t="s">
        <v>184</v>
      </c>
      <c r="C36" s="169"/>
      <c r="D36" s="184">
        <v>0</v>
      </c>
      <c r="E36" s="183">
        <v>0</v>
      </c>
      <c r="F36" s="178">
        <v>0</v>
      </c>
      <c r="G36" s="169" t="s">
        <v>266</v>
      </c>
    </row>
    <row r="37" spans="1:8" s="151" customFormat="1" ht="25.5" x14ac:dyDescent="0.2">
      <c r="A37" s="169"/>
      <c r="B37" s="204" t="s">
        <v>291</v>
      </c>
      <c r="C37" s="169"/>
      <c r="D37" s="184">
        <v>0</v>
      </c>
      <c r="E37" s="183">
        <v>0</v>
      </c>
      <c r="F37" s="178">
        <v>0</v>
      </c>
      <c r="G37" s="169" t="s">
        <v>292</v>
      </c>
    </row>
    <row r="38" spans="1:8" s="151" customFormat="1" ht="25.5" x14ac:dyDescent="0.2">
      <c r="A38" s="169"/>
      <c r="B38" s="204" t="s">
        <v>293</v>
      </c>
      <c r="C38" s="169"/>
      <c r="D38" s="184">
        <v>0</v>
      </c>
      <c r="E38" s="183">
        <v>0</v>
      </c>
      <c r="F38" s="178">
        <v>0</v>
      </c>
      <c r="G38" s="169" t="s">
        <v>292</v>
      </c>
    </row>
    <row r="39" spans="1:8" s="151" customFormat="1" ht="25.5" x14ac:dyDescent="0.2">
      <c r="A39" s="169"/>
      <c r="B39" s="204" t="s">
        <v>294</v>
      </c>
      <c r="C39" s="169"/>
      <c r="D39" s="184">
        <v>7000</v>
      </c>
      <c r="E39" s="183">
        <v>0</v>
      </c>
      <c r="F39" s="178">
        <v>0</v>
      </c>
      <c r="G39" s="169" t="s">
        <v>295</v>
      </c>
    </row>
    <row r="40" spans="1:8" s="151" customFormat="1" ht="38.25" customHeight="1" x14ac:dyDescent="0.2">
      <c r="A40" s="169"/>
      <c r="B40" s="181" t="s">
        <v>186</v>
      </c>
      <c r="C40" s="169"/>
      <c r="D40" s="184">
        <v>0</v>
      </c>
      <c r="E40" s="183">
        <v>0</v>
      </c>
      <c r="F40" s="178">
        <v>0</v>
      </c>
      <c r="G40" s="335" t="s">
        <v>296</v>
      </c>
      <c r="H40" s="335"/>
    </row>
    <row r="41" spans="1:8" s="151" customFormat="1" ht="25.5" x14ac:dyDescent="0.2">
      <c r="A41" s="169"/>
      <c r="B41" s="182" t="s">
        <v>188</v>
      </c>
      <c r="C41" s="169"/>
      <c r="D41" s="184">
        <v>0</v>
      </c>
      <c r="E41" s="183">
        <v>0</v>
      </c>
      <c r="F41" s="178">
        <v>0</v>
      </c>
      <c r="G41" s="169" t="s">
        <v>266</v>
      </c>
    </row>
    <row r="42" spans="1:8" s="151" customFormat="1" ht="12.75" x14ac:dyDescent="0.2">
      <c r="A42" s="169"/>
      <c r="B42" s="169"/>
      <c r="C42" s="169"/>
      <c r="D42" s="184"/>
      <c r="E42" s="183"/>
      <c r="F42" s="178"/>
      <c r="G42" s="169"/>
    </row>
    <row r="43" spans="1:8" s="151" customFormat="1" ht="12.75" x14ac:dyDescent="0.2">
      <c r="A43" s="169"/>
      <c r="B43" s="169"/>
      <c r="C43" s="169"/>
      <c r="D43" s="169"/>
      <c r="E43" s="169"/>
      <c r="F43" s="169"/>
      <c r="G43" s="169"/>
    </row>
    <row r="44" spans="1:8" s="150" customFormat="1" ht="15.75" x14ac:dyDescent="0.25">
      <c r="A44" s="147" t="s">
        <v>202</v>
      </c>
      <c r="B44" s="148"/>
      <c r="C44" s="148"/>
      <c r="D44" s="148"/>
      <c r="E44" s="148"/>
      <c r="F44" s="148"/>
      <c r="G44" s="148"/>
    </row>
    <row r="45" spans="1:8" s="151" customFormat="1" ht="12.75" x14ac:dyDescent="0.2">
      <c r="A45" s="333" t="s">
        <v>203</v>
      </c>
      <c r="B45" s="333"/>
      <c r="C45" s="333"/>
      <c r="D45" s="333"/>
      <c r="E45" s="333"/>
      <c r="F45" s="333"/>
      <c r="G45" s="333"/>
    </row>
    <row r="46" spans="1:8" s="151" customFormat="1" ht="12.75" x14ac:dyDescent="0.2">
      <c r="A46" s="169" t="s">
        <v>154</v>
      </c>
      <c r="B46" s="169" t="s">
        <v>282</v>
      </c>
      <c r="C46" s="169"/>
      <c r="D46" s="169"/>
      <c r="E46" s="169"/>
      <c r="F46" s="169"/>
      <c r="G46" s="169"/>
    </row>
    <row r="47" spans="1:8" s="151" customFormat="1" ht="12.75" x14ac:dyDescent="0.2">
      <c r="A47" s="169" t="s">
        <v>156</v>
      </c>
      <c r="B47" s="169" t="s">
        <v>283</v>
      </c>
      <c r="C47" s="169"/>
      <c r="D47" s="169"/>
      <c r="E47" s="169"/>
      <c r="F47" s="169"/>
      <c r="G47" s="169"/>
    </row>
    <row r="48" spans="1:8" s="151" customFormat="1" ht="12.75" x14ac:dyDescent="0.2">
      <c r="A48" s="169"/>
      <c r="B48" s="169"/>
      <c r="C48" s="169"/>
      <c r="D48" s="169"/>
      <c r="E48" s="338" t="s">
        <v>158</v>
      </c>
      <c r="F48" s="338"/>
      <c r="G48" s="169"/>
    </row>
    <row r="49" spans="1:8" s="151" customFormat="1" ht="12.75" x14ac:dyDescent="0.2">
      <c r="A49" s="169"/>
      <c r="B49" s="173" t="s">
        <v>159</v>
      </c>
      <c r="C49" s="173" t="s">
        <v>160</v>
      </c>
      <c r="D49" s="173" t="s">
        <v>161</v>
      </c>
      <c r="E49" s="173" t="s">
        <v>162</v>
      </c>
      <c r="F49" s="174" t="s">
        <v>163</v>
      </c>
      <c r="G49" s="173" t="s">
        <v>164</v>
      </c>
    </row>
    <row r="50" spans="1:8" s="151" customFormat="1" ht="12.75" x14ac:dyDescent="0.2">
      <c r="A50" s="169"/>
      <c r="B50" s="175" t="s">
        <v>165</v>
      </c>
      <c r="C50" s="175" t="s">
        <v>166</v>
      </c>
      <c r="D50" s="184">
        <v>31225</v>
      </c>
      <c r="E50" s="183" t="s">
        <v>284</v>
      </c>
      <c r="F50" s="178">
        <v>0.1</v>
      </c>
      <c r="G50" s="169"/>
    </row>
    <row r="51" spans="1:8" s="151" customFormat="1" ht="12.75" x14ac:dyDescent="0.2">
      <c r="A51" s="169"/>
      <c r="B51" s="175" t="s">
        <v>285</v>
      </c>
      <c r="C51" s="175" t="s">
        <v>286</v>
      </c>
      <c r="D51" s="184">
        <v>9010</v>
      </c>
      <c r="E51" s="183" t="s">
        <v>284</v>
      </c>
      <c r="F51" s="178">
        <v>0</v>
      </c>
      <c r="G51" s="169"/>
    </row>
    <row r="52" spans="1:8" s="151" customFormat="1" ht="12.75" x14ac:dyDescent="0.2">
      <c r="A52" s="169"/>
      <c r="B52" s="169" t="s">
        <v>167</v>
      </c>
      <c r="C52" s="169"/>
      <c r="D52" s="184">
        <v>0</v>
      </c>
      <c r="E52" s="183">
        <v>0</v>
      </c>
      <c r="F52" s="178">
        <v>0</v>
      </c>
      <c r="G52" s="169" t="s">
        <v>266</v>
      </c>
    </row>
    <row r="53" spans="1:8" s="151" customFormat="1" ht="12.75" x14ac:dyDescent="0.2">
      <c r="A53" s="169"/>
      <c r="B53" s="169" t="s">
        <v>169</v>
      </c>
      <c r="C53" s="169"/>
      <c r="D53" s="184">
        <v>0</v>
      </c>
      <c r="E53" s="183">
        <v>0</v>
      </c>
      <c r="F53" s="178">
        <v>0</v>
      </c>
      <c r="G53" s="169" t="s">
        <v>287</v>
      </c>
    </row>
    <row r="54" spans="1:8" s="151" customFormat="1" ht="38.25" x14ac:dyDescent="0.2">
      <c r="A54" s="169"/>
      <c r="B54" s="182" t="s">
        <v>172</v>
      </c>
      <c r="C54" s="169"/>
      <c r="D54" s="184">
        <v>5670</v>
      </c>
      <c r="E54" s="183">
        <v>0</v>
      </c>
      <c r="F54" s="178">
        <v>0</v>
      </c>
      <c r="G54" s="169" t="s">
        <v>288</v>
      </c>
    </row>
    <row r="55" spans="1:8" s="151" customFormat="1" ht="40.5" customHeight="1" x14ac:dyDescent="0.2">
      <c r="A55" s="169"/>
      <c r="B55" s="182" t="s">
        <v>173</v>
      </c>
      <c r="C55" s="169"/>
      <c r="D55" s="184">
        <v>2200</v>
      </c>
      <c r="E55" s="183">
        <v>0</v>
      </c>
      <c r="F55" s="178">
        <v>0</v>
      </c>
      <c r="G55" s="169" t="s">
        <v>289</v>
      </c>
    </row>
    <row r="56" spans="1:8" s="151" customFormat="1" ht="25.5" x14ac:dyDescent="0.2">
      <c r="A56" s="169"/>
      <c r="B56" s="182" t="s">
        <v>174</v>
      </c>
      <c r="C56" s="169" t="s">
        <v>175</v>
      </c>
      <c r="D56" s="184">
        <v>2200</v>
      </c>
      <c r="E56" s="183">
        <v>0</v>
      </c>
      <c r="F56" s="178">
        <v>0</v>
      </c>
      <c r="G56" s="169" t="s">
        <v>290</v>
      </c>
    </row>
    <row r="57" spans="1:8" s="151" customFormat="1" ht="12.75" x14ac:dyDescent="0.2">
      <c r="A57" s="169"/>
      <c r="B57" s="169" t="s">
        <v>176</v>
      </c>
      <c r="C57" s="169"/>
      <c r="D57" s="184">
        <v>150</v>
      </c>
      <c r="E57" s="183">
        <v>0</v>
      </c>
      <c r="F57" s="178">
        <v>0</v>
      </c>
      <c r="G57" s="169"/>
    </row>
    <row r="58" spans="1:8" s="151" customFormat="1" ht="12.75" x14ac:dyDescent="0.2">
      <c r="A58" s="169"/>
      <c r="B58" s="169" t="s">
        <v>178</v>
      </c>
      <c r="C58" s="169" t="s">
        <v>179</v>
      </c>
      <c r="D58" s="184">
        <v>850</v>
      </c>
      <c r="E58" s="183">
        <v>0</v>
      </c>
      <c r="F58" s="178">
        <v>0</v>
      </c>
      <c r="G58" s="169"/>
    </row>
    <row r="59" spans="1:8" s="151" customFormat="1" ht="63.75" x14ac:dyDescent="0.2">
      <c r="A59" s="169"/>
      <c r="B59" s="169" t="s">
        <v>181</v>
      </c>
      <c r="C59" s="182" t="s">
        <v>182</v>
      </c>
      <c r="D59" s="184">
        <v>4025</v>
      </c>
      <c r="E59" s="183">
        <v>0</v>
      </c>
      <c r="F59" s="178">
        <v>0</v>
      </c>
      <c r="G59" s="169"/>
    </row>
    <row r="60" spans="1:8" s="151" customFormat="1" ht="12.75" x14ac:dyDescent="0.2">
      <c r="A60" s="169"/>
      <c r="B60" s="203" t="s">
        <v>184</v>
      </c>
      <c r="C60" s="169"/>
      <c r="D60" s="184">
        <v>0</v>
      </c>
      <c r="E60" s="183">
        <v>0</v>
      </c>
      <c r="F60" s="178">
        <v>0</v>
      </c>
      <c r="G60" s="169" t="s">
        <v>266</v>
      </c>
    </row>
    <row r="61" spans="1:8" s="151" customFormat="1" ht="25.5" x14ac:dyDescent="0.2">
      <c r="A61" s="169"/>
      <c r="B61" s="204" t="s">
        <v>291</v>
      </c>
      <c r="C61" s="169"/>
      <c r="D61" s="184">
        <v>0</v>
      </c>
      <c r="E61" s="183">
        <v>0</v>
      </c>
      <c r="F61" s="178">
        <v>0</v>
      </c>
      <c r="G61" s="169" t="s">
        <v>292</v>
      </c>
    </row>
    <row r="62" spans="1:8" s="151" customFormat="1" ht="25.5" x14ac:dyDescent="0.2">
      <c r="A62" s="169"/>
      <c r="B62" s="204" t="s">
        <v>293</v>
      </c>
      <c r="C62" s="169"/>
      <c r="D62" s="184">
        <v>0</v>
      </c>
      <c r="E62" s="183">
        <v>0</v>
      </c>
      <c r="F62" s="178">
        <v>0</v>
      </c>
      <c r="G62" s="169" t="s">
        <v>292</v>
      </c>
    </row>
    <row r="63" spans="1:8" s="151" customFormat="1" ht="25.5" x14ac:dyDescent="0.2">
      <c r="A63" s="169"/>
      <c r="B63" s="204" t="s">
        <v>294</v>
      </c>
      <c r="C63" s="169"/>
      <c r="D63" s="184">
        <v>7000</v>
      </c>
      <c r="E63" s="183">
        <v>0</v>
      </c>
      <c r="F63" s="178">
        <v>0</v>
      </c>
      <c r="G63" s="169" t="s">
        <v>295</v>
      </c>
    </row>
    <row r="64" spans="1:8" s="151" customFormat="1" ht="25.5" x14ac:dyDescent="0.2">
      <c r="A64" s="169"/>
      <c r="B64" s="181" t="s">
        <v>186</v>
      </c>
      <c r="C64" s="169"/>
      <c r="D64" s="184">
        <v>0</v>
      </c>
      <c r="E64" s="183">
        <v>0</v>
      </c>
      <c r="F64" s="178">
        <v>0</v>
      </c>
      <c r="G64" s="335" t="s">
        <v>296</v>
      </c>
      <c r="H64" s="335"/>
    </row>
    <row r="65" spans="1:7" s="151" customFormat="1" ht="25.5" x14ac:dyDescent="0.2">
      <c r="A65" s="169"/>
      <c r="B65" s="182" t="s">
        <v>188</v>
      </c>
      <c r="C65" s="169"/>
      <c r="D65" s="184">
        <v>0</v>
      </c>
      <c r="E65" s="183">
        <v>0</v>
      </c>
      <c r="F65" s="178">
        <v>0</v>
      </c>
      <c r="G65" s="169" t="s">
        <v>266</v>
      </c>
    </row>
    <row r="66" spans="1:7" s="151" customFormat="1" ht="12.75" x14ac:dyDescent="0.2">
      <c r="A66" s="169"/>
      <c r="B66" s="182"/>
      <c r="C66" s="169"/>
      <c r="D66" s="184"/>
      <c r="E66" s="183"/>
      <c r="F66" s="178"/>
      <c r="G66" s="169"/>
    </row>
    <row r="67" spans="1:7" s="151" customFormat="1" ht="25.5" customHeight="1" x14ac:dyDescent="0.2">
      <c r="A67" s="169"/>
      <c r="B67" s="169"/>
      <c r="C67" s="169"/>
      <c r="D67" s="184"/>
      <c r="E67" s="183"/>
      <c r="F67" s="178"/>
      <c r="G67" s="169"/>
    </row>
    <row r="68" spans="1:7" s="150" customFormat="1" ht="15.75" x14ac:dyDescent="0.25">
      <c r="A68" s="147" t="s">
        <v>232</v>
      </c>
      <c r="B68" s="148"/>
      <c r="C68" s="148"/>
      <c r="D68" s="148"/>
      <c r="E68" s="148"/>
      <c r="F68" s="148"/>
      <c r="G68" s="148"/>
    </row>
    <row r="69" spans="1:7" s="151" customFormat="1" ht="12.75" x14ac:dyDescent="0.2">
      <c r="A69" s="333" t="s">
        <v>233</v>
      </c>
      <c r="B69" s="333"/>
      <c r="C69" s="333"/>
      <c r="D69" s="333"/>
      <c r="E69" s="333"/>
      <c r="F69" s="333"/>
      <c r="G69" s="333"/>
    </row>
    <row r="70" spans="1:7" s="151" customFormat="1" ht="12.75" x14ac:dyDescent="0.2">
      <c r="A70" s="169"/>
      <c r="B70" s="173" t="s">
        <v>159</v>
      </c>
      <c r="C70" s="173" t="s">
        <v>234</v>
      </c>
      <c r="D70" s="173"/>
      <c r="E70" s="173"/>
      <c r="F70" s="173"/>
      <c r="G70" s="173" t="s">
        <v>164</v>
      </c>
    </row>
    <row r="71" spans="1:7" s="151" customFormat="1" ht="12.75" x14ac:dyDescent="0.2">
      <c r="A71" s="169"/>
      <c r="B71" s="169" t="s">
        <v>297</v>
      </c>
      <c r="C71" s="184">
        <v>1500</v>
      </c>
      <c r="D71" s="169"/>
      <c r="E71" s="169" t="s">
        <v>298</v>
      </c>
      <c r="F71" s="169"/>
      <c r="G71" s="169" t="s">
        <v>299</v>
      </c>
    </row>
    <row r="72" spans="1:7" s="151" customFormat="1" ht="12.75" x14ac:dyDescent="0.2">
      <c r="A72" s="169"/>
      <c r="B72" s="169" t="s">
        <v>300</v>
      </c>
      <c r="C72" s="184">
        <v>2000</v>
      </c>
      <c r="D72" s="169"/>
      <c r="E72" s="169" t="s">
        <v>301</v>
      </c>
      <c r="F72" s="169"/>
      <c r="G72" s="169" t="s">
        <v>299</v>
      </c>
    </row>
    <row r="73" spans="1:7" s="151" customFormat="1" ht="51" x14ac:dyDescent="0.2">
      <c r="A73" s="169"/>
      <c r="B73" s="169" t="s">
        <v>302</v>
      </c>
      <c r="C73" s="184">
        <v>0</v>
      </c>
      <c r="D73" s="169"/>
      <c r="E73" s="181" t="s">
        <v>239</v>
      </c>
      <c r="F73" s="184">
        <v>0</v>
      </c>
      <c r="G73" s="182" t="s">
        <v>303</v>
      </c>
    </row>
    <row r="74" spans="1:7" s="151" customFormat="1" ht="12.75" x14ac:dyDescent="0.2">
      <c r="A74" s="169"/>
      <c r="B74" s="169"/>
      <c r="C74" s="169"/>
      <c r="D74" s="169"/>
      <c r="E74" s="169"/>
      <c r="F74" s="169"/>
      <c r="G74" s="169"/>
    </row>
    <row r="75" spans="1:7" s="150" customFormat="1" ht="15.75" x14ac:dyDescent="0.25">
      <c r="A75" s="147" t="s">
        <v>240</v>
      </c>
      <c r="B75" s="148"/>
      <c r="C75" s="148"/>
      <c r="D75" s="148"/>
      <c r="E75" s="148"/>
      <c r="F75" s="148"/>
      <c r="G75" s="148"/>
    </row>
    <row r="76" spans="1:7" s="151" customFormat="1" ht="12.75" x14ac:dyDescent="0.2">
      <c r="A76" s="333" t="s">
        <v>241</v>
      </c>
      <c r="B76" s="333"/>
      <c r="C76" s="333"/>
      <c r="D76" s="333"/>
      <c r="E76" s="333"/>
      <c r="F76" s="333"/>
      <c r="G76" s="333"/>
    </row>
    <row r="77" spans="1:7" s="151" customFormat="1" ht="12.75" x14ac:dyDescent="0.2">
      <c r="A77" s="169"/>
      <c r="B77" s="173" t="s">
        <v>159</v>
      </c>
      <c r="C77" s="173" t="s">
        <v>163</v>
      </c>
      <c r="D77" s="173"/>
      <c r="E77" s="173"/>
      <c r="F77" s="173"/>
      <c r="G77" s="173" t="s">
        <v>164</v>
      </c>
    </row>
    <row r="78" spans="1:7" s="151" customFormat="1" ht="25.5" x14ac:dyDescent="0.2">
      <c r="A78" s="169"/>
      <c r="B78" s="182" t="s">
        <v>242</v>
      </c>
      <c r="C78" s="178">
        <v>0</v>
      </c>
      <c r="D78" s="169"/>
      <c r="E78" s="169"/>
      <c r="F78" s="169"/>
      <c r="G78" s="169" t="s">
        <v>266</v>
      </c>
    </row>
    <row r="79" spans="1:7" s="151" customFormat="1" ht="25.5" x14ac:dyDescent="0.2">
      <c r="A79" s="169"/>
      <c r="B79" s="182" t="s">
        <v>243</v>
      </c>
      <c r="C79" s="187">
        <v>0</v>
      </c>
      <c r="D79" s="169"/>
      <c r="E79" s="169"/>
      <c r="F79" s="169"/>
      <c r="G79" s="169" t="s">
        <v>266</v>
      </c>
    </row>
    <row r="80" spans="1:7" s="151" customFormat="1" ht="12.75" x14ac:dyDescent="0.2">
      <c r="A80" s="169"/>
      <c r="B80" s="169"/>
      <c r="C80" s="169"/>
      <c r="D80" s="169"/>
      <c r="E80" s="169"/>
      <c r="F80" s="169"/>
      <c r="G80" s="169"/>
    </row>
    <row r="81" spans="1:7" s="151" customFormat="1" ht="12.75" x14ac:dyDescent="0.2">
      <c r="A81" s="169"/>
      <c r="B81" s="169"/>
      <c r="C81" s="169"/>
      <c r="D81" s="169"/>
      <c r="E81" s="169"/>
      <c r="F81" s="169"/>
      <c r="G81" s="169"/>
    </row>
    <row r="82" spans="1:7" s="150" customFormat="1" ht="15.75" x14ac:dyDescent="0.25">
      <c r="A82" s="147" t="s">
        <v>244</v>
      </c>
      <c r="B82" s="148"/>
      <c r="C82" s="148"/>
      <c r="D82" s="148"/>
      <c r="E82" s="148"/>
      <c r="F82" s="148"/>
      <c r="G82" s="148"/>
    </row>
    <row r="83" spans="1:7" s="151" customFormat="1" ht="12.75" x14ac:dyDescent="0.2">
      <c r="A83" s="333" t="s">
        <v>245</v>
      </c>
      <c r="B83" s="333"/>
      <c r="C83" s="333"/>
      <c r="D83" s="333"/>
      <c r="E83" s="333"/>
      <c r="F83" s="333"/>
      <c r="G83" s="333"/>
    </row>
    <row r="84" spans="1:7" s="151" customFormat="1" ht="12.75" x14ac:dyDescent="0.2">
      <c r="A84" s="169"/>
      <c r="B84" s="173" t="s">
        <v>159</v>
      </c>
      <c r="C84" s="173" t="s">
        <v>246</v>
      </c>
      <c r="D84" s="173"/>
      <c r="E84" s="173"/>
      <c r="F84" s="173"/>
      <c r="G84" s="173" t="s">
        <v>164</v>
      </c>
    </row>
    <row r="85" spans="1:7" s="151" customFormat="1" ht="12.75" x14ac:dyDescent="0.2">
      <c r="A85" s="169"/>
      <c r="B85" s="169" t="s">
        <v>247</v>
      </c>
      <c r="C85" s="184">
        <v>0</v>
      </c>
      <c r="D85" s="169"/>
      <c r="E85" s="169"/>
      <c r="F85" s="169"/>
      <c r="G85" s="169" t="s">
        <v>266</v>
      </c>
    </row>
    <row r="86" spans="1:7" s="151" customFormat="1" ht="12.75" x14ac:dyDescent="0.2">
      <c r="A86" s="169"/>
      <c r="B86" s="169" t="s">
        <v>248</v>
      </c>
      <c r="C86" s="184">
        <v>0</v>
      </c>
      <c r="D86" s="169"/>
      <c r="E86" s="169"/>
      <c r="F86" s="169"/>
      <c r="G86" s="169" t="s">
        <v>266</v>
      </c>
    </row>
    <row r="87" spans="1:7" s="151" customFormat="1" ht="12.75" x14ac:dyDescent="0.2">
      <c r="A87" s="169"/>
      <c r="B87" s="169"/>
      <c r="C87" s="169"/>
      <c r="D87" s="169"/>
      <c r="E87" s="169"/>
      <c r="F87" s="169"/>
      <c r="G87" s="169"/>
    </row>
    <row r="88" spans="1:7" s="151" customFormat="1" ht="12.75" x14ac:dyDescent="0.2">
      <c r="A88" s="169"/>
      <c r="B88" s="169"/>
      <c r="C88" s="169"/>
      <c r="D88" s="169"/>
      <c r="E88" s="169"/>
      <c r="F88" s="169"/>
      <c r="G88" s="169"/>
    </row>
    <row r="89" spans="1:7" s="150" customFormat="1" ht="15.75" x14ac:dyDescent="0.25">
      <c r="A89" s="205" t="s">
        <v>249</v>
      </c>
      <c r="B89" s="206"/>
      <c r="C89" s="206"/>
      <c r="D89" s="206"/>
      <c r="E89" s="206"/>
      <c r="F89" s="206"/>
      <c r="G89" s="206"/>
    </row>
    <row r="90" spans="1:7" s="151" customFormat="1" ht="12.75" x14ac:dyDescent="0.2">
      <c r="A90" s="324"/>
      <c r="B90" s="324"/>
      <c r="C90" s="324"/>
      <c r="D90" s="324"/>
      <c r="E90" s="324"/>
      <c r="F90" s="324"/>
      <c r="G90" s="324"/>
    </row>
    <row r="91" spans="1:7" s="151" customFormat="1" ht="12.75" x14ac:dyDescent="0.2">
      <c r="A91" s="324"/>
      <c r="B91" s="324"/>
      <c r="C91" s="324"/>
      <c r="D91" s="324"/>
      <c r="E91" s="324"/>
      <c r="F91" s="324"/>
      <c r="G91" s="324"/>
    </row>
    <row r="92" spans="1:7" s="151" customFormat="1" ht="12.75" x14ac:dyDescent="0.2">
      <c r="A92" s="324"/>
      <c r="B92" s="324"/>
      <c r="C92" s="324"/>
      <c r="D92" s="324"/>
      <c r="E92" s="324"/>
      <c r="F92" s="324"/>
      <c r="G92" s="324"/>
    </row>
    <row r="93" spans="1:7" s="151" customFormat="1" ht="12.75" x14ac:dyDescent="0.2">
      <c r="A93" s="324"/>
      <c r="B93" s="324"/>
      <c r="C93" s="324"/>
      <c r="D93" s="324"/>
      <c r="E93" s="324"/>
      <c r="F93" s="324"/>
      <c r="G93" s="324"/>
    </row>
    <row r="94" spans="1:7" s="151" customFormat="1" ht="12.75" x14ac:dyDescent="0.2">
      <c r="A94" s="324"/>
      <c r="B94" s="324"/>
      <c r="C94" s="324"/>
      <c r="D94" s="324"/>
      <c r="E94" s="324"/>
      <c r="F94" s="324"/>
      <c r="G94" s="324"/>
    </row>
    <row r="95" spans="1:7" s="151" customFormat="1" ht="12.75" x14ac:dyDescent="0.2">
      <c r="A95" s="324"/>
      <c r="B95" s="324"/>
      <c r="C95" s="324"/>
      <c r="D95" s="324"/>
      <c r="E95" s="324"/>
      <c r="F95" s="324"/>
      <c r="G95" s="324"/>
    </row>
  </sheetData>
  <mergeCells count="21">
    <mergeCell ref="A93:G93"/>
    <mergeCell ref="A94:G94"/>
    <mergeCell ref="A95:G95"/>
    <mergeCell ref="A69:G69"/>
    <mergeCell ref="A76:G76"/>
    <mergeCell ref="A83:G83"/>
    <mergeCell ref="A90:G90"/>
    <mergeCell ref="A91:G91"/>
    <mergeCell ref="A92:G92"/>
    <mergeCell ref="G64:H64"/>
    <mergeCell ref="A1:G1"/>
    <mergeCell ref="A2:G2"/>
    <mergeCell ref="A3:G3"/>
    <mergeCell ref="A5:G5"/>
    <mergeCell ref="A6:G6"/>
    <mergeCell ref="E9:F9"/>
    <mergeCell ref="A21:G21"/>
    <mergeCell ref="E24:F24"/>
    <mergeCell ref="G40:H40"/>
    <mergeCell ref="A45:G45"/>
    <mergeCell ref="E48:F48"/>
  </mergeCells>
  <pageMargins left="0.7" right="0.7" top="0.75" bottom="0.75" header="0.3" footer="0.3"/>
  <pageSetup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workbookViewId="0">
      <selection activeCell="C61" sqref="C61"/>
    </sheetView>
  </sheetViews>
  <sheetFormatPr defaultRowHeight="15" x14ac:dyDescent="0.25"/>
  <cols>
    <col min="1" max="1" width="12.7109375" style="146" customWidth="1"/>
    <col min="2" max="2" width="36" style="146" customWidth="1"/>
    <col min="3" max="3" width="29.140625" style="146" customWidth="1"/>
    <col min="4" max="4" width="10" style="146" customWidth="1"/>
    <col min="5" max="5" width="9.28515625" style="146" customWidth="1"/>
    <col min="6" max="6" width="9.140625" style="146" customWidth="1"/>
    <col min="7" max="7" width="27.42578125" style="146" customWidth="1"/>
    <col min="8" max="8" width="55" style="146" customWidth="1"/>
    <col min="9" max="16384" width="9.140625" style="146"/>
  </cols>
  <sheetData>
    <row r="1" spans="1:7" ht="18.75" x14ac:dyDescent="0.3">
      <c r="A1" s="325" t="s">
        <v>149</v>
      </c>
      <c r="B1" s="325"/>
      <c r="C1" s="325"/>
      <c r="D1" s="325"/>
      <c r="E1" s="325"/>
      <c r="F1" s="325"/>
      <c r="G1" s="325"/>
    </row>
    <row r="2" spans="1:7" ht="18.75" x14ac:dyDescent="0.3">
      <c r="A2" s="325" t="s">
        <v>150</v>
      </c>
      <c r="B2" s="325"/>
      <c r="C2" s="325"/>
      <c r="D2" s="325"/>
      <c r="E2" s="325"/>
      <c r="F2" s="325"/>
      <c r="G2" s="325"/>
    </row>
    <row r="3" spans="1:7" ht="18.75" x14ac:dyDescent="0.3">
      <c r="A3" s="325" t="s">
        <v>151</v>
      </c>
      <c r="B3" s="325"/>
      <c r="C3" s="325"/>
      <c r="D3" s="325"/>
      <c r="E3" s="325"/>
      <c r="F3" s="325"/>
      <c r="G3" s="325"/>
    </row>
    <row r="5" spans="1:7" s="150" customFormat="1" ht="15.75" x14ac:dyDescent="0.25">
      <c r="A5" s="330" t="s">
        <v>250</v>
      </c>
      <c r="B5" s="330"/>
      <c r="C5" s="330"/>
      <c r="D5" s="330"/>
      <c r="E5" s="330"/>
      <c r="F5" s="330"/>
      <c r="G5" s="330"/>
    </row>
    <row r="6" spans="1:7" s="151" customFormat="1" ht="12.75" x14ac:dyDescent="0.2">
      <c r="A6" s="331" t="s">
        <v>251</v>
      </c>
      <c r="B6" s="331"/>
      <c r="C6" s="331"/>
      <c r="D6" s="331"/>
      <c r="E6" s="331"/>
      <c r="F6" s="331"/>
      <c r="G6" s="331"/>
    </row>
    <row r="7" spans="1:7" s="151" customFormat="1" ht="12.75" x14ac:dyDescent="0.2">
      <c r="A7" s="151" t="s">
        <v>154</v>
      </c>
      <c r="B7" s="151" t="s">
        <v>304</v>
      </c>
    </row>
    <row r="8" spans="1:7" s="151" customFormat="1" ht="12.75" x14ac:dyDescent="0.2">
      <c r="A8" s="151" t="s">
        <v>156</v>
      </c>
    </row>
    <row r="9" spans="1:7" s="151" customFormat="1" ht="12.75" x14ac:dyDescent="0.2">
      <c r="E9" s="329" t="s">
        <v>158</v>
      </c>
      <c r="F9" s="329"/>
    </row>
    <row r="10" spans="1:7" s="151" customFormat="1" ht="12.75" x14ac:dyDescent="0.2">
      <c r="A10" s="169"/>
      <c r="B10" s="173" t="s">
        <v>159</v>
      </c>
      <c r="C10" s="173" t="s">
        <v>160</v>
      </c>
      <c r="D10" s="173" t="s">
        <v>161</v>
      </c>
      <c r="E10" s="173" t="s">
        <v>162</v>
      </c>
      <c r="F10" s="174" t="s">
        <v>163</v>
      </c>
      <c r="G10" s="173" t="s">
        <v>164</v>
      </c>
    </row>
    <row r="11" spans="1:7" s="151" customFormat="1" ht="12.75" x14ac:dyDescent="0.2">
      <c r="A11" s="169"/>
      <c r="B11" s="175" t="s">
        <v>254</v>
      </c>
      <c r="C11" s="175" t="s">
        <v>207</v>
      </c>
      <c r="D11" s="184">
        <v>0</v>
      </c>
      <c r="E11" s="183">
        <v>0</v>
      </c>
      <c r="F11" s="178">
        <v>0</v>
      </c>
      <c r="G11" s="169"/>
    </row>
    <row r="12" spans="1:7" s="151" customFormat="1" ht="12.75" x14ac:dyDescent="0.2">
      <c r="A12" s="169"/>
      <c r="B12" s="169" t="s">
        <v>260</v>
      </c>
      <c r="C12" s="169"/>
      <c r="D12" s="184">
        <v>0</v>
      </c>
      <c r="E12" s="183">
        <v>0</v>
      </c>
      <c r="F12" s="178">
        <v>0</v>
      </c>
      <c r="G12" s="169"/>
    </row>
    <row r="13" spans="1:7" s="151" customFormat="1" ht="12.75" x14ac:dyDescent="0.2">
      <c r="A13" s="169"/>
      <c r="B13" s="169" t="s">
        <v>281</v>
      </c>
      <c r="C13" s="169" t="s">
        <v>262</v>
      </c>
      <c r="D13" s="184">
        <v>0</v>
      </c>
      <c r="E13" s="183">
        <v>0</v>
      </c>
      <c r="F13" s="178">
        <v>0</v>
      </c>
      <c r="G13" s="169"/>
    </row>
    <row r="14" spans="1:7" s="151" customFormat="1" ht="12.75" x14ac:dyDescent="0.2">
      <c r="A14" s="169"/>
      <c r="B14" s="169" t="s">
        <v>167</v>
      </c>
      <c r="C14" s="169"/>
      <c r="D14" s="184">
        <v>0</v>
      </c>
      <c r="E14" s="183">
        <v>0</v>
      </c>
      <c r="F14" s="178">
        <v>0</v>
      </c>
      <c r="G14" s="169"/>
    </row>
    <row r="15" spans="1:7" s="151" customFormat="1" ht="64.5" customHeight="1" x14ac:dyDescent="0.2">
      <c r="A15" s="169"/>
      <c r="B15" s="181" t="s">
        <v>267</v>
      </c>
      <c r="C15" s="181" t="s">
        <v>268</v>
      </c>
      <c r="D15" s="184">
        <v>0</v>
      </c>
      <c r="E15" s="183">
        <v>0</v>
      </c>
      <c r="F15" s="178">
        <v>0</v>
      </c>
      <c r="G15" s="169"/>
    </row>
    <row r="16" spans="1:7" s="151" customFormat="1" ht="25.5" x14ac:dyDescent="0.2">
      <c r="A16" s="169"/>
      <c r="B16" s="182" t="s">
        <v>186</v>
      </c>
      <c r="C16" s="169"/>
      <c r="D16" s="184">
        <v>0</v>
      </c>
      <c r="E16" s="183">
        <v>0</v>
      </c>
      <c r="F16" s="178">
        <v>0</v>
      </c>
      <c r="G16" s="169"/>
    </row>
    <row r="17" spans="1:7" s="151" customFormat="1" ht="25.5" x14ac:dyDescent="0.2">
      <c r="A17" s="169"/>
      <c r="B17" s="182" t="s">
        <v>188</v>
      </c>
      <c r="C17" s="169"/>
      <c r="D17" s="184">
        <v>0</v>
      </c>
      <c r="E17" s="183">
        <v>0</v>
      </c>
      <c r="F17" s="178">
        <v>0</v>
      </c>
      <c r="G17" s="169"/>
    </row>
    <row r="18" spans="1:7" s="151" customFormat="1" ht="12.75" x14ac:dyDescent="0.2">
      <c r="A18" s="169"/>
      <c r="B18" s="169"/>
      <c r="C18" s="169"/>
      <c r="D18" s="184"/>
      <c r="E18" s="183"/>
      <c r="F18" s="178"/>
      <c r="G18" s="169"/>
    </row>
    <row r="19" spans="1:7" s="151" customFormat="1" ht="12.75" x14ac:dyDescent="0.2">
      <c r="A19" s="169"/>
      <c r="B19" s="169"/>
      <c r="C19" s="169"/>
      <c r="D19" s="184"/>
      <c r="E19" s="183"/>
      <c r="F19" s="178"/>
      <c r="G19" s="169"/>
    </row>
    <row r="20" spans="1:7" s="150" customFormat="1" ht="15.75" x14ac:dyDescent="0.25">
      <c r="A20" s="147" t="s">
        <v>152</v>
      </c>
      <c r="B20" s="148"/>
      <c r="C20" s="148"/>
      <c r="D20" s="148"/>
      <c r="E20" s="148"/>
      <c r="F20" s="148"/>
      <c r="G20" s="148"/>
    </row>
    <row r="21" spans="1:7" s="151" customFormat="1" ht="12.75" x14ac:dyDescent="0.2">
      <c r="A21" s="333" t="s">
        <v>153</v>
      </c>
      <c r="B21" s="333"/>
      <c r="C21" s="333"/>
      <c r="D21" s="333"/>
      <c r="E21" s="333"/>
      <c r="F21" s="333"/>
      <c r="G21" s="333"/>
    </row>
    <row r="22" spans="1:7" s="151" customFormat="1" ht="12.75" x14ac:dyDescent="0.2">
      <c r="A22" s="169" t="s">
        <v>154</v>
      </c>
      <c r="B22" s="169"/>
      <c r="C22" s="169"/>
      <c r="D22" s="169"/>
      <c r="E22" s="169"/>
      <c r="F22" s="169"/>
      <c r="G22" s="169"/>
    </row>
    <row r="23" spans="1:7" s="151" customFormat="1" ht="12.75" x14ac:dyDescent="0.2">
      <c r="A23" s="169" t="s">
        <v>156</v>
      </c>
      <c r="B23" s="169"/>
      <c r="C23" s="169"/>
      <c r="D23" s="169"/>
      <c r="E23" s="169"/>
      <c r="F23" s="169"/>
      <c r="G23" s="169"/>
    </row>
    <row r="24" spans="1:7" s="151" customFormat="1" ht="12.75" x14ac:dyDescent="0.2">
      <c r="A24" s="169"/>
      <c r="B24" s="169"/>
      <c r="C24" s="169"/>
      <c r="D24" s="169"/>
      <c r="E24" s="338" t="s">
        <v>158</v>
      </c>
      <c r="F24" s="338"/>
      <c r="G24" s="169"/>
    </row>
    <row r="25" spans="1:7" s="151" customFormat="1" ht="12.75" x14ac:dyDescent="0.2">
      <c r="A25" s="169"/>
      <c r="B25" s="173" t="s">
        <v>159</v>
      </c>
      <c r="C25" s="173" t="s">
        <v>160</v>
      </c>
      <c r="D25" s="173" t="s">
        <v>161</v>
      </c>
      <c r="E25" s="173" t="s">
        <v>162</v>
      </c>
      <c r="F25" s="174" t="s">
        <v>163</v>
      </c>
      <c r="G25" s="173" t="s">
        <v>164</v>
      </c>
    </row>
    <row r="26" spans="1:7" s="151" customFormat="1" ht="12.75" x14ac:dyDescent="0.2">
      <c r="A26" s="169"/>
      <c r="B26" s="175" t="s">
        <v>165</v>
      </c>
      <c r="C26" s="175" t="s">
        <v>166</v>
      </c>
      <c r="D26" s="184">
        <v>0</v>
      </c>
      <c r="E26" s="183">
        <v>0</v>
      </c>
      <c r="F26" s="178">
        <v>0</v>
      </c>
      <c r="G26" s="169"/>
    </row>
    <row r="27" spans="1:7" s="151" customFormat="1" ht="12.75" x14ac:dyDescent="0.2">
      <c r="A27" s="169"/>
      <c r="B27" s="175" t="s">
        <v>285</v>
      </c>
      <c r="C27" s="175" t="s">
        <v>286</v>
      </c>
      <c r="D27" s="184">
        <v>0</v>
      </c>
      <c r="E27" s="183">
        <v>0</v>
      </c>
      <c r="F27" s="178">
        <v>0</v>
      </c>
      <c r="G27" s="169"/>
    </row>
    <row r="28" spans="1:7" s="151" customFormat="1" ht="12.75" x14ac:dyDescent="0.2">
      <c r="A28" s="169"/>
      <c r="B28" s="169" t="s">
        <v>167</v>
      </c>
      <c r="C28" s="169"/>
      <c r="D28" s="184">
        <v>0</v>
      </c>
      <c r="E28" s="183">
        <v>0</v>
      </c>
      <c r="F28" s="178">
        <v>0</v>
      </c>
      <c r="G28" s="169"/>
    </row>
    <row r="29" spans="1:7" s="151" customFormat="1" ht="12.75" x14ac:dyDescent="0.2">
      <c r="A29" s="169"/>
      <c r="B29" s="169" t="s">
        <v>169</v>
      </c>
      <c r="C29" s="169"/>
      <c r="D29" s="184">
        <v>0</v>
      </c>
      <c r="E29" s="183">
        <v>0</v>
      </c>
      <c r="F29" s="178">
        <v>0</v>
      </c>
      <c r="G29" s="169"/>
    </row>
    <row r="30" spans="1:7" s="151" customFormat="1" ht="38.25" x14ac:dyDescent="0.2">
      <c r="A30" s="169"/>
      <c r="B30" s="182" t="s">
        <v>172</v>
      </c>
      <c r="C30" s="169"/>
      <c r="D30" s="184">
        <v>0</v>
      </c>
      <c r="E30" s="183">
        <v>0</v>
      </c>
      <c r="F30" s="178">
        <v>0</v>
      </c>
      <c r="G30" s="169"/>
    </row>
    <row r="31" spans="1:7" s="151" customFormat="1" ht="25.5" x14ac:dyDescent="0.2">
      <c r="A31" s="169"/>
      <c r="B31" s="182" t="s">
        <v>173</v>
      </c>
      <c r="C31" s="169"/>
      <c r="D31" s="184">
        <v>0</v>
      </c>
      <c r="E31" s="183">
        <v>0</v>
      </c>
      <c r="F31" s="178">
        <v>0</v>
      </c>
      <c r="G31" s="169"/>
    </row>
    <row r="32" spans="1:7" s="151" customFormat="1" ht="25.5" x14ac:dyDescent="0.2">
      <c r="A32" s="169"/>
      <c r="B32" s="182" t="s">
        <v>174</v>
      </c>
      <c r="C32" s="169" t="s">
        <v>175</v>
      </c>
      <c r="D32" s="184">
        <v>0</v>
      </c>
      <c r="E32" s="183">
        <v>0</v>
      </c>
      <c r="F32" s="178">
        <v>0</v>
      </c>
      <c r="G32" s="169"/>
    </row>
    <row r="33" spans="1:7" s="151" customFormat="1" ht="12.75" x14ac:dyDescent="0.2">
      <c r="A33" s="169"/>
      <c r="B33" s="169" t="s">
        <v>176</v>
      </c>
      <c r="C33" s="169"/>
      <c r="D33" s="184">
        <v>0</v>
      </c>
      <c r="E33" s="183">
        <v>0</v>
      </c>
      <c r="F33" s="178">
        <v>0</v>
      </c>
      <c r="G33" s="169"/>
    </row>
    <row r="34" spans="1:7" s="151" customFormat="1" ht="12.75" x14ac:dyDescent="0.2">
      <c r="A34" s="169"/>
      <c r="B34" s="169" t="s">
        <v>178</v>
      </c>
      <c r="C34" s="169" t="s">
        <v>179</v>
      </c>
      <c r="D34" s="184">
        <v>0</v>
      </c>
      <c r="E34" s="183">
        <v>0</v>
      </c>
      <c r="F34" s="178">
        <v>0</v>
      </c>
      <c r="G34" s="169"/>
    </row>
    <row r="35" spans="1:7" s="151" customFormat="1" ht="63.75" x14ac:dyDescent="0.2">
      <c r="A35" s="169"/>
      <c r="B35" s="169" t="s">
        <v>181</v>
      </c>
      <c r="C35" s="182" t="s">
        <v>182</v>
      </c>
      <c r="D35" s="184">
        <v>0</v>
      </c>
      <c r="E35" s="183">
        <v>0</v>
      </c>
      <c r="F35" s="178">
        <v>0</v>
      </c>
      <c r="G35" s="169"/>
    </row>
    <row r="36" spans="1:7" s="151" customFormat="1" ht="12.75" x14ac:dyDescent="0.2">
      <c r="A36" s="169"/>
      <c r="B36" s="203" t="s">
        <v>184</v>
      </c>
      <c r="C36" s="169"/>
      <c r="D36" s="184">
        <v>0</v>
      </c>
      <c r="E36" s="183">
        <v>0</v>
      </c>
      <c r="F36" s="178">
        <v>0</v>
      </c>
      <c r="G36" s="169"/>
    </row>
    <row r="37" spans="1:7" s="151" customFormat="1" ht="25.5" x14ac:dyDescent="0.2">
      <c r="A37" s="169"/>
      <c r="B37" s="204" t="s">
        <v>291</v>
      </c>
      <c r="C37" s="169"/>
      <c r="D37" s="184">
        <v>0</v>
      </c>
      <c r="E37" s="183">
        <v>0</v>
      </c>
      <c r="F37" s="178">
        <v>0</v>
      </c>
      <c r="G37" s="169"/>
    </row>
    <row r="38" spans="1:7" s="151" customFormat="1" ht="25.5" x14ac:dyDescent="0.2">
      <c r="A38" s="169"/>
      <c r="B38" s="204" t="s">
        <v>293</v>
      </c>
      <c r="C38" s="169"/>
      <c r="D38" s="184">
        <v>0</v>
      </c>
      <c r="E38" s="183">
        <v>0</v>
      </c>
      <c r="F38" s="178">
        <v>0</v>
      </c>
      <c r="G38" s="169"/>
    </row>
    <row r="39" spans="1:7" s="151" customFormat="1" ht="25.5" x14ac:dyDescent="0.2">
      <c r="A39" s="169"/>
      <c r="B39" s="204" t="s">
        <v>294</v>
      </c>
      <c r="C39" s="169"/>
      <c r="D39" s="184">
        <v>0</v>
      </c>
      <c r="E39" s="183">
        <v>0</v>
      </c>
      <c r="F39" s="178">
        <v>0</v>
      </c>
      <c r="G39" s="169"/>
    </row>
    <row r="40" spans="1:7" s="151" customFormat="1" ht="25.5" x14ac:dyDescent="0.2">
      <c r="A40" s="169"/>
      <c r="B40" s="181" t="s">
        <v>186</v>
      </c>
      <c r="C40" s="169"/>
      <c r="D40" s="184">
        <v>0</v>
      </c>
      <c r="E40" s="183">
        <v>0</v>
      </c>
      <c r="F40" s="178">
        <v>0</v>
      </c>
      <c r="G40" s="169"/>
    </row>
    <row r="41" spans="1:7" s="151" customFormat="1" ht="25.5" x14ac:dyDescent="0.2">
      <c r="A41" s="169"/>
      <c r="B41" s="182" t="s">
        <v>188</v>
      </c>
      <c r="C41" s="169"/>
      <c r="D41" s="184">
        <v>0</v>
      </c>
      <c r="E41" s="183">
        <v>0</v>
      </c>
      <c r="F41" s="178">
        <v>0</v>
      </c>
      <c r="G41" s="169"/>
    </row>
    <row r="42" spans="1:7" s="151" customFormat="1" ht="12.75" x14ac:dyDescent="0.2">
      <c r="A42" s="169"/>
      <c r="B42" s="169"/>
      <c r="C42" s="169"/>
      <c r="D42" s="184"/>
      <c r="E42" s="183"/>
      <c r="F42" s="178"/>
      <c r="G42" s="169"/>
    </row>
    <row r="43" spans="1:7" s="151" customFormat="1" ht="12.75" x14ac:dyDescent="0.2">
      <c r="A43" s="169"/>
      <c r="B43" s="169"/>
      <c r="C43" s="169"/>
      <c r="D43" s="169"/>
      <c r="E43" s="169"/>
      <c r="F43" s="169"/>
      <c r="G43" s="169"/>
    </row>
    <row r="44" spans="1:7" s="150" customFormat="1" ht="15.75" x14ac:dyDescent="0.25">
      <c r="A44" s="147" t="s">
        <v>202</v>
      </c>
      <c r="B44" s="148"/>
      <c r="C44" s="148"/>
      <c r="D44" s="148"/>
      <c r="E44" s="148"/>
      <c r="F44" s="148"/>
      <c r="G44" s="148"/>
    </row>
    <row r="45" spans="1:7" s="151" customFormat="1" ht="12.75" x14ac:dyDescent="0.2">
      <c r="A45" s="333" t="s">
        <v>203</v>
      </c>
      <c r="B45" s="333"/>
      <c r="C45" s="333"/>
      <c r="D45" s="333"/>
      <c r="E45" s="333"/>
      <c r="F45" s="333"/>
      <c r="G45" s="333"/>
    </row>
    <row r="46" spans="1:7" s="151" customFormat="1" ht="12.75" x14ac:dyDescent="0.2">
      <c r="A46" s="169" t="s">
        <v>154</v>
      </c>
      <c r="B46" s="169" t="s">
        <v>305</v>
      </c>
      <c r="C46" s="169"/>
      <c r="D46" s="169"/>
      <c r="E46" s="169"/>
      <c r="F46" s="169"/>
      <c r="G46" s="169"/>
    </row>
    <row r="47" spans="1:7" s="151" customFormat="1" ht="12.75" x14ac:dyDescent="0.2">
      <c r="A47" s="169" t="s">
        <v>156</v>
      </c>
      <c r="B47" s="169" t="s">
        <v>306</v>
      </c>
      <c r="C47" s="169"/>
      <c r="D47" s="169"/>
      <c r="E47" s="169"/>
      <c r="F47" s="169"/>
      <c r="G47" s="169"/>
    </row>
    <row r="48" spans="1:7" s="151" customFormat="1" ht="12.75" x14ac:dyDescent="0.2">
      <c r="A48" s="169"/>
      <c r="B48" s="169"/>
      <c r="C48" s="169"/>
      <c r="D48" s="169" t="s">
        <v>307</v>
      </c>
      <c r="E48" s="338" t="s">
        <v>158</v>
      </c>
      <c r="F48" s="338"/>
      <c r="G48" s="169"/>
    </row>
    <row r="49" spans="1:8" s="151" customFormat="1" ht="12.75" x14ac:dyDescent="0.2">
      <c r="A49" s="169"/>
      <c r="B49" s="173" t="s">
        <v>159</v>
      </c>
      <c r="C49" s="173" t="s">
        <v>160</v>
      </c>
      <c r="D49" s="173" t="s">
        <v>161</v>
      </c>
      <c r="E49" s="173" t="s">
        <v>162</v>
      </c>
      <c r="F49" s="174" t="s">
        <v>163</v>
      </c>
      <c r="G49" s="173" t="s">
        <v>164</v>
      </c>
    </row>
    <row r="50" spans="1:8" s="151" customFormat="1" ht="12.75" x14ac:dyDescent="0.2">
      <c r="A50" s="169"/>
      <c r="B50" s="175" t="s">
        <v>308</v>
      </c>
      <c r="C50" s="175" t="s">
        <v>207</v>
      </c>
      <c r="D50" s="184">
        <v>20925.14</v>
      </c>
      <c r="E50" s="183">
        <v>0</v>
      </c>
      <c r="F50" s="178">
        <v>0</v>
      </c>
      <c r="G50" s="169" t="s">
        <v>309</v>
      </c>
    </row>
    <row r="51" spans="1:8" s="151" customFormat="1" ht="12.75" x14ac:dyDescent="0.2">
      <c r="A51" s="169"/>
      <c r="B51" s="169" t="s">
        <v>310</v>
      </c>
      <c r="C51" s="169"/>
      <c r="D51" s="184">
        <v>3725.88</v>
      </c>
      <c r="E51" s="183">
        <v>0</v>
      </c>
      <c r="F51" s="178">
        <v>0</v>
      </c>
      <c r="G51" s="169" t="s">
        <v>311</v>
      </c>
      <c r="H51" s="151" t="s">
        <v>85</v>
      </c>
    </row>
    <row r="52" spans="1:8" s="151" customFormat="1" ht="12.75" x14ac:dyDescent="0.2">
      <c r="A52" s="169"/>
      <c r="B52" s="169" t="s">
        <v>312</v>
      </c>
      <c r="C52" s="169"/>
      <c r="D52" s="184">
        <v>2866.06</v>
      </c>
      <c r="E52" s="183">
        <v>0</v>
      </c>
      <c r="F52" s="178">
        <v>0</v>
      </c>
      <c r="G52" s="169" t="s">
        <v>313</v>
      </c>
      <c r="H52" s="151" t="s">
        <v>85</v>
      </c>
    </row>
    <row r="53" spans="1:8" s="151" customFormat="1" ht="12.75" x14ac:dyDescent="0.2">
      <c r="A53" s="169"/>
      <c r="B53" s="169" t="s">
        <v>176</v>
      </c>
      <c r="C53" s="169"/>
      <c r="D53" s="184" t="s">
        <v>266</v>
      </c>
      <c r="E53" s="183">
        <v>0</v>
      </c>
      <c r="F53" s="178">
        <v>0</v>
      </c>
      <c r="G53" s="169" t="s">
        <v>266</v>
      </c>
      <c r="H53" s="151" t="s">
        <v>85</v>
      </c>
    </row>
    <row r="54" spans="1:8" s="151" customFormat="1" ht="25.5" x14ac:dyDescent="0.2">
      <c r="A54" s="169"/>
      <c r="B54" s="191" t="s">
        <v>215</v>
      </c>
      <c r="C54" s="182" t="s">
        <v>216</v>
      </c>
      <c r="D54" s="184" t="s">
        <v>266</v>
      </c>
      <c r="E54" s="183">
        <v>0</v>
      </c>
      <c r="F54" s="178">
        <v>0</v>
      </c>
      <c r="G54" s="169" t="s">
        <v>266</v>
      </c>
    </row>
    <row r="55" spans="1:8" s="151" customFormat="1" ht="25.5" x14ac:dyDescent="0.2">
      <c r="A55" s="169"/>
      <c r="B55" s="182" t="s">
        <v>220</v>
      </c>
      <c r="C55" s="182" t="s">
        <v>221</v>
      </c>
      <c r="D55" s="184" t="s">
        <v>266</v>
      </c>
      <c r="E55" s="183">
        <v>0</v>
      </c>
      <c r="F55" s="178">
        <v>0</v>
      </c>
      <c r="G55" s="169" t="s">
        <v>266</v>
      </c>
    </row>
    <row r="56" spans="1:8" s="151" customFormat="1" ht="40.5" customHeight="1" x14ac:dyDescent="0.2">
      <c r="A56" s="169"/>
      <c r="B56" s="182" t="s">
        <v>223</v>
      </c>
      <c r="C56" s="182" t="s">
        <v>224</v>
      </c>
      <c r="D56" s="184" t="s">
        <v>266</v>
      </c>
      <c r="E56" s="183">
        <v>0</v>
      </c>
      <c r="F56" s="178">
        <v>0</v>
      </c>
      <c r="G56" s="169" t="s">
        <v>266</v>
      </c>
      <c r="H56" s="151" t="s">
        <v>85</v>
      </c>
    </row>
    <row r="57" spans="1:8" s="151" customFormat="1" ht="12.75" x14ac:dyDescent="0.2">
      <c r="A57" s="169"/>
      <c r="B57" s="169" t="s">
        <v>314</v>
      </c>
      <c r="C57" s="169"/>
      <c r="D57" s="184"/>
      <c r="E57" s="183">
        <v>0</v>
      </c>
      <c r="F57" s="178">
        <v>0</v>
      </c>
      <c r="G57" s="169" t="s">
        <v>315</v>
      </c>
      <c r="H57" s="151" t="s">
        <v>85</v>
      </c>
    </row>
    <row r="58" spans="1:8" s="151" customFormat="1" ht="12.75" x14ac:dyDescent="0.2">
      <c r="A58" s="169"/>
      <c r="B58" s="169" t="s">
        <v>167</v>
      </c>
      <c r="C58" s="169"/>
      <c r="D58" s="184">
        <v>0</v>
      </c>
      <c r="E58" s="183">
        <v>0</v>
      </c>
      <c r="F58" s="178">
        <v>0</v>
      </c>
      <c r="G58" s="169"/>
    </row>
    <row r="59" spans="1:8" s="151" customFormat="1" ht="12.75" x14ac:dyDescent="0.2">
      <c r="A59" s="169"/>
      <c r="B59" s="203" t="s">
        <v>225</v>
      </c>
      <c r="C59" s="203" t="s">
        <v>226</v>
      </c>
      <c r="D59" s="184">
        <v>0</v>
      </c>
      <c r="E59" s="183">
        <v>0</v>
      </c>
      <c r="F59" s="178">
        <v>0</v>
      </c>
      <c r="G59" s="169"/>
      <c r="H59" s="151" t="s">
        <v>85</v>
      </c>
    </row>
    <row r="60" spans="1:8" s="151" customFormat="1" ht="12.75" x14ac:dyDescent="0.2">
      <c r="A60" s="169"/>
      <c r="B60" s="203" t="s">
        <v>227</v>
      </c>
      <c r="C60" s="203" t="s">
        <v>226</v>
      </c>
      <c r="D60" s="184">
        <v>1970.42</v>
      </c>
      <c r="E60" s="183">
        <v>0</v>
      </c>
      <c r="F60" s="178">
        <v>0</v>
      </c>
      <c r="G60" s="169"/>
      <c r="H60" s="151" t="s">
        <v>85</v>
      </c>
    </row>
    <row r="61" spans="1:8" s="151" customFormat="1" ht="25.5" x14ac:dyDescent="0.2">
      <c r="A61" s="169"/>
      <c r="B61" s="182" t="s">
        <v>186</v>
      </c>
      <c r="C61" s="169"/>
      <c r="D61" s="184">
        <v>0</v>
      </c>
      <c r="E61" s="183">
        <v>0</v>
      </c>
      <c r="F61" s="178">
        <v>0</v>
      </c>
      <c r="G61" s="169"/>
      <c r="H61" s="151" t="s">
        <v>85</v>
      </c>
    </row>
    <row r="62" spans="1:8" s="151" customFormat="1" ht="25.5" x14ac:dyDescent="0.2">
      <c r="A62" s="169"/>
      <c r="B62" s="182" t="s">
        <v>188</v>
      </c>
      <c r="C62" s="169"/>
      <c r="D62" s="184">
        <v>0</v>
      </c>
      <c r="E62" s="183">
        <v>0</v>
      </c>
      <c r="F62" s="178">
        <v>0</v>
      </c>
      <c r="G62" s="169"/>
    </row>
    <row r="63" spans="1:8" s="169" customFormat="1" ht="51" x14ac:dyDescent="0.25">
      <c r="B63" s="182" t="s">
        <v>228</v>
      </c>
      <c r="C63" s="182" t="s">
        <v>229</v>
      </c>
      <c r="D63" s="184">
        <v>0</v>
      </c>
      <c r="E63" s="183">
        <v>0</v>
      </c>
      <c r="F63" s="178">
        <v>0</v>
      </c>
      <c r="H63" s="169" t="s">
        <v>85</v>
      </c>
    </row>
    <row r="64" spans="1:8" s="169" customFormat="1" ht="12.75" x14ac:dyDescent="0.25">
      <c r="B64" s="182"/>
      <c r="C64" s="182"/>
      <c r="D64" s="184"/>
      <c r="E64" s="183"/>
      <c r="F64" s="178"/>
    </row>
    <row r="65" spans="1:7" s="151" customFormat="1" ht="12.75" x14ac:dyDescent="0.2">
      <c r="A65" s="169"/>
      <c r="B65" s="169"/>
      <c r="C65" s="169"/>
      <c r="D65" s="184"/>
      <c r="E65" s="183"/>
      <c r="F65" s="178"/>
      <c r="G65" s="169"/>
    </row>
    <row r="66" spans="1:7" s="150" customFormat="1" ht="15.75" x14ac:dyDescent="0.25">
      <c r="A66" s="147" t="s">
        <v>232</v>
      </c>
      <c r="B66" s="148"/>
      <c r="C66" s="148"/>
      <c r="D66" s="148"/>
      <c r="E66" s="148"/>
      <c r="F66" s="148"/>
      <c r="G66" s="148"/>
    </row>
    <row r="67" spans="1:7" s="151" customFormat="1" ht="12.75" x14ac:dyDescent="0.2">
      <c r="A67" s="333" t="s">
        <v>233</v>
      </c>
      <c r="B67" s="333"/>
      <c r="C67" s="333"/>
      <c r="D67" s="333"/>
      <c r="E67" s="333"/>
      <c r="F67" s="333"/>
      <c r="G67" s="333"/>
    </row>
    <row r="68" spans="1:7" s="151" customFormat="1" ht="12.75" x14ac:dyDescent="0.2">
      <c r="A68" s="169"/>
      <c r="B68" s="173" t="s">
        <v>159</v>
      </c>
      <c r="C68" s="173" t="s">
        <v>234</v>
      </c>
      <c r="D68" s="173"/>
      <c r="E68" s="173"/>
      <c r="F68" s="173"/>
      <c r="G68" s="173" t="s">
        <v>164</v>
      </c>
    </row>
    <row r="69" spans="1:7" s="151" customFormat="1" ht="12.75" x14ac:dyDescent="0.2">
      <c r="A69" s="169"/>
      <c r="B69" s="169" t="s">
        <v>235</v>
      </c>
      <c r="C69" s="184">
        <v>0</v>
      </c>
      <c r="D69" s="169"/>
      <c r="E69" s="169"/>
      <c r="F69" s="169"/>
      <c r="G69" s="169"/>
    </row>
    <row r="70" spans="1:7" s="151" customFormat="1" ht="12.75" x14ac:dyDescent="0.2">
      <c r="A70" s="169"/>
      <c r="B70" s="169" t="s">
        <v>237</v>
      </c>
      <c r="C70" s="184">
        <v>0</v>
      </c>
      <c r="D70" s="169"/>
      <c r="E70" s="169"/>
      <c r="F70" s="169"/>
      <c r="G70" s="169"/>
    </row>
    <row r="71" spans="1:7" s="151" customFormat="1" ht="51" x14ac:dyDescent="0.2">
      <c r="A71" s="169"/>
      <c r="B71" s="169" t="s">
        <v>238</v>
      </c>
      <c r="C71" s="184">
        <v>0</v>
      </c>
      <c r="D71" s="169"/>
      <c r="E71" s="181" t="s">
        <v>239</v>
      </c>
      <c r="F71" s="184">
        <v>0</v>
      </c>
      <c r="G71" s="169"/>
    </row>
    <row r="72" spans="1:7" s="151" customFormat="1" ht="12.75" x14ac:dyDescent="0.2">
      <c r="A72" s="169"/>
      <c r="B72" s="169"/>
      <c r="C72" s="169"/>
      <c r="D72" s="169"/>
      <c r="E72" s="169"/>
      <c r="F72" s="169"/>
      <c r="G72" s="169"/>
    </row>
    <row r="73" spans="1:7" s="150" customFormat="1" ht="15.75" x14ac:dyDescent="0.25">
      <c r="A73" s="147" t="s">
        <v>240</v>
      </c>
      <c r="B73" s="148"/>
      <c r="C73" s="148"/>
      <c r="D73" s="148"/>
      <c r="E73" s="148"/>
      <c r="F73" s="148"/>
      <c r="G73" s="148"/>
    </row>
    <row r="74" spans="1:7" s="151" customFormat="1" ht="12.75" x14ac:dyDescent="0.2">
      <c r="A74" s="333" t="s">
        <v>241</v>
      </c>
      <c r="B74" s="333"/>
      <c r="C74" s="333"/>
      <c r="D74" s="333"/>
      <c r="E74" s="333"/>
      <c r="F74" s="333"/>
      <c r="G74" s="333"/>
    </row>
    <row r="75" spans="1:7" s="151" customFormat="1" ht="12.75" x14ac:dyDescent="0.2">
      <c r="A75" s="169"/>
      <c r="B75" s="173" t="s">
        <v>159</v>
      </c>
      <c r="C75" s="173" t="s">
        <v>163</v>
      </c>
      <c r="D75" s="173"/>
      <c r="E75" s="173"/>
      <c r="F75" s="173"/>
      <c r="G75" s="173" t="s">
        <v>164</v>
      </c>
    </row>
    <row r="76" spans="1:7" s="151" customFormat="1" ht="25.5" x14ac:dyDescent="0.2">
      <c r="A76" s="169"/>
      <c r="B76" s="182" t="s">
        <v>242</v>
      </c>
      <c r="C76" s="178">
        <v>0</v>
      </c>
      <c r="D76" s="169"/>
      <c r="E76" s="169"/>
      <c r="F76" s="169"/>
      <c r="G76" s="169"/>
    </row>
    <row r="77" spans="1:7" s="151" customFormat="1" ht="25.5" x14ac:dyDescent="0.2">
      <c r="A77" s="169"/>
      <c r="B77" s="182" t="s">
        <v>243</v>
      </c>
      <c r="C77" s="187">
        <v>0</v>
      </c>
      <c r="D77" s="169"/>
      <c r="E77" s="169"/>
      <c r="F77" s="169"/>
      <c r="G77" s="169"/>
    </row>
    <row r="78" spans="1:7" s="151" customFormat="1" ht="12.75" x14ac:dyDescent="0.2">
      <c r="A78" s="169"/>
      <c r="B78" s="169"/>
      <c r="C78" s="169"/>
      <c r="D78" s="169"/>
      <c r="E78" s="169"/>
      <c r="F78" s="169"/>
      <c r="G78" s="169"/>
    </row>
    <row r="79" spans="1:7" s="151" customFormat="1" ht="12.75" x14ac:dyDescent="0.2">
      <c r="A79" s="169"/>
      <c r="B79" s="169"/>
      <c r="C79" s="169"/>
      <c r="D79" s="169"/>
      <c r="E79" s="169"/>
      <c r="F79" s="169"/>
      <c r="G79" s="169"/>
    </row>
    <row r="80" spans="1:7" s="150" customFormat="1" ht="15.75" x14ac:dyDescent="0.25">
      <c r="A80" s="147" t="s">
        <v>244</v>
      </c>
      <c r="B80" s="148"/>
      <c r="C80" s="148"/>
      <c r="D80" s="148"/>
      <c r="E80" s="148"/>
      <c r="F80" s="148"/>
      <c r="G80" s="148"/>
    </row>
    <row r="81" spans="1:7" s="151" customFormat="1" ht="12.75" x14ac:dyDescent="0.2">
      <c r="A81" s="333" t="s">
        <v>245</v>
      </c>
      <c r="B81" s="333"/>
      <c r="C81" s="333"/>
      <c r="D81" s="333"/>
      <c r="E81" s="333"/>
      <c r="F81" s="333"/>
      <c r="G81" s="333"/>
    </row>
    <row r="82" spans="1:7" s="151" customFormat="1" ht="12.75" x14ac:dyDescent="0.2">
      <c r="A82" s="169"/>
      <c r="B82" s="173" t="s">
        <v>159</v>
      </c>
      <c r="C82" s="173" t="s">
        <v>246</v>
      </c>
      <c r="D82" s="173"/>
      <c r="E82" s="173"/>
      <c r="F82" s="173"/>
      <c r="G82" s="173" t="s">
        <v>164</v>
      </c>
    </row>
    <row r="83" spans="1:7" s="151" customFormat="1" ht="12.75" x14ac:dyDescent="0.2">
      <c r="A83" s="169"/>
      <c r="B83" s="169" t="s">
        <v>247</v>
      </c>
      <c r="C83" s="184">
        <v>0</v>
      </c>
      <c r="D83" s="169"/>
      <c r="E83" s="169"/>
      <c r="F83" s="169"/>
      <c r="G83" s="169"/>
    </row>
    <row r="84" spans="1:7" s="151" customFormat="1" ht="12.75" x14ac:dyDescent="0.2">
      <c r="A84" s="169"/>
      <c r="B84" s="169" t="s">
        <v>248</v>
      </c>
      <c r="C84" s="184">
        <v>0</v>
      </c>
      <c r="D84" s="169"/>
      <c r="E84" s="169"/>
      <c r="F84" s="169"/>
      <c r="G84" s="169"/>
    </row>
    <row r="85" spans="1:7" s="151" customFormat="1" ht="12.75" x14ac:dyDescent="0.2">
      <c r="A85" s="169"/>
      <c r="B85" s="169"/>
      <c r="C85" s="169"/>
      <c r="D85" s="169"/>
      <c r="E85" s="169"/>
      <c r="F85" s="169"/>
      <c r="G85" s="169"/>
    </row>
    <row r="86" spans="1:7" s="151" customFormat="1" ht="12.75" x14ac:dyDescent="0.2">
      <c r="A86" s="169"/>
      <c r="B86" s="169"/>
      <c r="C86" s="169"/>
      <c r="D86" s="169"/>
      <c r="E86" s="169"/>
      <c r="F86" s="169"/>
      <c r="G86" s="169"/>
    </row>
    <row r="87" spans="1:7" s="150" customFormat="1" ht="15.75" x14ac:dyDescent="0.25">
      <c r="A87" s="205" t="s">
        <v>249</v>
      </c>
      <c r="B87" s="206"/>
      <c r="C87" s="206"/>
      <c r="D87" s="206"/>
      <c r="E87" s="206"/>
      <c r="F87" s="206"/>
      <c r="G87" s="206"/>
    </row>
    <row r="88" spans="1:7" s="151" customFormat="1" ht="12.75" x14ac:dyDescent="0.2">
      <c r="A88" s="324"/>
      <c r="B88" s="324"/>
      <c r="C88" s="324"/>
      <c r="D88" s="324"/>
      <c r="E88" s="324"/>
      <c r="F88" s="324"/>
      <c r="G88" s="324"/>
    </row>
    <row r="89" spans="1:7" s="151" customFormat="1" ht="12.75" x14ac:dyDescent="0.2">
      <c r="A89" s="324"/>
      <c r="B89" s="324"/>
      <c r="C89" s="324"/>
      <c r="D89" s="324"/>
      <c r="E89" s="324"/>
      <c r="F89" s="324"/>
      <c r="G89" s="324"/>
    </row>
    <row r="90" spans="1:7" s="151" customFormat="1" ht="12.75" x14ac:dyDescent="0.2">
      <c r="A90" s="324"/>
      <c r="B90" s="324"/>
      <c r="C90" s="324"/>
      <c r="D90" s="324"/>
      <c r="E90" s="324"/>
      <c r="F90" s="324"/>
      <c r="G90" s="324"/>
    </row>
    <row r="91" spans="1:7" s="151" customFormat="1" ht="12.75" x14ac:dyDescent="0.2">
      <c r="A91" s="324"/>
      <c r="B91" s="324"/>
      <c r="C91" s="324"/>
      <c r="D91" s="324"/>
      <c r="E91" s="324"/>
      <c r="F91" s="324"/>
      <c r="G91" s="324"/>
    </row>
    <row r="92" spans="1:7" s="151" customFormat="1" ht="12.75" x14ac:dyDescent="0.2">
      <c r="A92" s="324"/>
      <c r="B92" s="324"/>
      <c r="C92" s="324"/>
      <c r="D92" s="324"/>
      <c r="E92" s="324"/>
      <c r="F92" s="324"/>
      <c r="G92" s="324"/>
    </row>
    <row r="93" spans="1:7" s="151" customFormat="1" ht="12.75" x14ac:dyDescent="0.2">
      <c r="A93" s="324"/>
      <c r="B93" s="324"/>
      <c r="C93" s="324"/>
      <c r="D93" s="324"/>
      <c r="E93" s="324"/>
      <c r="F93" s="324"/>
      <c r="G93" s="324"/>
    </row>
  </sheetData>
  <mergeCells count="19">
    <mergeCell ref="A93:G93"/>
    <mergeCell ref="A81:G81"/>
    <mergeCell ref="A88:G88"/>
    <mergeCell ref="A89:G89"/>
    <mergeCell ref="A90:G90"/>
    <mergeCell ref="A91:G91"/>
    <mergeCell ref="A92:G92"/>
    <mergeCell ref="A74:G74"/>
    <mergeCell ref="A1:G1"/>
    <mergeCell ref="A2:G2"/>
    <mergeCell ref="A3:G3"/>
    <mergeCell ref="A5:G5"/>
    <mergeCell ref="A6:G6"/>
    <mergeCell ref="E9:F9"/>
    <mergeCell ref="A21:G21"/>
    <mergeCell ref="E24:F24"/>
    <mergeCell ref="A45:G45"/>
    <mergeCell ref="E48:F48"/>
    <mergeCell ref="A67:G67"/>
  </mergeCells>
  <pageMargins left="0.7" right="0.7" top="0.75" bottom="0.75" header="0.3" footer="0.3"/>
  <pageSetup scale="47"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workbookViewId="0">
      <selection activeCell="D16" sqref="D16"/>
    </sheetView>
  </sheetViews>
  <sheetFormatPr defaultRowHeight="15" x14ac:dyDescent="0.25"/>
  <cols>
    <col min="1" max="1" width="12.7109375" style="146" customWidth="1"/>
    <col min="2" max="2" width="36" style="146" customWidth="1"/>
    <col min="3" max="3" width="29.140625" style="146" customWidth="1"/>
    <col min="4" max="4" width="10.85546875" style="146" customWidth="1"/>
    <col min="5" max="5" width="9.28515625" style="146" customWidth="1"/>
    <col min="6" max="6" width="9.140625" style="146"/>
    <col min="7" max="7" width="27.42578125" style="146" customWidth="1"/>
    <col min="8" max="16384" width="9.140625" style="146"/>
  </cols>
  <sheetData>
    <row r="1" spans="1:7" ht="18.75" x14ac:dyDescent="0.3">
      <c r="A1" s="340" t="s">
        <v>149</v>
      </c>
      <c r="B1" s="340"/>
      <c r="C1" s="340"/>
      <c r="D1" s="340"/>
      <c r="E1" s="340"/>
      <c r="F1" s="340"/>
      <c r="G1" s="340"/>
    </row>
    <row r="2" spans="1:7" ht="18.75" x14ac:dyDescent="0.3">
      <c r="A2" s="340" t="s">
        <v>150</v>
      </c>
      <c r="B2" s="340"/>
      <c r="C2" s="340"/>
      <c r="D2" s="340"/>
      <c r="E2" s="340"/>
      <c r="F2" s="340"/>
      <c r="G2" s="340"/>
    </row>
    <row r="3" spans="1:7" ht="18.75" x14ac:dyDescent="0.3">
      <c r="A3" s="340" t="s">
        <v>151</v>
      </c>
      <c r="B3" s="340"/>
      <c r="C3" s="340"/>
      <c r="D3" s="340"/>
      <c r="E3" s="340"/>
      <c r="F3" s="340"/>
      <c r="G3" s="340"/>
    </row>
    <row r="5" spans="1:7" s="207" customFormat="1" ht="15.75" x14ac:dyDescent="0.25">
      <c r="A5" s="341" t="s">
        <v>250</v>
      </c>
      <c r="B5" s="341"/>
      <c r="C5" s="341"/>
      <c r="D5" s="341"/>
      <c r="E5" s="341"/>
      <c r="F5" s="341"/>
      <c r="G5" s="341"/>
    </row>
    <row r="6" spans="1:7" s="208" customFormat="1" ht="12.75" x14ac:dyDescent="0.2">
      <c r="A6" s="342" t="s">
        <v>251</v>
      </c>
      <c r="B6" s="342"/>
      <c r="C6" s="342"/>
      <c r="D6" s="342"/>
      <c r="E6" s="342"/>
      <c r="F6" s="342"/>
      <c r="G6" s="342"/>
    </row>
    <row r="7" spans="1:7" s="208" customFormat="1" ht="12.75" x14ac:dyDescent="0.2">
      <c r="A7" s="208" t="s">
        <v>154</v>
      </c>
    </row>
    <row r="8" spans="1:7" s="208" customFormat="1" ht="12.75" x14ac:dyDescent="0.2">
      <c r="A8" s="208" t="s">
        <v>156</v>
      </c>
      <c r="B8" s="209" t="s">
        <v>316</v>
      </c>
    </row>
    <row r="9" spans="1:7" s="208" customFormat="1" ht="12.75" x14ac:dyDescent="0.2">
      <c r="E9" s="343" t="s">
        <v>158</v>
      </c>
      <c r="F9" s="343"/>
    </row>
    <row r="10" spans="1:7" s="208" customFormat="1" ht="12.75" x14ac:dyDescent="0.2">
      <c r="A10" s="210"/>
      <c r="B10" s="211" t="s">
        <v>159</v>
      </c>
      <c r="C10" s="211" t="s">
        <v>160</v>
      </c>
      <c r="D10" s="211" t="s">
        <v>161</v>
      </c>
      <c r="E10" s="211" t="s">
        <v>162</v>
      </c>
      <c r="F10" s="212" t="s">
        <v>163</v>
      </c>
      <c r="G10" s="211" t="s">
        <v>164</v>
      </c>
    </row>
    <row r="11" spans="1:7" s="208" customFormat="1" x14ac:dyDescent="0.25">
      <c r="A11" s="210"/>
      <c r="B11" s="213" t="s">
        <v>254</v>
      </c>
      <c r="C11" s="213" t="s">
        <v>207</v>
      </c>
      <c r="D11" s="214">
        <v>375.06419999999991</v>
      </c>
      <c r="E11" s="215">
        <v>0</v>
      </c>
      <c r="F11" s="216">
        <v>0</v>
      </c>
      <c r="G11" s="210"/>
    </row>
    <row r="12" spans="1:7" s="208" customFormat="1" x14ac:dyDescent="0.25">
      <c r="A12" s="210"/>
      <c r="B12" s="210" t="s">
        <v>260</v>
      </c>
      <c r="C12" s="210"/>
      <c r="D12" s="214">
        <v>57.12</v>
      </c>
      <c r="E12" s="215">
        <v>0</v>
      </c>
      <c r="F12" s="216">
        <v>0</v>
      </c>
      <c r="G12" s="210" t="s">
        <v>317</v>
      </c>
    </row>
    <row r="13" spans="1:7" s="208" customFormat="1" x14ac:dyDescent="0.25">
      <c r="A13" s="210"/>
      <c r="B13" s="210" t="s">
        <v>281</v>
      </c>
      <c r="C13" s="210" t="s">
        <v>262</v>
      </c>
      <c r="D13" s="214">
        <v>57.12</v>
      </c>
      <c r="E13" s="215">
        <v>0</v>
      </c>
      <c r="F13" s="216">
        <v>0</v>
      </c>
      <c r="G13" s="210"/>
    </row>
    <row r="14" spans="1:7" s="208" customFormat="1" x14ac:dyDescent="0.25">
      <c r="A14" s="210"/>
      <c r="B14" s="210" t="s">
        <v>167</v>
      </c>
      <c r="C14" s="210" t="s">
        <v>318</v>
      </c>
      <c r="D14" s="214">
        <v>2940</v>
      </c>
      <c r="E14" s="215">
        <v>0</v>
      </c>
      <c r="F14" s="216">
        <v>0</v>
      </c>
      <c r="G14" s="210"/>
    </row>
    <row r="15" spans="1:7" s="208" customFormat="1" ht="64.5" customHeight="1" x14ac:dyDescent="0.2">
      <c r="A15" s="210"/>
      <c r="B15" s="217" t="s">
        <v>267</v>
      </c>
      <c r="C15" s="217"/>
      <c r="D15" s="218"/>
      <c r="E15" s="215"/>
      <c r="F15" s="216"/>
      <c r="G15" s="210"/>
    </row>
    <row r="16" spans="1:7" s="208" customFormat="1" ht="12.75" x14ac:dyDescent="0.2">
      <c r="A16" s="210"/>
      <c r="B16" s="217" t="s">
        <v>319</v>
      </c>
      <c r="C16" s="217" t="s">
        <v>320</v>
      </c>
      <c r="D16" s="219">
        <v>2522.9524437600007</v>
      </c>
      <c r="E16" s="215"/>
      <c r="F16" s="216"/>
      <c r="G16" s="210"/>
    </row>
    <row r="17" spans="1:7" s="208" customFormat="1" ht="38.25" x14ac:dyDescent="0.2">
      <c r="A17" s="210"/>
      <c r="B17" s="217" t="s">
        <v>321</v>
      </c>
      <c r="C17" s="217" t="s">
        <v>322</v>
      </c>
      <c r="D17" s="218">
        <v>1638.28</v>
      </c>
      <c r="E17" s="215"/>
      <c r="F17" s="216"/>
      <c r="G17" s="210"/>
    </row>
    <row r="18" spans="1:7" s="208" customFormat="1" ht="25.5" x14ac:dyDescent="0.2">
      <c r="A18" s="210"/>
      <c r="B18" s="220" t="s">
        <v>186</v>
      </c>
      <c r="C18" s="210"/>
      <c r="D18" s="218">
        <v>0</v>
      </c>
      <c r="E18" s="215">
        <v>0</v>
      </c>
      <c r="F18" s="216">
        <v>0</v>
      </c>
      <c r="G18" s="210" t="s">
        <v>323</v>
      </c>
    </row>
    <row r="19" spans="1:7" s="208" customFormat="1" ht="25.5" x14ac:dyDescent="0.2">
      <c r="A19" s="210"/>
      <c r="B19" s="220" t="s">
        <v>188</v>
      </c>
      <c r="C19" s="210" t="s">
        <v>324</v>
      </c>
      <c r="D19" s="218">
        <v>1635</v>
      </c>
      <c r="E19" s="215">
        <v>0</v>
      </c>
      <c r="F19" s="216">
        <v>0</v>
      </c>
      <c r="G19" s="210"/>
    </row>
    <row r="20" spans="1:7" s="208" customFormat="1" ht="12.75" x14ac:dyDescent="0.2">
      <c r="A20" s="210"/>
      <c r="C20" s="210"/>
      <c r="E20" s="215"/>
      <c r="F20" s="216"/>
      <c r="G20" s="210"/>
    </row>
    <row r="21" spans="1:7" s="208" customFormat="1" ht="12.75" x14ac:dyDescent="0.2">
      <c r="A21" s="210"/>
      <c r="B21" s="210"/>
      <c r="C21" s="210"/>
      <c r="D21" s="218"/>
      <c r="E21" s="215"/>
      <c r="F21" s="216"/>
      <c r="G21" s="210"/>
    </row>
    <row r="22" spans="1:7" s="207" customFormat="1" ht="15.75" x14ac:dyDescent="0.25">
      <c r="A22" s="221" t="s">
        <v>152</v>
      </c>
      <c r="B22" s="222"/>
      <c r="C22" s="222"/>
      <c r="D22" s="222"/>
      <c r="E22" s="222"/>
      <c r="F22" s="222"/>
      <c r="G22" s="222"/>
    </row>
    <row r="23" spans="1:7" s="208" customFormat="1" ht="12.75" x14ac:dyDescent="0.2">
      <c r="A23" s="339" t="s">
        <v>153</v>
      </c>
      <c r="B23" s="339"/>
      <c r="C23" s="339"/>
      <c r="D23" s="339"/>
      <c r="E23" s="339"/>
      <c r="F23" s="339"/>
      <c r="G23" s="339"/>
    </row>
    <row r="24" spans="1:7" s="208" customFormat="1" ht="12.75" x14ac:dyDescent="0.2">
      <c r="A24" s="210" t="s">
        <v>154</v>
      </c>
      <c r="B24" s="210"/>
      <c r="C24" s="210"/>
      <c r="D24" s="210"/>
      <c r="E24" s="210"/>
      <c r="F24" s="210"/>
      <c r="G24" s="210"/>
    </row>
    <row r="25" spans="1:7" s="208" customFormat="1" ht="12.75" x14ac:dyDescent="0.2">
      <c r="A25" s="210" t="s">
        <v>156</v>
      </c>
      <c r="B25" s="213" t="s">
        <v>325</v>
      </c>
      <c r="C25" s="210"/>
      <c r="D25" s="210"/>
      <c r="E25" s="210"/>
      <c r="F25" s="210"/>
      <c r="G25" s="210"/>
    </row>
    <row r="26" spans="1:7" s="208" customFormat="1" ht="12.75" x14ac:dyDescent="0.2">
      <c r="A26" s="210"/>
      <c r="B26" s="210"/>
      <c r="C26" s="210"/>
      <c r="D26" s="210"/>
      <c r="E26" s="344" t="s">
        <v>158</v>
      </c>
      <c r="F26" s="344"/>
      <c r="G26" s="210"/>
    </row>
    <row r="27" spans="1:7" s="208" customFormat="1" ht="12.75" x14ac:dyDescent="0.2">
      <c r="A27" s="210"/>
      <c r="B27" s="211" t="s">
        <v>159</v>
      </c>
      <c r="C27" s="211" t="s">
        <v>160</v>
      </c>
      <c r="D27" s="211" t="s">
        <v>161</v>
      </c>
      <c r="E27" s="211" t="s">
        <v>162</v>
      </c>
      <c r="F27" s="212" t="s">
        <v>163</v>
      </c>
      <c r="G27" s="211" t="s">
        <v>164</v>
      </c>
    </row>
    <row r="28" spans="1:7" s="208" customFormat="1" ht="12.75" x14ac:dyDescent="0.2">
      <c r="A28" s="210"/>
      <c r="B28" s="213" t="s">
        <v>165</v>
      </c>
      <c r="C28" s="213" t="s">
        <v>166</v>
      </c>
      <c r="D28" s="218">
        <v>23500</v>
      </c>
      <c r="E28" s="215">
        <v>5</v>
      </c>
      <c r="F28" s="216">
        <v>0.1</v>
      </c>
      <c r="G28" s="210" t="s">
        <v>326</v>
      </c>
    </row>
    <row r="29" spans="1:7" s="208" customFormat="1" ht="12.75" x14ac:dyDescent="0.2">
      <c r="A29" s="210"/>
      <c r="B29" s="213" t="s">
        <v>285</v>
      </c>
      <c r="C29" s="213" t="s">
        <v>286</v>
      </c>
      <c r="D29" s="218">
        <v>11865</v>
      </c>
      <c r="E29" s="215">
        <v>5</v>
      </c>
      <c r="F29" s="216">
        <v>0.1</v>
      </c>
      <c r="G29" s="210" t="s">
        <v>327</v>
      </c>
    </row>
    <row r="30" spans="1:7" s="208" customFormat="1" ht="12.75" x14ac:dyDescent="0.2">
      <c r="A30" s="210"/>
      <c r="B30" s="210" t="s">
        <v>167</v>
      </c>
      <c r="C30" s="210" t="s">
        <v>328</v>
      </c>
      <c r="D30" s="218">
        <v>4009</v>
      </c>
      <c r="E30" s="215">
        <v>0</v>
      </c>
      <c r="F30" s="216">
        <v>0</v>
      </c>
      <c r="G30" s="210"/>
    </row>
    <row r="31" spans="1:7" s="208" customFormat="1" ht="12.75" x14ac:dyDescent="0.2">
      <c r="A31" s="210"/>
      <c r="B31" s="210" t="s">
        <v>169</v>
      </c>
      <c r="C31" s="210"/>
      <c r="D31" s="218">
        <v>0</v>
      </c>
      <c r="E31" s="215">
        <v>0</v>
      </c>
      <c r="F31" s="216">
        <v>0</v>
      </c>
      <c r="G31" s="210" t="s">
        <v>329</v>
      </c>
    </row>
    <row r="32" spans="1:7" s="208" customFormat="1" ht="38.25" x14ac:dyDescent="0.2">
      <c r="A32" s="210"/>
      <c r="B32" s="220" t="s">
        <v>172</v>
      </c>
      <c r="C32" s="210"/>
      <c r="D32" s="218">
        <v>0</v>
      </c>
      <c r="E32" s="215">
        <v>0</v>
      </c>
      <c r="F32" s="216">
        <v>0</v>
      </c>
      <c r="G32" s="210" t="s">
        <v>329</v>
      </c>
    </row>
    <row r="33" spans="1:7" s="208" customFormat="1" ht="25.5" x14ac:dyDescent="0.2">
      <c r="A33" s="210"/>
      <c r="B33" s="220" t="s">
        <v>173</v>
      </c>
      <c r="C33" s="210"/>
      <c r="D33" s="218">
        <v>0</v>
      </c>
      <c r="E33" s="215">
        <v>0</v>
      </c>
      <c r="F33" s="216">
        <v>0</v>
      </c>
      <c r="G33" s="210" t="s">
        <v>329</v>
      </c>
    </row>
    <row r="34" spans="1:7" s="208" customFormat="1" ht="25.5" x14ac:dyDescent="0.2">
      <c r="A34" s="210"/>
      <c r="B34" s="220" t="s">
        <v>174</v>
      </c>
      <c r="C34" s="210" t="s">
        <v>175</v>
      </c>
      <c r="D34" s="218">
        <v>0</v>
      </c>
      <c r="E34" s="215">
        <v>0</v>
      </c>
      <c r="F34" s="216">
        <v>0</v>
      </c>
      <c r="G34" s="210" t="s">
        <v>329</v>
      </c>
    </row>
    <row r="35" spans="1:7" s="208" customFormat="1" ht="12.75" x14ac:dyDescent="0.2">
      <c r="A35" s="210"/>
      <c r="B35" s="210" t="s">
        <v>176</v>
      </c>
      <c r="C35" s="210"/>
      <c r="D35" s="218">
        <v>0</v>
      </c>
      <c r="E35" s="215">
        <v>0</v>
      </c>
      <c r="F35" s="216">
        <v>0</v>
      </c>
      <c r="G35" s="210" t="s">
        <v>329</v>
      </c>
    </row>
    <row r="36" spans="1:7" s="208" customFormat="1" ht="12.75" x14ac:dyDescent="0.2">
      <c r="A36" s="210"/>
      <c r="B36" s="210" t="s">
        <v>178</v>
      </c>
      <c r="C36" s="210" t="s">
        <v>179</v>
      </c>
      <c r="D36" s="218">
        <v>0</v>
      </c>
      <c r="E36" s="215">
        <v>0</v>
      </c>
      <c r="F36" s="216">
        <v>0</v>
      </c>
      <c r="G36" s="210" t="s">
        <v>330</v>
      </c>
    </row>
    <row r="37" spans="1:7" s="208" customFormat="1" ht="63.75" x14ac:dyDescent="0.2">
      <c r="A37" s="210"/>
      <c r="B37" s="210" t="s">
        <v>181</v>
      </c>
      <c r="C37" s="220" t="s">
        <v>182</v>
      </c>
      <c r="D37" s="218">
        <v>0</v>
      </c>
      <c r="E37" s="215">
        <v>0</v>
      </c>
      <c r="F37" s="216">
        <v>0</v>
      </c>
      <c r="G37" s="210"/>
    </row>
    <row r="38" spans="1:7" s="208" customFormat="1" ht="12.75" x14ac:dyDescent="0.2">
      <c r="A38" s="210"/>
      <c r="B38" s="223" t="s">
        <v>184</v>
      </c>
      <c r="C38" s="210"/>
      <c r="D38" s="218">
        <v>0</v>
      </c>
      <c r="E38" s="215">
        <v>0</v>
      </c>
      <c r="F38" s="216">
        <v>0</v>
      </c>
      <c r="G38" s="210" t="s">
        <v>266</v>
      </c>
    </row>
    <row r="39" spans="1:7" s="208" customFormat="1" ht="25.5" x14ac:dyDescent="0.2">
      <c r="A39" s="210"/>
      <c r="B39" s="224" t="s">
        <v>291</v>
      </c>
      <c r="C39" s="210"/>
      <c r="D39" s="218">
        <v>0</v>
      </c>
      <c r="E39" s="215">
        <v>0</v>
      </c>
      <c r="F39" s="216">
        <v>0</v>
      </c>
      <c r="G39" s="210" t="s">
        <v>266</v>
      </c>
    </row>
    <row r="40" spans="1:7" s="208" customFormat="1" ht="25.5" x14ac:dyDescent="0.2">
      <c r="A40" s="210"/>
      <c r="B40" s="224" t="s">
        <v>293</v>
      </c>
      <c r="C40" s="210"/>
      <c r="D40" s="218">
        <v>7280</v>
      </c>
      <c r="E40" s="215">
        <v>5</v>
      </c>
      <c r="F40" s="216">
        <v>0.1</v>
      </c>
      <c r="G40" s="210" t="s">
        <v>331</v>
      </c>
    </row>
    <row r="41" spans="1:7" s="208" customFormat="1" ht="25.5" x14ac:dyDescent="0.2">
      <c r="A41" s="210"/>
      <c r="B41" s="224" t="s">
        <v>294</v>
      </c>
      <c r="C41" s="210"/>
      <c r="D41" s="218">
        <v>0</v>
      </c>
      <c r="E41" s="215">
        <v>0</v>
      </c>
      <c r="F41" s="216">
        <v>0</v>
      </c>
      <c r="G41" s="210" t="s">
        <v>266</v>
      </c>
    </row>
    <row r="42" spans="1:7" s="208" customFormat="1" ht="25.5" x14ac:dyDescent="0.2">
      <c r="A42" s="210"/>
      <c r="B42" s="217" t="s">
        <v>186</v>
      </c>
      <c r="C42" s="210"/>
      <c r="D42" s="218">
        <v>0</v>
      </c>
      <c r="E42" s="215">
        <v>0</v>
      </c>
      <c r="F42" s="216">
        <v>0</v>
      </c>
      <c r="G42" s="210" t="s">
        <v>266</v>
      </c>
    </row>
    <row r="43" spans="1:7" s="208" customFormat="1" ht="25.5" x14ac:dyDescent="0.2">
      <c r="A43" s="210"/>
      <c r="B43" s="220" t="s">
        <v>188</v>
      </c>
      <c r="C43" s="210"/>
      <c r="D43" s="218">
        <v>0</v>
      </c>
      <c r="E43" s="215">
        <v>0</v>
      </c>
      <c r="F43" s="216">
        <v>0</v>
      </c>
      <c r="G43" s="210"/>
    </row>
    <row r="44" spans="1:7" s="208" customFormat="1" ht="12.75" x14ac:dyDescent="0.2">
      <c r="A44" s="210"/>
      <c r="B44" s="210"/>
      <c r="C44" s="210"/>
      <c r="D44" s="218"/>
      <c r="E44" s="215"/>
      <c r="F44" s="216"/>
      <c r="G44" s="210"/>
    </row>
    <row r="45" spans="1:7" s="208" customFormat="1" ht="12.75" x14ac:dyDescent="0.2">
      <c r="A45" s="210"/>
      <c r="B45" s="210"/>
      <c r="C45" s="210"/>
      <c r="D45" s="210"/>
      <c r="E45" s="210"/>
      <c r="F45" s="210"/>
      <c r="G45" s="210"/>
    </row>
    <row r="46" spans="1:7" s="207" customFormat="1" ht="15.75" x14ac:dyDescent="0.25">
      <c r="A46" s="221" t="s">
        <v>202</v>
      </c>
      <c r="B46" s="222"/>
      <c r="C46" s="222"/>
      <c r="D46" s="222"/>
      <c r="E46" s="222"/>
      <c r="F46" s="222"/>
      <c r="G46" s="222"/>
    </row>
    <row r="47" spans="1:7" s="208" customFormat="1" ht="12.75" x14ac:dyDescent="0.2">
      <c r="A47" s="339" t="s">
        <v>203</v>
      </c>
      <c r="B47" s="339"/>
      <c r="C47" s="339"/>
      <c r="D47" s="339"/>
      <c r="E47" s="339"/>
      <c r="F47" s="339"/>
      <c r="G47" s="339"/>
    </row>
    <row r="48" spans="1:7" s="208" customFormat="1" ht="12.75" x14ac:dyDescent="0.2">
      <c r="A48" s="210" t="s">
        <v>154</v>
      </c>
      <c r="B48" s="210"/>
      <c r="C48" s="210"/>
      <c r="D48" s="210"/>
      <c r="E48" s="210"/>
      <c r="F48" s="210"/>
      <c r="G48" s="210"/>
    </row>
    <row r="49" spans="1:7" s="208" customFormat="1" ht="12.75" x14ac:dyDescent="0.2">
      <c r="A49" s="210" t="s">
        <v>156</v>
      </c>
      <c r="B49" s="213" t="s">
        <v>332</v>
      </c>
      <c r="C49" s="210"/>
      <c r="D49" s="210"/>
      <c r="E49" s="210"/>
      <c r="F49" s="210"/>
      <c r="G49" s="210"/>
    </row>
    <row r="50" spans="1:7" s="208" customFormat="1" ht="12.75" x14ac:dyDescent="0.2">
      <c r="A50" s="210"/>
      <c r="B50" s="210"/>
      <c r="C50" s="210"/>
      <c r="D50" s="210"/>
      <c r="E50" s="344" t="s">
        <v>158</v>
      </c>
      <c r="F50" s="344"/>
      <c r="G50" s="210"/>
    </row>
    <row r="51" spans="1:7" s="208" customFormat="1" ht="12.75" x14ac:dyDescent="0.2">
      <c r="A51" s="210"/>
      <c r="B51" s="211" t="s">
        <v>159</v>
      </c>
      <c r="C51" s="211" t="s">
        <v>160</v>
      </c>
      <c r="D51" s="211" t="s">
        <v>161</v>
      </c>
      <c r="E51" s="211" t="s">
        <v>162</v>
      </c>
      <c r="F51" s="212" t="s">
        <v>163</v>
      </c>
      <c r="G51" s="211" t="s">
        <v>164</v>
      </c>
    </row>
    <row r="52" spans="1:7" s="208" customFormat="1" ht="12.75" x14ac:dyDescent="0.2">
      <c r="A52" s="210"/>
      <c r="B52" s="213" t="s">
        <v>206</v>
      </c>
      <c r="C52" s="213" t="s">
        <v>207</v>
      </c>
      <c r="D52" s="218">
        <v>16900</v>
      </c>
      <c r="E52" s="215">
        <v>5</v>
      </c>
      <c r="F52" s="216">
        <v>0.1</v>
      </c>
      <c r="G52" s="210"/>
    </row>
    <row r="53" spans="1:7" s="208" customFormat="1" ht="12.75" x14ac:dyDescent="0.2">
      <c r="A53" s="210"/>
      <c r="B53" s="210" t="s">
        <v>310</v>
      </c>
      <c r="C53" s="210"/>
      <c r="D53" s="218">
        <v>0</v>
      </c>
      <c r="E53" s="215">
        <v>0</v>
      </c>
      <c r="F53" s="216">
        <v>0</v>
      </c>
      <c r="G53" s="210" t="s">
        <v>329</v>
      </c>
    </row>
    <row r="54" spans="1:7" s="208" customFormat="1" ht="12.75" x14ac:dyDescent="0.2">
      <c r="A54" s="210"/>
      <c r="B54" s="210" t="s">
        <v>176</v>
      </c>
      <c r="C54" s="210"/>
      <c r="D54" s="218">
        <v>0</v>
      </c>
      <c r="E54" s="215">
        <v>0</v>
      </c>
      <c r="F54" s="216">
        <v>0</v>
      </c>
      <c r="G54" s="210" t="s">
        <v>329</v>
      </c>
    </row>
    <row r="55" spans="1:7" s="208" customFormat="1" ht="25.5" x14ac:dyDescent="0.2">
      <c r="A55" s="210"/>
      <c r="B55" s="225" t="s">
        <v>215</v>
      </c>
      <c r="C55" s="220" t="s">
        <v>216</v>
      </c>
      <c r="D55" s="218">
        <v>1115</v>
      </c>
      <c r="E55" s="215">
        <v>5</v>
      </c>
      <c r="F55" s="216">
        <v>0.1</v>
      </c>
      <c r="G55" s="210" t="s">
        <v>333</v>
      </c>
    </row>
    <row r="56" spans="1:7" s="208" customFormat="1" ht="25.5" x14ac:dyDescent="0.2">
      <c r="A56" s="210"/>
      <c r="B56" s="225"/>
      <c r="C56" s="220" t="s">
        <v>216</v>
      </c>
      <c r="D56" s="218">
        <v>1111.1400000000001</v>
      </c>
      <c r="E56" s="215">
        <v>5</v>
      </c>
      <c r="F56" s="216">
        <v>0.1</v>
      </c>
      <c r="G56" s="226" t="s">
        <v>334</v>
      </c>
    </row>
    <row r="57" spans="1:7" s="208" customFormat="1" ht="25.5" x14ac:dyDescent="0.2">
      <c r="A57" s="210"/>
      <c r="B57" s="220" t="s">
        <v>220</v>
      </c>
      <c r="C57" s="220" t="s">
        <v>221</v>
      </c>
      <c r="D57" s="218">
        <v>0</v>
      </c>
      <c r="E57" s="215">
        <v>0</v>
      </c>
      <c r="F57" s="216">
        <v>0</v>
      </c>
      <c r="G57" s="210" t="s">
        <v>335</v>
      </c>
    </row>
    <row r="58" spans="1:7" s="208" customFormat="1" ht="12.75" x14ac:dyDescent="0.2">
      <c r="A58" s="210"/>
      <c r="B58" s="220"/>
      <c r="C58" s="220"/>
      <c r="D58" s="218"/>
      <c r="E58" s="215"/>
      <c r="F58" s="216"/>
      <c r="G58" s="210"/>
    </row>
    <row r="59" spans="1:7" s="208" customFormat="1" ht="40.5" customHeight="1" x14ac:dyDescent="0.2">
      <c r="A59" s="210"/>
      <c r="B59" s="220" t="s">
        <v>223</v>
      </c>
      <c r="C59" s="220" t="s">
        <v>224</v>
      </c>
      <c r="D59" s="218">
        <v>0</v>
      </c>
      <c r="E59" s="215">
        <v>0</v>
      </c>
      <c r="F59" s="216">
        <v>0</v>
      </c>
      <c r="G59" s="210"/>
    </row>
    <row r="60" spans="1:7" s="208" customFormat="1" ht="12.75" x14ac:dyDescent="0.2">
      <c r="A60" s="210"/>
      <c r="B60" s="210" t="s">
        <v>314</v>
      </c>
      <c r="C60" s="210"/>
      <c r="D60" s="218">
        <v>0</v>
      </c>
      <c r="E60" s="215">
        <v>0</v>
      </c>
      <c r="F60" s="216">
        <v>0</v>
      </c>
      <c r="G60" s="210" t="s">
        <v>336</v>
      </c>
    </row>
    <row r="61" spans="1:7" s="208" customFormat="1" ht="12.75" x14ac:dyDescent="0.2">
      <c r="A61" s="210"/>
      <c r="B61" s="210" t="s">
        <v>167</v>
      </c>
      <c r="C61" s="210"/>
      <c r="D61" s="218">
        <v>0</v>
      </c>
      <c r="E61" s="215">
        <v>0</v>
      </c>
      <c r="F61" s="216">
        <v>0</v>
      </c>
      <c r="G61" s="210"/>
    </row>
    <row r="62" spans="1:7" s="208" customFormat="1" ht="12.75" x14ac:dyDescent="0.2">
      <c r="A62" s="210"/>
      <c r="B62" s="223" t="s">
        <v>225</v>
      </c>
      <c r="C62" s="223" t="s">
        <v>226</v>
      </c>
      <c r="D62" s="218">
        <v>0</v>
      </c>
      <c r="E62" s="215">
        <v>0</v>
      </c>
      <c r="F62" s="216">
        <v>0</v>
      </c>
      <c r="G62" s="210" t="s">
        <v>266</v>
      </c>
    </row>
    <row r="63" spans="1:7" s="208" customFormat="1" ht="12.75" x14ac:dyDescent="0.2">
      <c r="A63" s="210"/>
      <c r="B63" s="223" t="s">
        <v>227</v>
      </c>
      <c r="C63" s="223" t="s">
        <v>226</v>
      </c>
      <c r="D63" s="218">
        <v>0</v>
      </c>
      <c r="E63" s="215">
        <v>0</v>
      </c>
      <c r="F63" s="216">
        <v>0</v>
      </c>
      <c r="G63" s="210" t="s">
        <v>266</v>
      </c>
    </row>
    <row r="64" spans="1:7" s="208" customFormat="1" ht="25.5" x14ac:dyDescent="0.2">
      <c r="A64" s="210"/>
      <c r="B64" s="220" t="s">
        <v>186</v>
      </c>
      <c r="C64" s="210"/>
      <c r="D64" s="218">
        <v>0</v>
      </c>
      <c r="E64" s="215">
        <v>0</v>
      </c>
      <c r="F64" s="216">
        <v>0</v>
      </c>
      <c r="G64" s="210"/>
    </row>
    <row r="65" spans="1:7" s="208" customFormat="1" ht="25.5" x14ac:dyDescent="0.2">
      <c r="A65" s="210"/>
      <c r="B65" s="220" t="s">
        <v>188</v>
      </c>
      <c r="C65" s="210"/>
      <c r="D65" s="218">
        <v>0</v>
      </c>
      <c r="E65" s="215">
        <v>0</v>
      </c>
      <c r="F65" s="216">
        <v>0</v>
      </c>
      <c r="G65" s="210"/>
    </row>
    <row r="66" spans="1:7" s="210" customFormat="1" ht="51" x14ac:dyDescent="0.25">
      <c r="B66" s="220" t="s">
        <v>228</v>
      </c>
      <c r="C66" s="220" t="s">
        <v>229</v>
      </c>
      <c r="D66" s="218">
        <v>0</v>
      </c>
      <c r="E66" s="215">
        <v>0</v>
      </c>
      <c r="F66" s="216">
        <v>0</v>
      </c>
    </row>
    <row r="67" spans="1:7" s="210" customFormat="1" ht="12.75" x14ac:dyDescent="0.25">
      <c r="B67" s="220"/>
      <c r="C67" s="220"/>
      <c r="D67" s="218"/>
      <c r="E67" s="215"/>
      <c r="F67" s="216"/>
    </row>
    <row r="68" spans="1:7" s="208" customFormat="1" ht="12.75" x14ac:dyDescent="0.2">
      <c r="A68" s="210"/>
      <c r="B68" s="210"/>
      <c r="C68" s="210"/>
      <c r="D68" s="218"/>
      <c r="E68" s="215"/>
      <c r="F68" s="216"/>
      <c r="G68" s="210"/>
    </row>
    <row r="69" spans="1:7" s="207" customFormat="1" ht="15.75" x14ac:dyDescent="0.25">
      <c r="A69" s="221" t="s">
        <v>232</v>
      </c>
      <c r="B69" s="222"/>
      <c r="C69" s="222"/>
      <c r="D69" s="222"/>
      <c r="E69" s="222"/>
      <c r="F69" s="222"/>
      <c r="G69" s="222"/>
    </row>
    <row r="70" spans="1:7" s="208" customFormat="1" ht="12.75" x14ac:dyDescent="0.2">
      <c r="A70" s="339" t="s">
        <v>233</v>
      </c>
      <c r="B70" s="339"/>
      <c r="C70" s="339"/>
      <c r="D70" s="339"/>
      <c r="E70" s="339"/>
      <c r="F70" s="339"/>
      <c r="G70" s="339"/>
    </row>
    <row r="71" spans="1:7" s="208" customFormat="1" ht="12.75" x14ac:dyDescent="0.2">
      <c r="A71" s="210"/>
      <c r="B71" s="211" t="s">
        <v>159</v>
      </c>
      <c r="C71" s="211" t="s">
        <v>234</v>
      </c>
      <c r="D71" s="211"/>
      <c r="E71" s="211"/>
      <c r="F71" s="211"/>
      <c r="G71" s="211" t="s">
        <v>164</v>
      </c>
    </row>
    <row r="72" spans="1:7" s="208" customFormat="1" ht="12.75" x14ac:dyDescent="0.2">
      <c r="A72" s="210"/>
      <c r="B72" s="210" t="s">
        <v>235</v>
      </c>
      <c r="C72" s="208" t="s">
        <v>337</v>
      </c>
      <c r="D72" s="218" t="s">
        <v>338</v>
      </c>
      <c r="E72" s="210"/>
      <c r="F72" s="210"/>
      <c r="G72" s="210"/>
    </row>
    <row r="73" spans="1:7" s="208" customFormat="1" ht="12.75" x14ac:dyDescent="0.2">
      <c r="A73" s="210"/>
      <c r="B73" s="210" t="s">
        <v>237</v>
      </c>
      <c r="C73" s="218">
        <v>0</v>
      </c>
      <c r="D73" s="210"/>
      <c r="E73" s="210"/>
      <c r="F73" s="210"/>
      <c r="G73" s="210"/>
    </row>
    <row r="74" spans="1:7" s="208" customFormat="1" ht="12.75" x14ac:dyDescent="0.2">
      <c r="A74" s="210"/>
      <c r="B74" s="210" t="s">
        <v>238</v>
      </c>
      <c r="C74" s="208" t="s">
        <v>339</v>
      </c>
      <c r="D74" s="218" t="s">
        <v>338</v>
      </c>
      <c r="E74" s="217">
        <v>0</v>
      </c>
      <c r="F74" s="218">
        <v>0</v>
      </c>
      <c r="G74" s="210"/>
    </row>
    <row r="75" spans="1:7" s="208" customFormat="1" ht="12.75" x14ac:dyDescent="0.2">
      <c r="A75" s="210"/>
      <c r="B75" s="210"/>
      <c r="C75" s="210"/>
      <c r="D75" s="210"/>
      <c r="E75" s="210"/>
      <c r="F75" s="210"/>
      <c r="G75" s="210"/>
    </row>
    <row r="76" spans="1:7" s="207" customFormat="1" ht="15.75" x14ac:dyDescent="0.25">
      <c r="A76" s="221" t="s">
        <v>240</v>
      </c>
      <c r="B76" s="222"/>
      <c r="C76" s="222"/>
      <c r="D76" s="222"/>
      <c r="E76" s="222"/>
      <c r="F76" s="222"/>
      <c r="G76" s="222"/>
    </row>
    <row r="77" spans="1:7" s="208" customFormat="1" ht="12.75" x14ac:dyDescent="0.2">
      <c r="A77" s="339" t="s">
        <v>241</v>
      </c>
      <c r="B77" s="339"/>
      <c r="C77" s="339"/>
      <c r="D77" s="339"/>
      <c r="E77" s="339"/>
      <c r="F77" s="339"/>
      <c r="G77" s="339"/>
    </row>
    <row r="78" spans="1:7" s="208" customFormat="1" ht="12.75" x14ac:dyDescent="0.2">
      <c r="A78" s="210"/>
      <c r="B78" s="211" t="s">
        <v>159</v>
      </c>
      <c r="C78" s="211" t="s">
        <v>163</v>
      </c>
      <c r="D78" s="211"/>
      <c r="E78" s="211"/>
      <c r="F78" s="211"/>
      <c r="G78" s="211" t="s">
        <v>164</v>
      </c>
    </row>
    <row r="79" spans="1:7" s="208" customFormat="1" ht="25.5" x14ac:dyDescent="0.2">
      <c r="A79" s="210"/>
      <c r="B79" s="220" t="s">
        <v>242</v>
      </c>
      <c r="C79" s="216">
        <v>0</v>
      </c>
      <c r="D79" s="210"/>
      <c r="E79" s="210"/>
      <c r="F79" s="210"/>
      <c r="G79" s="210"/>
    </row>
    <row r="80" spans="1:7" s="208" customFormat="1" ht="25.5" x14ac:dyDescent="0.2">
      <c r="A80" s="210"/>
      <c r="B80" s="220" t="s">
        <v>243</v>
      </c>
      <c r="C80" s="227">
        <v>0</v>
      </c>
      <c r="D80" s="210"/>
      <c r="E80" s="210"/>
      <c r="F80" s="210"/>
      <c r="G80" s="210"/>
    </row>
    <row r="81" spans="1:7" s="208" customFormat="1" ht="12.75" x14ac:dyDescent="0.2">
      <c r="A81" s="210"/>
      <c r="B81" s="210"/>
      <c r="C81" s="210"/>
      <c r="D81" s="210"/>
      <c r="E81" s="210"/>
      <c r="F81" s="210"/>
      <c r="G81" s="210"/>
    </row>
    <row r="82" spans="1:7" s="208" customFormat="1" ht="12.75" x14ac:dyDescent="0.2">
      <c r="A82" s="210"/>
      <c r="B82" s="210"/>
      <c r="C82" s="210"/>
      <c r="D82" s="210"/>
      <c r="E82" s="210"/>
      <c r="F82" s="210"/>
      <c r="G82" s="210"/>
    </row>
    <row r="83" spans="1:7" s="207" customFormat="1" ht="15.75" x14ac:dyDescent="0.25">
      <c r="A83" s="221" t="s">
        <v>244</v>
      </c>
      <c r="B83" s="222"/>
      <c r="C83" s="222"/>
      <c r="D83" s="222"/>
      <c r="E83" s="222"/>
      <c r="F83" s="222"/>
      <c r="G83" s="222"/>
    </row>
    <row r="84" spans="1:7" s="208" customFormat="1" ht="12.75" x14ac:dyDescent="0.2">
      <c r="A84" s="339" t="s">
        <v>245</v>
      </c>
      <c r="B84" s="339"/>
      <c r="C84" s="339"/>
      <c r="D84" s="339"/>
      <c r="E84" s="339"/>
      <c r="F84" s="339"/>
      <c r="G84" s="339"/>
    </row>
    <row r="85" spans="1:7" s="208" customFormat="1" ht="12.75" x14ac:dyDescent="0.2">
      <c r="A85" s="210"/>
      <c r="B85" s="211" t="s">
        <v>159</v>
      </c>
      <c r="C85" s="211" t="s">
        <v>246</v>
      </c>
      <c r="D85" s="211"/>
      <c r="E85" s="211"/>
      <c r="F85" s="211"/>
      <c r="G85" s="211" t="s">
        <v>164</v>
      </c>
    </row>
    <row r="86" spans="1:7" s="208" customFormat="1" ht="12.75" x14ac:dyDescent="0.2">
      <c r="A86" s="210"/>
      <c r="B86" s="210" t="s">
        <v>247</v>
      </c>
      <c r="C86" s="218">
        <v>0</v>
      </c>
      <c r="D86" s="210"/>
      <c r="E86" s="210"/>
      <c r="F86" s="210"/>
      <c r="G86" s="210"/>
    </row>
    <row r="87" spans="1:7" s="208" customFormat="1" ht="12.75" x14ac:dyDescent="0.2">
      <c r="A87" s="210"/>
      <c r="B87" s="210" t="s">
        <v>248</v>
      </c>
      <c r="C87" s="218">
        <v>0</v>
      </c>
      <c r="D87" s="210"/>
      <c r="E87" s="210"/>
      <c r="F87" s="210"/>
      <c r="G87" s="210"/>
    </row>
    <row r="88" spans="1:7" s="208" customFormat="1" ht="12.75" x14ac:dyDescent="0.2">
      <c r="A88" s="210"/>
      <c r="B88" s="210"/>
      <c r="C88" s="210"/>
      <c r="D88" s="210"/>
      <c r="E88" s="210"/>
      <c r="F88" s="210"/>
      <c r="G88" s="210"/>
    </row>
    <row r="89" spans="1:7" s="208" customFormat="1" ht="12.75" x14ac:dyDescent="0.2">
      <c r="A89" s="210"/>
      <c r="B89" s="210"/>
      <c r="C89" s="210"/>
      <c r="D89" s="210"/>
      <c r="E89" s="210"/>
      <c r="F89" s="210"/>
      <c r="G89" s="210"/>
    </row>
    <row r="90" spans="1:7" s="207" customFormat="1" ht="15.75" x14ac:dyDescent="0.25">
      <c r="A90" s="228" t="s">
        <v>249</v>
      </c>
      <c r="B90" s="229"/>
      <c r="C90" s="229"/>
      <c r="D90" s="229"/>
      <c r="E90" s="229"/>
      <c r="F90" s="229"/>
      <c r="G90" s="229"/>
    </row>
    <row r="91" spans="1:7" s="208" customFormat="1" ht="12.75" x14ac:dyDescent="0.2">
      <c r="A91" s="345"/>
      <c r="B91" s="345"/>
      <c r="C91" s="345"/>
      <c r="D91" s="345"/>
      <c r="E91" s="345"/>
      <c r="F91" s="345"/>
      <c r="G91" s="345"/>
    </row>
    <row r="92" spans="1:7" s="208" customFormat="1" ht="12.75" x14ac:dyDescent="0.2">
      <c r="A92" s="345"/>
      <c r="B92" s="345"/>
      <c r="C92" s="345"/>
      <c r="D92" s="345"/>
      <c r="E92" s="345"/>
      <c r="F92" s="345"/>
      <c r="G92" s="345"/>
    </row>
    <row r="93" spans="1:7" s="208" customFormat="1" ht="12.75" x14ac:dyDescent="0.2">
      <c r="A93" s="345"/>
      <c r="B93" s="345"/>
      <c r="C93" s="345"/>
      <c r="D93" s="345"/>
      <c r="E93" s="345"/>
      <c r="F93" s="345"/>
      <c r="G93" s="345"/>
    </row>
    <row r="94" spans="1:7" s="208" customFormat="1" ht="12.75" x14ac:dyDescent="0.2">
      <c r="A94" s="345"/>
      <c r="B94" s="345"/>
      <c r="C94" s="345"/>
      <c r="D94" s="345"/>
      <c r="E94" s="345"/>
      <c r="F94" s="345"/>
      <c r="G94" s="345"/>
    </row>
    <row r="95" spans="1:7" s="208" customFormat="1" ht="12.75" x14ac:dyDescent="0.2">
      <c r="A95" s="345"/>
      <c r="B95" s="345"/>
      <c r="C95" s="345"/>
      <c r="D95" s="345"/>
      <c r="E95" s="345"/>
      <c r="F95" s="345"/>
      <c r="G95" s="345"/>
    </row>
    <row r="96" spans="1:7" s="208" customFormat="1" ht="12.75" x14ac:dyDescent="0.2">
      <c r="A96" s="345"/>
      <c r="B96" s="345"/>
      <c r="C96" s="345"/>
      <c r="D96" s="345"/>
      <c r="E96" s="345"/>
      <c r="F96" s="345"/>
      <c r="G96" s="345"/>
    </row>
  </sheetData>
  <mergeCells count="19">
    <mergeCell ref="A96:G96"/>
    <mergeCell ref="A84:G84"/>
    <mergeCell ref="A91:G91"/>
    <mergeCell ref="A92:G92"/>
    <mergeCell ref="A93:G93"/>
    <mergeCell ref="A94:G94"/>
    <mergeCell ref="A95:G95"/>
    <mergeCell ref="A77:G77"/>
    <mergeCell ref="A1:G1"/>
    <mergeCell ref="A2:G2"/>
    <mergeCell ref="A3:G3"/>
    <mergeCell ref="A5:G5"/>
    <mergeCell ref="A6:G6"/>
    <mergeCell ref="E9:F9"/>
    <mergeCell ref="A23:G23"/>
    <mergeCell ref="E26:F26"/>
    <mergeCell ref="A47:G47"/>
    <mergeCell ref="E50:F50"/>
    <mergeCell ref="A70:G70"/>
  </mergeCells>
  <pageMargins left="0.7" right="0.7" top="0.75" bottom="0.75" header="0.3" footer="0.3"/>
  <pageSetup scale="67"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
  <sheetViews>
    <sheetView workbookViewId="0">
      <selection activeCell="C17" sqref="C17"/>
    </sheetView>
  </sheetViews>
  <sheetFormatPr defaultRowHeight="15" x14ac:dyDescent="0.25"/>
  <cols>
    <col min="1" max="1" width="12.7109375" style="146" customWidth="1"/>
    <col min="2" max="2" width="36" style="146" customWidth="1"/>
    <col min="3" max="3" width="29.140625" style="146" customWidth="1"/>
    <col min="4" max="4" width="10" style="146" customWidth="1"/>
    <col min="5" max="5" width="9.28515625" style="146" customWidth="1"/>
    <col min="6" max="6" width="9.140625" style="146" customWidth="1"/>
    <col min="7" max="7" width="27.42578125" style="146" customWidth="1"/>
    <col min="8" max="16384" width="9.140625" style="146"/>
  </cols>
  <sheetData>
    <row r="1" spans="1:7" ht="18.75" x14ac:dyDescent="0.3">
      <c r="A1" s="325" t="s">
        <v>149</v>
      </c>
      <c r="B1" s="325"/>
      <c r="C1" s="325"/>
      <c r="D1" s="325"/>
      <c r="E1" s="325"/>
      <c r="F1" s="325"/>
      <c r="G1" s="325"/>
    </row>
    <row r="2" spans="1:7" ht="18.75" x14ac:dyDescent="0.3">
      <c r="A2" s="325" t="s">
        <v>150</v>
      </c>
      <c r="B2" s="325"/>
      <c r="C2" s="325"/>
      <c r="D2" s="325"/>
      <c r="E2" s="325"/>
      <c r="F2" s="325"/>
      <c r="G2" s="325"/>
    </row>
    <row r="3" spans="1:7" ht="18.75" x14ac:dyDescent="0.3">
      <c r="A3" s="325" t="s">
        <v>151</v>
      </c>
      <c r="B3" s="325"/>
      <c r="C3" s="325"/>
      <c r="D3" s="325"/>
      <c r="E3" s="325"/>
      <c r="F3" s="325"/>
      <c r="G3" s="325"/>
    </row>
    <row r="5" spans="1:7" s="150" customFormat="1" ht="15.75" x14ac:dyDescent="0.25">
      <c r="A5" s="330" t="s">
        <v>250</v>
      </c>
      <c r="B5" s="330"/>
      <c r="C5" s="330"/>
      <c r="D5" s="330"/>
      <c r="E5" s="330"/>
      <c r="F5" s="330"/>
      <c r="G5" s="330"/>
    </row>
    <row r="6" spans="1:7" s="151" customFormat="1" ht="12.75" x14ac:dyDescent="0.2">
      <c r="A6" s="331" t="s">
        <v>251</v>
      </c>
      <c r="B6" s="331"/>
      <c r="C6" s="331"/>
      <c r="D6" s="331"/>
      <c r="E6" s="331"/>
      <c r="F6" s="331"/>
      <c r="G6" s="331"/>
    </row>
    <row r="7" spans="1:7" s="151" customFormat="1" ht="12.75" x14ac:dyDescent="0.2">
      <c r="A7" s="151" t="s">
        <v>154</v>
      </c>
      <c r="B7" s="151" t="s">
        <v>340</v>
      </c>
    </row>
    <row r="8" spans="1:7" s="151" customFormat="1" ht="12.75" x14ac:dyDescent="0.2">
      <c r="A8" s="151" t="s">
        <v>156</v>
      </c>
      <c r="B8" s="151" t="s">
        <v>341</v>
      </c>
    </row>
    <row r="9" spans="1:7" s="151" customFormat="1" ht="12.75" x14ac:dyDescent="0.2">
      <c r="E9" s="329" t="s">
        <v>158</v>
      </c>
      <c r="F9" s="329"/>
    </row>
    <row r="10" spans="1:7" s="151" customFormat="1" ht="12.75" x14ac:dyDescent="0.2">
      <c r="A10" s="169"/>
      <c r="B10" s="173" t="s">
        <v>159</v>
      </c>
      <c r="C10" s="173" t="s">
        <v>160</v>
      </c>
      <c r="D10" s="173" t="s">
        <v>161</v>
      </c>
      <c r="E10" s="173" t="s">
        <v>162</v>
      </c>
      <c r="F10" s="174" t="s">
        <v>163</v>
      </c>
      <c r="G10" s="173" t="s">
        <v>164</v>
      </c>
    </row>
    <row r="11" spans="1:7" s="151" customFormat="1" ht="12.75" x14ac:dyDescent="0.2">
      <c r="A11" s="169"/>
      <c r="B11" s="175" t="s">
        <v>254</v>
      </c>
      <c r="C11" s="175" t="s">
        <v>207</v>
      </c>
      <c r="D11" s="184">
        <v>850</v>
      </c>
      <c r="E11" s="183">
        <v>250</v>
      </c>
      <c r="F11" s="178">
        <v>0.05</v>
      </c>
      <c r="G11" s="169"/>
    </row>
    <row r="12" spans="1:7" s="151" customFormat="1" ht="12.75" x14ac:dyDescent="0.2">
      <c r="A12" s="169"/>
      <c r="B12" s="175"/>
      <c r="C12" s="175"/>
      <c r="D12" s="184"/>
      <c r="E12" s="183">
        <v>500</v>
      </c>
      <c r="F12" s="178">
        <v>0.1</v>
      </c>
      <c r="G12" s="169"/>
    </row>
    <row r="13" spans="1:7" s="151" customFormat="1" ht="12.75" x14ac:dyDescent="0.2">
      <c r="A13" s="169"/>
      <c r="B13" s="169" t="s">
        <v>260</v>
      </c>
      <c r="C13" s="169"/>
      <c r="D13" s="184">
        <v>0</v>
      </c>
      <c r="E13" s="183">
        <v>0</v>
      </c>
      <c r="F13" s="178">
        <v>0</v>
      </c>
      <c r="G13" s="169"/>
    </row>
    <row r="14" spans="1:7" s="151" customFormat="1" ht="12.75" x14ac:dyDescent="0.2">
      <c r="A14" s="169"/>
      <c r="B14" s="169" t="s">
        <v>281</v>
      </c>
      <c r="C14" s="169" t="s">
        <v>262</v>
      </c>
      <c r="D14" s="184">
        <v>50</v>
      </c>
      <c r="E14" s="183">
        <v>0</v>
      </c>
      <c r="F14" s="178">
        <v>0</v>
      </c>
      <c r="G14" s="169"/>
    </row>
    <row r="15" spans="1:7" s="151" customFormat="1" ht="12.75" x14ac:dyDescent="0.2">
      <c r="A15" s="169"/>
      <c r="B15" s="169" t="s">
        <v>167</v>
      </c>
      <c r="C15" s="169"/>
      <c r="D15" s="184">
        <v>0</v>
      </c>
      <c r="E15" s="183">
        <v>0</v>
      </c>
      <c r="F15" s="178">
        <v>0</v>
      </c>
      <c r="G15" s="169" t="s">
        <v>266</v>
      </c>
    </row>
    <row r="16" spans="1:7" s="151" customFormat="1" ht="64.5" customHeight="1" x14ac:dyDescent="0.2">
      <c r="A16" s="169"/>
      <c r="B16" s="181" t="s">
        <v>267</v>
      </c>
      <c r="C16" s="181" t="s">
        <v>268</v>
      </c>
      <c r="D16" s="184">
        <v>0</v>
      </c>
      <c r="E16" s="183">
        <v>0</v>
      </c>
      <c r="F16" s="178">
        <v>0</v>
      </c>
      <c r="G16" s="169" t="s">
        <v>266</v>
      </c>
    </row>
    <row r="17" spans="1:7" s="151" customFormat="1" ht="25.5" x14ac:dyDescent="0.2">
      <c r="A17" s="169"/>
      <c r="B17" s="182" t="s">
        <v>186</v>
      </c>
      <c r="C17" s="169"/>
      <c r="D17" s="184">
        <v>0</v>
      </c>
      <c r="E17" s="183">
        <v>0</v>
      </c>
      <c r="F17" s="178">
        <v>0</v>
      </c>
      <c r="G17" s="169" t="s">
        <v>342</v>
      </c>
    </row>
    <row r="18" spans="1:7" s="151" customFormat="1" ht="25.5" x14ac:dyDescent="0.2">
      <c r="A18" s="169"/>
      <c r="B18" s="182" t="s">
        <v>188</v>
      </c>
      <c r="C18" s="169"/>
      <c r="D18" s="184">
        <v>0</v>
      </c>
      <c r="E18" s="183">
        <v>0</v>
      </c>
      <c r="F18" s="178">
        <v>0</v>
      </c>
      <c r="G18" s="169"/>
    </row>
    <row r="19" spans="1:7" s="151" customFormat="1" ht="12.75" x14ac:dyDescent="0.2">
      <c r="A19" s="169"/>
      <c r="B19" s="169"/>
      <c r="C19" s="169"/>
      <c r="D19" s="184"/>
      <c r="E19" s="183"/>
      <c r="F19" s="178"/>
      <c r="G19" s="169"/>
    </row>
    <row r="20" spans="1:7" s="151" customFormat="1" ht="12.75" x14ac:dyDescent="0.2">
      <c r="A20" s="169"/>
      <c r="B20" s="169"/>
      <c r="C20" s="169"/>
      <c r="D20" s="184"/>
      <c r="E20" s="183"/>
      <c r="F20" s="178"/>
      <c r="G20" s="169"/>
    </row>
    <row r="21" spans="1:7" s="150" customFormat="1" ht="15.75" x14ac:dyDescent="0.25">
      <c r="A21" s="147" t="s">
        <v>152</v>
      </c>
      <c r="B21" s="148"/>
      <c r="C21" s="148"/>
      <c r="D21" s="148"/>
      <c r="E21" s="148"/>
      <c r="F21" s="148"/>
      <c r="G21" s="148"/>
    </row>
    <row r="22" spans="1:7" s="151" customFormat="1" ht="12.75" x14ac:dyDescent="0.2">
      <c r="A22" s="333" t="s">
        <v>153</v>
      </c>
      <c r="B22" s="333"/>
      <c r="C22" s="333"/>
      <c r="D22" s="333"/>
      <c r="E22" s="333"/>
      <c r="F22" s="333"/>
      <c r="G22" s="333"/>
    </row>
    <row r="23" spans="1:7" s="151" customFormat="1" ht="12.75" x14ac:dyDescent="0.2">
      <c r="A23" s="169" t="s">
        <v>154</v>
      </c>
      <c r="B23" s="169" t="s">
        <v>343</v>
      </c>
      <c r="C23" s="169"/>
      <c r="D23" s="169"/>
      <c r="E23" s="169"/>
      <c r="F23" s="169"/>
      <c r="G23" s="169"/>
    </row>
    <row r="24" spans="1:7" s="151" customFormat="1" ht="12.75" x14ac:dyDescent="0.2">
      <c r="A24" s="169" t="s">
        <v>156</v>
      </c>
      <c r="B24" s="169" t="s">
        <v>344</v>
      </c>
      <c r="C24" s="169"/>
      <c r="D24" s="169"/>
      <c r="E24" s="169"/>
      <c r="F24" s="169"/>
      <c r="G24" s="169"/>
    </row>
    <row r="25" spans="1:7" s="151" customFormat="1" ht="12.75" x14ac:dyDescent="0.2">
      <c r="A25" s="169"/>
      <c r="B25" s="169"/>
      <c r="C25" s="169"/>
      <c r="D25" s="169"/>
      <c r="E25" s="338" t="s">
        <v>158</v>
      </c>
      <c r="F25" s="338"/>
      <c r="G25" s="169"/>
    </row>
    <row r="26" spans="1:7" s="151" customFormat="1" ht="12.75" x14ac:dyDescent="0.2">
      <c r="A26" s="169"/>
      <c r="B26" s="173" t="s">
        <v>159</v>
      </c>
      <c r="C26" s="173" t="s">
        <v>160</v>
      </c>
      <c r="D26" s="173" t="s">
        <v>161</v>
      </c>
      <c r="E26" s="173" t="s">
        <v>162</v>
      </c>
      <c r="F26" s="174" t="s">
        <v>163</v>
      </c>
      <c r="G26" s="173" t="s">
        <v>164</v>
      </c>
    </row>
    <row r="27" spans="1:7" s="151" customFormat="1" ht="12.75" x14ac:dyDescent="0.2">
      <c r="A27" s="169"/>
      <c r="B27" s="175" t="s">
        <v>165</v>
      </c>
      <c r="C27" s="175" t="s">
        <v>166</v>
      </c>
      <c r="D27" s="184">
        <v>24666.27</v>
      </c>
      <c r="E27" s="183">
        <v>15</v>
      </c>
      <c r="F27" s="178">
        <v>0.05</v>
      </c>
      <c r="G27" s="169"/>
    </row>
    <row r="28" spans="1:7" s="151" customFormat="1" ht="12.75" x14ac:dyDescent="0.2">
      <c r="A28" s="169"/>
      <c r="B28" s="175" t="s">
        <v>285</v>
      </c>
      <c r="C28" s="175" t="s">
        <v>286</v>
      </c>
      <c r="D28" s="184">
        <v>5532.63</v>
      </c>
      <c r="E28" s="183">
        <v>15</v>
      </c>
      <c r="F28" s="178">
        <v>0.05</v>
      </c>
      <c r="G28" s="169"/>
    </row>
    <row r="29" spans="1:7" s="151" customFormat="1" ht="12.75" x14ac:dyDescent="0.2">
      <c r="A29" s="169"/>
      <c r="B29" s="169" t="s">
        <v>167</v>
      </c>
      <c r="C29" s="169"/>
      <c r="D29" s="184">
        <v>0</v>
      </c>
      <c r="E29" s="183">
        <v>0</v>
      </c>
      <c r="F29" s="178">
        <v>0</v>
      </c>
      <c r="G29" s="169" t="s">
        <v>266</v>
      </c>
    </row>
    <row r="30" spans="1:7" s="151" customFormat="1" ht="12.75" x14ac:dyDescent="0.2">
      <c r="A30" s="169"/>
      <c r="B30" s="169" t="s">
        <v>169</v>
      </c>
      <c r="C30" s="169"/>
      <c r="D30" s="184">
        <v>0</v>
      </c>
      <c r="E30" s="183">
        <v>0</v>
      </c>
      <c r="F30" s="178">
        <v>0</v>
      </c>
      <c r="G30" s="169" t="s">
        <v>345</v>
      </c>
    </row>
    <row r="31" spans="1:7" s="151" customFormat="1" ht="38.25" x14ac:dyDescent="0.2">
      <c r="A31" s="169"/>
      <c r="B31" s="182" t="s">
        <v>172</v>
      </c>
      <c r="C31" s="169"/>
      <c r="D31" s="184">
        <v>0</v>
      </c>
      <c r="E31" s="183">
        <v>0</v>
      </c>
      <c r="F31" s="178">
        <v>0</v>
      </c>
      <c r="G31" s="169" t="s">
        <v>345</v>
      </c>
    </row>
    <row r="32" spans="1:7" s="151" customFormat="1" ht="25.5" x14ac:dyDescent="0.2">
      <c r="A32" s="169"/>
      <c r="B32" s="182" t="s">
        <v>173</v>
      </c>
      <c r="C32" s="169"/>
      <c r="D32" s="184">
        <v>0</v>
      </c>
      <c r="E32" s="183">
        <v>0</v>
      </c>
      <c r="F32" s="178">
        <v>0</v>
      </c>
      <c r="G32" s="169" t="s">
        <v>266</v>
      </c>
    </row>
    <row r="33" spans="1:7" s="151" customFormat="1" ht="25.5" x14ac:dyDescent="0.2">
      <c r="A33" s="169"/>
      <c r="B33" s="182" t="s">
        <v>174</v>
      </c>
      <c r="C33" s="169" t="s">
        <v>175</v>
      </c>
      <c r="D33" s="184">
        <v>0</v>
      </c>
      <c r="E33" s="183">
        <v>0</v>
      </c>
      <c r="F33" s="178">
        <v>0</v>
      </c>
      <c r="G33" s="169" t="s">
        <v>345</v>
      </c>
    </row>
    <row r="34" spans="1:7" s="151" customFormat="1" ht="12.75" x14ac:dyDescent="0.2">
      <c r="A34" s="169"/>
      <c r="B34" s="169" t="s">
        <v>176</v>
      </c>
      <c r="C34" s="169"/>
      <c r="D34" s="184">
        <v>0</v>
      </c>
      <c r="E34" s="183">
        <v>0</v>
      </c>
      <c r="F34" s="178">
        <v>0</v>
      </c>
      <c r="G34" s="169" t="s">
        <v>345</v>
      </c>
    </row>
    <row r="35" spans="1:7" s="151" customFormat="1" ht="12.75" x14ac:dyDescent="0.2">
      <c r="A35" s="169"/>
      <c r="B35" s="169" t="s">
        <v>178</v>
      </c>
      <c r="C35" s="169" t="s">
        <v>179</v>
      </c>
      <c r="D35" s="184">
        <v>0</v>
      </c>
      <c r="E35" s="183">
        <v>0</v>
      </c>
      <c r="F35" s="178">
        <v>0</v>
      </c>
      <c r="G35" s="169" t="s">
        <v>345</v>
      </c>
    </row>
    <row r="36" spans="1:7" s="151" customFormat="1" ht="63.75" x14ac:dyDescent="0.2">
      <c r="A36" s="169"/>
      <c r="B36" s="169" t="s">
        <v>181</v>
      </c>
      <c r="C36" s="182" t="s">
        <v>182</v>
      </c>
      <c r="D36" s="184">
        <v>0</v>
      </c>
      <c r="E36" s="183">
        <v>0</v>
      </c>
      <c r="F36" s="178">
        <v>0</v>
      </c>
      <c r="G36" s="169" t="s">
        <v>345</v>
      </c>
    </row>
    <row r="37" spans="1:7" s="151" customFormat="1" ht="12.75" x14ac:dyDescent="0.2">
      <c r="A37" s="169"/>
      <c r="B37" s="203" t="s">
        <v>184</v>
      </c>
      <c r="C37" s="169"/>
      <c r="D37" s="184">
        <v>0</v>
      </c>
      <c r="E37" s="183">
        <v>0</v>
      </c>
      <c r="F37" s="178">
        <v>0</v>
      </c>
      <c r="G37" s="169" t="s">
        <v>266</v>
      </c>
    </row>
    <row r="38" spans="1:7" s="151" customFormat="1" ht="25.5" x14ac:dyDescent="0.2">
      <c r="A38" s="169"/>
      <c r="B38" s="204" t="s">
        <v>291</v>
      </c>
      <c r="C38" s="169"/>
      <c r="D38" s="184">
        <v>6244.28</v>
      </c>
      <c r="E38" s="183">
        <v>0</v>
      </c>
      <c r="F38" s="178">
        <v>0</v>
      </c>
      <c r="G38" s="169"/>
    </row>
    <row r="39" spans="1:7" s="151" customFormat="1" ht="25.5" x14ac:dyDescent="0.2">
      <c r="A39" s="169"/>
      <c r="B39" s="204" t="s">
        <v>293</v>
      </c>
      <c r="C39" s="169"/>
      <c r="D39" s="184">
        <v>5882.28</v>
      </c>
      <c r="E39" s="183">
        <v>0</v>
      </c>
      <c r="F39" s="178">
        <v>0</v>
      </c>
      <c r="G39" s="169"/>
    </row>
    <row r="40" spans="1:7" s="151" customFormat="1" ht="25.5" x14ac:dyDescent="0.2">
      <c r="A40" s="169"/>
      <c r="B40" s="204" t="s">
        <v>294</v>
      </c>
      <c r="C40" s="169"/>
      <c r="D40" s="184">
        <v>6244.28</v>
      </c>
      <c r="E40" s="183">
        <v>0</v>
      </c>
      <c r="F40" s="178">
        <v>0</v>
      </c>
      <c r="G40" s="169"/>
    </row>
    <row r="41" spans="1:7" s="151" customFormat="1" ht="25.5" x14ac:dyDescent="0.2">
      <c r="A41" s="169"/>
      <c r="B41" s="181" t="s">
        <v>186</v>
      </c>
      <c r="C41" s="169"/>
      <c r="D41" s="184">
        <v>0</v>
      </c>
      <c r="E41" s="183">
        <v>0</v>
      </c>
      <c r="F41" s="178">
        <v>0</v>
      </c>
      <c r="G41" s="169" t="s">
        <v>346</v>
      </c>
    </row>
    <row r="42" spans="1:7" s="151" customFormat="1" ht="25.5" x14ac:dyDescent="0.2">
      <c r="A42" s="169"/>
      <c r="B42" s="182" t="s">
        <v>188</v>
      </c>
      <c r="C42" s="169"/>
      <c r="D42" s="184">
        <v>0</v>
      </c>
      <c r="E42" s="183">
        <v>0</v>
      </c>
      <c r="F42" s="178">
        <v>0</v>
      </c>
      <c r="G42" s="169"/>
    </row>
    <row r="43" spans="1:7" s="151" customFormat="1" ht="12.75" x14ac:dyDescent="0.2">
      <c r="A43" s="169"/>
      <c r="B43" s="169"/>
      <c r="C43" s="169"/>
      <c r="D43" s="184"/>
      <c r="E43" s="183"/>
      <c r="F43" s="178"/>
      <c r="G43" s="169"/>
    </row>
    <row r="44" spans="1:7" s="151" customFormat="1" ht="12.75" x14ac:dyDescent="0.2">
      <c r="A44" s="169"/>
      <c r="B44" s="169"/>
      <c r="C44" s="169"/>
      <c r="D44" s="169"/>
      <c r="E44" s="169"/>
      <c r="F44" s="169"/>
      <c r="G44" s="169"/>
    </row>
    <row r="45" spans="1:7" s="150" customFormat="1" ht="15.75" x14ac:dyDescent="0.25">
      <c r="A45" s="147" t="s">
        <v>202</v>
      </c>
      <c r="B45" s="148"/>
      <c r="C45" s="148"/>
      <c r="D45" s="148"/>
      <c r="E45" s="148"/>
      <c r="F45" s="148"/>
      <c r="G45" s="148"/>
    </row>
    <row r="46" spans="1:7" s="151" customFormat="1" ht="12.75" x14ac:dyDescent="0.2">
      <c r="A46" s="333" t="s">
        <v>203</v>
      </c>
      <c r="B46" s="333"/>
      <c r="C46" s="333"/>
      <c r="D46" s="333"/>
      <c r="E46" s="333"/>
      <c r="F46" s="333"/>
      <c r="G46" s="333"/>
    </row>
    <row r="47" spans="1:7" s="151" customFormat="1" ht="12.75" x14ac:dyDescent="0.2">
      <c r="A47" s="169" t="s">
        <v>154</v>
      </c>
      <c r="B47" s="169"/>
      <c r="C47" s="169"/>
      <c r="D47" s="169"/>
      <c r="E47" s="169"/>
      <c r="F47" s="169"/>
      <c r="G47" s="169"/>
    </row>
    <row r="48" spans="1:7" s="151" customFormat="1" ht="12.75" x14ac:dyDescent="0.2">
      <c r="A48" s="169" t="s">
        <v>156</v>
      </c>
      <c r="B48" s="169"/>
      <c r="C48" s="169"/>
      <c r="D48" s="169"/>
      <c r="E48" s="169"/>
      <c r="F48" s="169"/>
      <c r="G48" s="169"/>
    </row>
    <row r="49" spans="1:7" s="151" customFormat="1" ht="12.75" x14ac:dyDescent="0.2">
      <c r="A49" s="169"/>
      <c r="B49" s="169"/>
      <c r="C49" s="169"/>
      <c r="D49" s="169"/>
      <c r="E49" s="338" t="s">
        <v>158</v>
      </c>
      <c r="F49" s="338"/>
      <c r="G49" s="169"/>
    </row>
    <row r="50" spans="1:7" s="151" customFormat="1" ht="12.75" x14ac:dyDescent="0.2">
      <c r="A50" s="169"/>
      <c r="B50" s="173" t="s">
        <v>159</v>
      </c>
      <c r="C50" s="173" t="s">
        <v>160</v>
      </c>
      <c r="D50" s="173" t="s">
        <v>161</v>
      </c>
      <c r="E50" s="173" t="s">
        <v>162</v>
      </c>
      <c r="F50" s="174" t="s">
        <v>163</v>
      </c>
      <c r="G50" s="173" t="s">
        <v>164</v>
      </c>
    </row>
    <row r="51" spans="1:7" s="151" customFormat="1" ht="12.75" x14ac:dyDescent="0.2">
      <c r="A51" s="169"/>
      <c r="B51" s="175" t="s">
        <v>206</v>
      </c>
      <c r="C51" s="175" t="s">
        <v>207</v>
      </c>
      <c r="D51" s="184">
        <v>0</v>
      </c>
      <c r="E51" s="183">
        <v>0</v>
      </c>
      <c r="F51" s="178">
        <v>0</v>
      </c>
      <c r="G51" s="169"/>
    </row>
    <row r="52" spans="1:7" s="151" customFormat="1" ht="12.75" x14ac:dyDescent="0.2">
      <c r="A52" s="169"/>
      <c r="B52" s="169" t="s">
        <v>310</v>
      </c>
      <c r="C52" s="169"/>
      <c r="D52" s="184">
        <v>0</v>
      </c>
      <c r="E52" s="183">
        <v>0</v>
      </c>
      <c r="F52" s="178">
        <v>0</v>
      </c>
      <c r="G52" s="169"/>
    </row>
    <row r="53" spans="1:7" s="151" customFormat="1" ht="12.75" x14ac:dyDescent="0.2">
      <c r="A53" s="169"/>
      <c r="B53" s="169" t="s">
        <v>176</v>
      </c>
      <c r="C53" s="169"/>
      <c r="D53" s="184">
        <v>0</v>
      </c>
      <c r="E53" s="183">
        <v>0</v>
      </c>
      <c r="F53" s="178">
        <v>0</v>
      </c>
      <c r="G53" s="169"/>
    </row>
    <row r="54" spans="1:7" s="151" customFormat="1" ht="25.5" x14ac:dyDescent="0.2">
      <c r="A54" s="169"/>
      <c r="B54" s="191" t="s">
        <v>215</v>
      </c>
      <c r="C54" s="182" t="s">
        <v>216</v>
      </c>
      <c r="D54" s="184">
        <v>0</v>
      </c>
      <c r="E54" s="183">
        <v>0</v>
      </c>
      <c r="F54" s="178">
        <v>0</v>
      </c>
      <c r="G54" s="169"/>
    </row>
    <row r="55" spans="1:7" s="151" customFormat="1" ht="25.5" x14ac:dyDescent="0.2">
      <c r="A55" s="169"/>
      <c r="B55" s="182" t="s">
        <v>220</v>
      </c>
      <c r="C55" s="182" t="s">
        <v>221</v>
      </c>
      <c r="D55" s="184">
        <v>0</v>
      </c>
      <c r="E55" s="183">
        <v>0</v>
      </c>
      <c r="F55" s="178">
        <v>0</v>
      </c>
      <c r="G55" s="169"/>
    </row>
    <row r="56" spans="1:7" s="151" customFormat="1" ht="40.5" customHeight="1" x14ac:dyDescent="0.2">
      <c r="A56" s="169"/>
      <c r="B56" s="182" t="s">
        <v>223</v>
      </c>
      <c r="C56" s="182" t="s">
        <v>224</v>
      </c>
      <c r="D56" s="184">
        <v>0</v>
      </c>
      <c r="E56" s="183">
        <v>0</v>
      </c>
      <c r="F56" s="178">
        <v>0</v>
      </c>
      <c r="G56" s="169"/>
    </row>
    <row r="57" spans="1:7" s="151" customFormat="1" ht="12.75" x14ac:dyDescent="0.2">
      <c r="A57" s="169"/>
      <c r="B57" s="169" t="s">
        <v>314</v>
      </c>
      <c r="C57" s="169"/>
      <c r="D57" s="184">
        <v>0</v>
      </c>
      <c r="E57" s="183">
        <v>0</v>
      </c>
      <c r="F57" s="178">
        <v>0</v>
      </c>
      <c r="G57" s="169"/>
    </row>
    <row r="58" spans="1:7" s="151" customFormat="1" ht="12.75" x14ac:dyDescent="0.2">
      <c r="A58" s="169"/>
      <c r="B58" s="169" t="s">
        <v>167</v>
      </c>
      <c r="C58" s="169"/>
      <c r="D58" s="184">
        <v>0</v>
      </c>
      <c r="E58" s="183">
        <v>0</v>
      </c>
      <c r="F58" s="178">
        <v>0</v>
      </c>
      <c r="G58" s="169"/>
    </row>
    <row r="59" spans="1:7" s="151" customFormat="1" ht="12.75" x14ac:dyDescent="0.2">
      <c r="A59" s="169"/>
      <c r="B59" s="203" t="s">
        <v>225</v>
      </c>
      <c r="C59" s="203" t="s">
        <v>226</v>
      </c>
      <c r="D59" s="184">
        <v>0</v>
      </c>
      <c r="E59" s="183">
        <v>0</v>
      </c>
      <c r="F59" s="178">
        <v>0</v>
      </c>
      <c r="G59" s="169"/>
    </row>
    <row r="60" spans="1:7" s="151" customFormat="1" ht="12.75" x14ac:dyDescent="0.2">
      <c r="A60" s="169"/>
      <c r="B60" s="203" t="s">
        <v>227</v>
      </c>
      <c r="C60" s="203" t="s">
        <v>226</v>
      </c>
      <c r="D60" s="184">
        <v>0</v>
      </c>
      <c r="E60" s="183">
        <v>0</v>
      </c>
      <c r="F60" s="178">
        <v>0</v>
      </c>
      <c r="G60" s="169"/>
    </row>
    <row r="61" spans="1:7" s="151" customFormat="1" ht="25.5" x14ac:dyDescent="0.2">
      <c r="A61" s="169"/>
      <c r="B61" s="182" t="s">
        <v>186</v>
      </c>
      <c r="C61" s="169"/>
      <c r="D61" s="184">
        <v>0</v>
      </c>
      <c r="E61" s="183">
        <v>0</v>
      </c>
      <c r="F61" s="178">
        <v>0</v>
      </c>
      <c r="G61" s="169"/>
    </row>
    <row r="62" spans="1:7" s="151" customFormat="1" ht="25.5" x14ac:dyDescent="0.2">
      <c r="A62" s="169"/>
      <c r="B62" s="182" t="s">
        <v>188</v>
      </c>
      <c r="C62" s="169"/>
      <c r="D62" s="184">
        <v>0</v>
      </c>
      <c r="E62" s="183">
        <v>0</v>
      </c>
      <c r="F62" s="178">
        <v>0</v>
      </c>
      <c r="G62" s="169"/>
    </row>
    <row r="63" spans="1:7" s="169" customFormat="1" ht="51" x14ac:dyDescent="0.25">
      <c r="B63" s="182" t="s">
        <v>228</v>
      </c>
      <c r="C63" s="182" t="s">
        <v>229</v>
      </c>
      <c r="D63" s="184">
        <v>0</v>
      </c>
      <c r="E63" s="183">
        <v>0</v>
      </c>
      <c r="F63" s="178">
        <v>0</v>
      </c>
    </row>
    <row r="64" spans="1:7" s="169" customFormat="1" ht="12.75" x14ac:dyDescent="0.25">
      <c r="B64" s="182"/>
      <c r="C64" s="182"/>
      <c r="D64" s="184"/>
      <c r="E64" s="183"/>
      <c r="F64" s="178"/>
    </row>
    <row r="65" spans="1:7" s="151" customFormat="1" ht="12.75" x14ac:dyDescent="0.2">
      <c r="A65" s="169"/>
      <c r="B65" s="169"/>
      <c r="C65" s="169"/>
      <c r="D65" s="184"/>
      <c r="E65" s="183"/>
      <c r="F65" s="178"/>
      <c r="G65" s="169"/>
    </row>
    <row r="66" spans="1:7" s="150" customFormat="1" ht="15.75" x14ac:dyDescent="0.25">
      <c r="A66" s="147" t="s">
        <v>232</v>
      </c>
      <c r="B66" s="148"/>
      <c r="C66" s="148"/>
      <c r="D66" s="148"/>
      <c r="E66" s="148"/>
      <c r="F66" s="148"/>
      <c r="G66" s="148"/>
    </row>
    <row r="67" spans="1:7" s="151" customFormat="1" ht="12.75" x14ac:dyDescent="0.2">
      <c r="A67" s="333" t="s">
        <v>233</v>
      </c>
      <c r="B67" s="333"/>
      <c r="C67" s="333"/>
      <c r="D67" s="333"/>
      <c r="E67" s="333"/>
      <c r="F67" s="333"/>
      <c r="G67" s="333"/>
    </row>
    <row r="68" spans="1:7" s="151" customFormat="1" ht="12.75" x14ac:dyDescent="0.2">
      <c r="A68" s="169"/>
      <c r="B68" s="173" t="s">
        <v>159</v>
      </c>
      <c r="C68" s="173" t="s">
        <v>234</v>
      </c>
      <c r="D68" s="173"/>
      <c r="E68" s="173"/>
      <c r="F68" s="173"/>
      <c r="G68" s="173" t="s">
        <v>164</v>
      </c>
    </row>
    <row r="69" spans="1:7" s="151" customFormat="1" ht="12.75" x14ac:dyDescent="0.2">
      <c r="A69" s="169"/>
      <c r="B69" s="169" t="s">
        <v>235</v>
      </c>
      <c r="C69" s="184">
        <v>0</v>
      </c>
      <c r="D69" s="169"/>
      <c r="E69" s="169"/>
      <c r="F69" s="169"/>
      <c r="G69" s="169"/>
    </row>
    <row r="70" spans="1:7" s="151" customFormat="1" ht="12.75" x14ac:dyDescent="0.2">
      <c r="A70" s="169"/>
      <c r="B70" s="169" t="s">
        <v>237</v>
      </c>
      <c r="C70" s="184">
        <v>0</v>
      </c>
      <c r="D70" s="169"/>
      <c r="E70" s="169"/>
      <c r="F70" s="169"/>
      <c r="G70" s="169" t="s">
        <v>347</v>
      </c>
    </row>
    <row r="71" spans="1:7" s="151" customFormat="1" ht="51" x14ac:dyDescent="0.2">
      <c r="A71" s="169"/>
      <c r="B71" s="169" t="s">
        <v>238</v>
      </c>
      <c r="C71" s="184">
        <v>0</v>
      </c>
      <c r="D71" s="169"/>
      <c r="E71" s="181" t="s">
        <v>239</v>
      </c>
      <c r="F71" s="184">
        <v>0</v>
      </c>
      <c r="G71" s="169" t="s">
        <v>348</v>
      </c>
    </row>
    <row r="72" spans="1:7" s="151" customFormat="1" ht="12.75" x14ac:dyDescent="0.2">
      <c r="A72" s="169"/>
      <c r="B72" s="169"/>
      <c r="C72" s="169"/>
      <c r="D72" s="169"/>
      <c r="E72" s="169"/>
      <c r="F72" s="169"/>
      <c r="G72" s="169"/>
    </row>
    <row r="73" spans="1:7" s="150" customFormat="1" ht="15.75" x14ac:dyDescent="0.25">
      <c r="A73" s="147" t="s">
        <v>240</v>
      </c>
      <c r="B73" s="148"/>
      <c r="C73" s="148"/>
      <c r="D73" s="148"/>
      <c r="E73" s="148"/>
      <c r="F73" s="148"/>
      <c r="G73" s="148"/>
    </row>
    <row r="74" spans="1:7" s="151" customFormat="1" ht="12.75" x14ac:dyDescent="0.2">
      <c r="A74" s="333" t="s">
        <v>241</v>
      </c>
      <c r="B74" s="333"/>
      <c r="C74" s="333"/>
      <c r="D74" s="333"/>
      <c r="E74" s="333"/>
      <c r="F74" s="333"/>
      <c r="G74" s="333"/>
    </row>
    <row r="75" spans="1:7" s="151" customFormat="1" ht="12.75" x14ac:dyDescent="0.2">
      <c r="A75" s="169"/>
      <c r="B75" s="173" t="s">
        <v>159</v>
      </c>
      <c r="C75" s="173" t="s">
        <v>163</v>
      </c>
      <c r="D75" s="173"/>
      <c r="E75" s="173"/>
      <c r="F75" s="173"/>
      <c r="G75" s="173" t="s">
        <v>164</v>
      </c>
    </row>
    <row r="76" spans="1:7" s="151" customFormat="1" ht="25.5" x14ac:dyDescent="0.2">
      <c r="A76" s="169"/>
      <c r="B76" s="182" t="s">
        <v>242</v>
      </c>
      <c r="C76" s="178">
        <v>0</v>
      </c>
      <c r="D76" s="169"/>
      <c r="E76" s="169"/>
      <c r="F76" s="169"/>
      <c r="G76" s="169"/>
    </row>
    <row r="77" spans="1:7" s="151" customFormat="1" ht="25.5" x14ac:dyDescent="0.2">
      <c r="A77" s="169"/>
      <c r="B77" s="182" t="s">
        <v>243</v>
      </c>
      <c r="C77" s="187">
        <v>0</v>
      </c>
      <c r="D77" s="169"/>
      <c r="E77" s="169"/>
      <c r="F77" s="169"/>
      <c r="G77" s="169"/>
    </row>
    <row r="78" spans="1:7" s="151" customFormat="1" ht="12.75" x14ac:dyDescent="0.2">
      <c r="A78" s="169"/>
      <c r="B78" s="169"/>
      <c r="C78" s="169"/>
      <c r="D78" s="169"/>
      <c r="E78" s="169"/>
      <c r="F78" s="169"/>
      <c r="G78" s="169"/>
    </row>
    <row r="79" spans="1:7" s="151" customFormat="1" ht="12.75" x14ac:dyDescent="0.2">
      <c r="A79" s="169"/>
      <c r="B79" s="169"/>
      <c r="C79" s="169"/>
      <c r="D79" s="169"/>
      <c r="E79" s="169"/>
      <c r="F79" s="169"/>
      <c r="G79" s="169"/>
    </row>
    <row r="80" spans="1:7" s="150" customFormat="1" ht="15.75" x14ac:dyDescent="0.25">
      <c r="A80" s="147" t="s">
        <v>244</v>
      </c>
      <c r="B80" s="148"/>
      <c r="C80" s="148"/>
      <c r="D80" s="148"/>
      <c r="E80" s="148"/>
      <c r="F80" s="148"/>
      <c r="G80" s="148"/>
    </row>
    <row r="81" spans="1:7" s="151" customFormat="1" ht="12.75" x14ac:dyDescent="0.2">
      <c r="A81" s="333" t="s">
        <v>245</v>
      </c>
      <c r="B81" s="333"/>
      <c r="C81" s="333"/>
      <c r="D81" s="333"/>
      <c r="E81" s="333"/>
      <c r="F81" s="333"/>
      <c r="G81" s="333"/>
    </row>
    <row r="82" spans="1:7" s="151" customFormat="1" ht="12.75" x14ac:dyDescent="0.2">
      <c r="A82" s="169"/>
      <c r="B82" s="173" t="s">
        <v>159</v>
      </c>
      <c r="C82" s="173" t="s">
        <v>246</v>
      </c>
      <c r="D82" s="173"/>
      <c r="E82" s="173"/>
      <c r="F82" s="173"/>
      <c r="G82" s="173" t="s">
        <v>164</v>
      </c>
    </row>
    <row r="83" spans="1:7" s="151" customFormat="1" ht="12.75" x14ac:dyDescent="0.2">
      <c r="A83" s="169"/>
      <c r="B83" s="169" t="s">
        <v>247</v>
      </c>
      <c r="C83" s="184">
        <v>0</v>
      </c>
      <c r="D83" s="169"/>
      <c r="E83" s="169"/>
      <c r="F83" s="169"/>
      <c r="G83" s="169"/>
    </row>
    <row r="84" spans="1:7" s="151" customFormat="1" ht="12.75" x14ac:dyDescent="0.2">
      <c r="A84" s="169"/>
      <c r="B84" s="169" t="s">
        <v>248</v>
      </c>
      <c r="C84" s="184">
        <v>0</v>
      </c>
      <c r="D84" s="169"/>
      <c r="E84" s="169"/>
      <c r="F84" s="169"/>
      <c r="G84" s="169"/>
    </row>
    <row r="85" spans="1:7" s="151" customFormat="1" ht="12.75" x14ac:dyDescent="0.2">
      <c r="A85" s="169"/>
      <c r="B85" s="169"/>
      <c r="C85" s="169"/>
      <c r="D85" s="169"/>
      <c r="E85" s="169"/>
      <c r="F85" s="169"/>
      <c r="G85" s="169"/>
    </row>
    <row r="86" spans="1:7" s="151" customFormat="1" ht="12.75" x14ac:dyDescent="0.2">
      <c r="A86" s="169"/>
      <c r="B86" s="169"/>
      <c r="C86" s="169"/>
      <c r="D86" s="169"/>
      <c r="E86" s="169"/>
      <c r="F86" s="169"/>
      <c r="G86" s="169"/>
    </row>
    <row r="87" spans="1:7" s="150" customFormat="1" ht="15.75" x14ac:dyDescent="0.25">
      <c r="A87" s="205" t="s">
        <v>249</v>
      </c>
      <c r="B87" s="206"/>
      <c r="C87" s="206"/>
      <c r="D87" s="206"/>
      <c r="E87" s="206"/>
      <c r="F87" s="206"/>
      <c r="G87" s="206"/>
    </row>
    <row r="88" spans="1:7" s="151" customFormat="1" ht="12.75" x14ac:dyDescent="0.2">
      <c r="A88" s="324" t="s">
        <v>349</v>
      </c>
      <c r="B88" s="324"/>
      <c r="C88" s="324"/>
      <c r="D88" s="324"/>
      <c r="E88" s="324"/>
      <c r="F88" s="324"/>
      <c r="G88" s="324"/>
    </row>
    <row r="89" spans="1:7" s="151" customFormat="1" ht="12.75" x14ac:dyDescent="0.2">
      <c r="A89" s="324"/>
      <c r="B89" s="324"/>
      <c r="C89" s="324"/>
      <c r="D89" s="324"/>
      <c r="E89" s="324"/>
      <c r="F89" s="324"/>
      <c r="G89" s="324"/>
    </row>
    <row r="90" spans="1:7" s="151" customFormat="1" ht="12.75" x14ac:dyDescent="0.2">
      <c r="A90" s="324"/>
      <c r="B90" s="324"/>
      <c r="C90" s="324"/>
      <c r="D90" s="324"/>
      <c r="E90" s="324"/>
      <c r="F90" s="324"/>
      <c r="G90" s="324"/>
    </row>
    <row r="91" spans="1:7" s="151" customFormat="1" ht="12.75" x14ac:dyDescent="0.2">
      <c r="A91" s="324"/>
      <c r="B91" s="324"/>
      <c r="C91" s="324"/>
      <c r="D91" s="324"/>
      <c r="E91" s="324"/>
      <c r="F91" s="324"/>
      <c r="G91" s="324"/>
    </row>
    <row r="92" spans="1:7" s="151" customFormat="1" ht="12.75" x14ac:dyDescent="0.2">
      <c r="A92" s="324"/>
      <c r="B92" s="324"/>
      <c r="C92" s="324"/>
      <c r="D92" s="324"/>
      <c r="E92" s="324"/>
      <c r="F92" s="324"/>
      <c r="G92" s="324"/>
    </row>
    <row r="93" spans="1:7" s="151" customFormat="1" ht="12.75" x14ac:dyDescent="0.2">
      <c r="A93" s="324"/>
      <c r="B93" s="324"/>
      <c r="C93" s="324"/>
      <c r="D93" s="324"/>
      <c r="E93" s="324"/>
      <c r="F93" s="324"/>
      <c r="G93" s="324"/>
    </row>
  </sheetData>
  <mergeCells count="19">
    <mergeCell ref="A93:G93"/>
    <mergeCell ref="A81:G81"/>
    <mergeCell ref="A88:G88"/>
    <mergeCell ref="A89:G89"/>
    <mergeCell ref="A90:G90"/>
    <mergeCell ref="A91:G91"/>
    <mergeCell ref="A92:G92"/>
    <mergeCell ref="A74:G74"/>
    <mergeCell ref="A1:G1"/>
    <mergeCell ref="A2:G2"/>
    <mergeCell ref="A3:G3"/>
    <mergeCell ref="A5:G5"/>
    <mergeCell ref="A6:G6"/>
    <mergeCell ref="E9:F9"/>
    <mergeCell ref="A22:G22"/>
    <mergeCell ref="E25:F25"/>
    <mergeCell ref="A46:G46"/>
    <mergeCell ref="E49:F49"/>
    <mergeCell ref="A67:G67"/>
  </mergeCells>
  <pageMargins left="0.7" right="0.7" top="0.75" bottom="0.75" header="0.3" footer="0.3"/>
  <pageSetup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topLeftCell="B1" workbookViewId="0">
      <selection activeCell="D15" sqref="D15"/>
    </sheetView>
  </sheetViews>
  <sheetFormatPr defaultRowHeight="15" x14ac:dyDescent="0.25"/>
  <cols>
    <col min="1" max="1" width="12.7109375" style="146" customWidth="1"/>
    <col min="2" max="2" width="36" style="146" customWidth="1"/>
    <col min="3" max="3" width="29.140625" style="146" customWidth="1"/>
    <col min="4" max="4" width="10" style="146" customWidth="1"/>
    <col min="5" max="5" width="9.28515625" style="146" customWidth="1"/>
    <col min="6" max="6" width="9.140625" style="146" customWidth="1"/>
    <col min="7" max="7" width="94.85546875" style="146" bestFit="1" customWidth="1"/>
    <col min="8" max="16384" width="9.140625" style="146"/>
  </cols>
  <sheetData>
    <row r="1" spans="1:7" ht="18.75" x14ac:dyDescent="0.3">
      <c r="A1" s="325" t="s">
        <v>149</v>
      </c>
      <c r="B1" s="325"/>
      <c r="C1" s="325"/>
      <c r="D1" s="325"/>
      <c r="E1" s="325"/>
      <c r="F1" s="325"/>
      <c r="G1" s="325"/>
    </row>
    <row r="2" spans="1:7" ht="18.75" x14ac:dyDescent="0.3">
      <c r="A2" s="325" t="s">
        <v>150</v>
      </c>
      <c r="B2" s="325"/>
      <c r="C2" s="325"/>
      <c r="D2" s="325"/>
      <c r="E2" s="325"/>
      <c r="F2" s="325"/>
      <c r="G2" s="325"/>
    </row>
    <row r="3" spans="1:7" ht="18.75" x14ac:dyDescent="0.3">
      <c r="A3" s="325" t="s">
        <v>151</v>
      </c>
      <c r="B3" s="325"/>
      <c r="C3" s="325"/>
      <c r="D3" s="325"/>
      <c r="E3" s="325"/>
      <c r="F3" s="325"/>
      <c r="G3" s="325"/>
    </row>
    <row r="5" spans="1:7" s="150" customFormat="1" ht="15.75" x14ac:dyDescent="0.25">
      <c r="A5" s="330" t="s">
        <v>250</v>
      </c>
      <c r="B5" s="330"/>
      <c r="C5" s="330"/>
      <c r="D5" s="330"/>
      <c r="E5" s="330"/>
      <c r="F5" s="330"/>
      <c r="G5" s="330"/>
    </row>
    <row r="6" spans="1:7" s="151" customFormat="1" ht="12.75" x14ac:dyDescent="0.2">
      <c r="A6" s="331" t="s">
        <v>251</v>
      </c>
      <c r="B6" s="331"/>
      <c r="C6" s="331"/>
      <c r="D6" s="331"/>
      <c r="E6" s="331"/>
      <c r="F6" s="331"/>
      <c r="G6" s="331"/>
    </row>
    <row r="7" spans="1:7" s="151" customFormat="1" ht="12.75" x14ac:dyDescent="0.2">
      <c r="A7" s="151" t="s">
        <v>154</v>
      </c>
      <c r="B7" s="230" t="s">
        <v>350</v>
      </c>
    </row>
    <row r="8" spans="1:7" s="151" customFormat="1" ht="12.75" x14ac:dyDescent="0.2">
      <c r="A8" s="151" t="s">
        <v>156</v>
      </c>
      <c r="B8" s="151" t="s">
        <v>351</v>
      </c>
    </row>
    <row r="9" spans="1:7" s="151" customFormat="1" ht="12.75" x14ac:dyDescent="0.2">
      <c r="E9" s="329" t="s">
        <v>158</v>
      </c>
      <c r="F9" s="329"/>
    </row>
    <row r="10" spans="1:7" s="151" customFormat="1" ht="12.75" x14ac:dyDescent="0.2">
      <c r="A10" s="169"/>
      <c r="B10" s="173" t="s">
        <v>159</v>
      </c>
      <c r="C10" s="173" t="s">
        <v>160</v>
      </c>
      <c r="D10" s="173" t="s">
        <v>161</v>
      </c>
      <c r="E10" s="173" t="s">
        <v>162</v>
      </c>
      <c r="F10" s="174" t="s">
        <v>163</v>
      </c>
      <c r="G10" s="173" t="s">
        <v>164</v>
      </c>
    </row>
    <row r="11" spans="1:7" s="151" customFormat="1" ht="63.75" x14ac:dyDescent="0.2">
      <c r="A11" s="169"/>
      <c r="B11" s="175" t="s">
        <v>254</v>
      </c>
      <c r="C11" s="175" t="s">
        <v>207</v>
      </c>
      <c r="D11" s="184">
        <v>235</v>
      </c>
      <c r="E11" s="183">
        <v>120</v>
      </c>
      <c r="F11" s="178">
        <v>0.05</v>
      </c>
      <c r="G11" s="182" t="s">
        <v>352</v>
      </c>
    </row>
    <row r="12" spans="1:7" s="151" customFormat="1" ht="12.75" x14ac:dyDescent="0.2">
      <c r="A12" s="169"/>
      <c r="B12" s="169" t="s">
        <v>260</v>
      </c>
      <c r="C12" s="169"/>
      <c r="D12" s="184">
        <v>30</v>
      </c>
      <c r="E12" s="183">
        <v>120</v>
      </c>
      <c r="F12" s="178">
        <v>0.05</v>
      </c>
      <c r="G12" s="169" t="s">
        <v>353</v>
      </c>
    </row>
    <row r="13" spans="1:7" s="151" customFormat="1" ht="12.75" x14ac:dyDescent="0.2">
      <c r="A13" s="169"/>
      <c r="B13" s="169" t="s">
        <v>281</v>
      </c>
      <c r="C13" s="169" t="s">
        <v>262</v>
      </c>
      <c r="D13" s="231">
        <v>85</v>
      </c>
      <c r="E13" s="183">
        <v>0</v>
      </c>
      <c r="F13" s="178">
        <v>0</v>
      </c>
      <c r="G13" s="169"/>
    </row>
    <row r="14" spans="1:7" s="151" customFormat="1" ht="12.75" x14ac:dyDescent="0.2">
      <c r="A14" s="169"/>
      <c r="B14" s="169" t="s">
        <v>167</v>
      </c>
      <c r="C14" s="169"/>
      <c r="D14" s="232" t="s">
        <v>266</v>
      </c>
      <c r="E14" s="183">
        <v>0</v>
      </c>
      <c r="F14" s="178">
        <v>0</v>
      </c>
      <c r="G14" s="169" t="s">
        <v>354</v>
      </c>
    </row>
    <row r="15" spans="1:7" s="151" customFormat="1" ht="64.5" customHeight="1" x14ac:dyDescent="0.2">
      <c r="A15" s="169"/>
      <c r="B15" s="181" t="s">
        <v>267</v>
      </c>
      <c r="C15" s="181" t="s">
        <v>268</v>
      </c>
      <c r="D15" s="184">
        <v>1100</v>
      </c>
      <c r="E15" s="183">
        <v>10</v>
      </c>
      <c r="F15" s="178">
        <v>0.05</v>
      </c>
      <c r="G15" s="182" t="s">
        <v>355</v>
      </c>
    </row>
    <row r="16" spans="1:7" s="151" customFormat="1" ht="25.5" x14ac:dyDescent="0.2">
      <c r="A16" s="169"/>
      <c r="B16" s="182" t="s">
        <v>186</v>
      </c>
      <c r="C16" s="169"/>
      <c r="D16" s="232" t="s">
        <v>266</v>
      </c>
      <c r="E16" s="183">
        <v>0</v>
      </c>
      <c r="F16" s="178">
        <v>0</v>
      </c>
      <c r="G16" s="182" t="s">
        <v>356</v>
      </c>
    </row>
    <row r="17" spans="1:7" s="151" customFormat="1" ht="25.5" x14ac:dyDescent="0.2">
      <c r="A17" s="169"/>
      <c r="B17" s="182" t="s">
        <v>188</v>
      </c>
      <c r="C17" s="169"/>
      <c r="D17" s="232" t="s">
        <v>266</v>
      </c>
      <c r="E17" s="183">
        <v>0</v>
      </c>
      <c r="F17" s="178">
        <v>0</v>
      </c>
      <c r="G17" s="169" t="s">
        <v>357</v>
      </c>
    </row>
    <row r="18" spans="1:7" s="151" customFormat="1" ht="12.75" x14ac:dyDescent="0.2">
      <c r="A18" s="169"/>
      <c r="B18" s="169"/>
      <c r="C18" s="169"/>
      <c r="D18" s="184"/>
      <c r="E18" s="183"/>
      <c r="F18" s="178"/>
      <c r="G18" s="169"/>
    </row>
    <row r="19" spans="1:7" s="151" customFormat="1" ht="12.75" x14ac:dyDescent="0.2">
      <c r="A19" s="169"/>
      <c r="B19" s="169"/>
      <c r="C19" s="169"/>
      <c r="D19" s="184"/>
      <c r="E19" s="183"/>
      <c r="F19" s="178"/>
      <c r="G19" s="169"/>
    </row>
    <row r="20" spans="1:7" s="150" customFormat="1" ht="15.75" x14ac:dyDescent="0.25">
      <c r="A20" s="147" t="s">
        <v>152</v>
      </c>
      <c r="B20" s="148"/>
      <c r="C20" s="148"/>
      <c r="D20" s="148"/>
      <c r="E20" s="148"/>
      <c r="F20" s="148"/>
      <c r="G20" s="148"/>
    </row>
    <row r="21" spans="1:7" s="151" customFormat="1" ht="12.75" x14ac:dyDescent="0.2">
      <c r="A21" s="333" t="s">
        <v>153</v>
      </c>
      <c r="B21" s="333"/>
      <c r="C21" s="333"/>
      <c r="D21" s="333"/>
      <c r="E21" s="333"/>
      <c r="F21" s="333"/>
      <c r="G21" s="333"/>
    </row>
    <row r="22" spans="1:7" s="151" customFormat="1" ht="12.75" x14ac:dyDescent="0.2">
      <c r="A22" s="169" t="s">
        <v>154</v>
      </c>
      <c r="B22" s="175" t="s">
        <v>358</v>
      </c>
      <c r="C22" s="169"/>
      <c r="D22" s="169"/>
      <c r="E22" s="169"/>
      <c r="F22" s="169"/>
      <c r="G22" s="169"/>
    </row>
    <row r="23" spans="1:7" s="151" customFormat="1" ht="12.75" x14ac:dyDescent="0.2">
      <c r="A23" s="169" t="s">
        <v>156</v>
      </c>
      <c r="B23" s="169" t="s">
        <v>359</v>
      </c>
      <c r="C23" s="169"/>
      <c r="D23" s="169"/>
      <c r="E23" s="169"/>
      <c r="F23" s="169"/>
      <c r="G23" s="169"/>
    </row>
    <row r="24" spans="1:7" s="151" customFormat="1" ht="12.75" x14ac:dyDescent="0.2">
      <c r="A24" s="169"/>
      <c r="B24" s="169"/>
      <c r="C24" s="169"/>
      <c r="D24" s="169"/>
      <c r="E24" s="338" t="s">
        <v>158</v>
      </c>
      <c r="F24" s="338"/>
      <c r="G24" s="169"/>
    </row>
    <row r="25" spans="1:7" s="151" customFormat="1" ht="12.75" x14ac:dyDescent="0.2">
      <c r="A25" s="169"/>
      <c r="B25" s="173" t="s">
        <v>159</v>
      </c>
      <c r="C25" s="173" t="s">
        <v>160</v>
      </c>
      <c r="D25" s="173" t="s">
        <v>161</v>
      </c>
      <c r="E25" s="173" t="s">
        <v>162</v>
      </c>
      <c r="F25" s="174" t="s">
        <v>163</v>
      </c>
      <c r="G25" s="173" t="s">
        <v>164</v>
      </c>
    </row>
    <row r="26" spans="1:7" s="151" customFormat="1" ht="12.75" x14ac:dyDescent="0.2">
      <c r="A26" s="169"/>
      <c r="B26" s="175" t="s">
        <v>165</v>
      </c>
      <c r="C26" s="175" t="s">
        <v>166</v>
      </c>
      <c r="D26" s="184">
        <v>23700</v>
      </c>
      <c r="E26" s="183">
        <v>5</v>
      </c>
      <c r="F26" s="178">
        <v>0.03</v>
      </c>
      <c r="G26" s="169" t="s">
        <v>360</v>
      </c>
    </row>
    <row r="27" spans="1:7" s="151" customFormat="1" ht="12.75" x14ac:dyDescent="0.2">
      <c r="A27" s="169"/>
      <c r="B27" s="175" t="s">
        <v>285</v>
      </c>
      <c r="C27" s="175" t="s">
        <v>286</v>
      </c>
      <c r="D27" s="184">
        <v>8000</v>
      </c>
      <c r="E27" s="183">
        <v>5</v>
      </c>
      <c r="F27" s="178">
        <v>0.02</v>
      </c>
      <c r="G27" s="169" t="s">
        <v>361</v>
      </c>
    </row>
    <row r="28" spans="1:7" s="151" customFormat="1" ht="12.75" x14ac:dyDescent="0.2">
      <c r="A28" s="169"/>
      <c r="B28" s="169" t="s">
        <v>167</v>
      </c>
      <c r="C28" s="169"/>
      <c r="D28" s="184">
        <v>0</v>
      </c>
      <c r="E28" s="183">
        <v>0</v>
      </c>
      <c r="F28" s="178">
        <v>0</v>
      </c>
      <c r="G28" s="169" t="s">
        <v>362</v>
      </c>
    </row>
    <row r="29" spans="1:7" s="151" customFormat="1" ht="12.75" x14ac:dyDescent="0.2">
      <c r="A29" s="169"/>
      <c r="B29" s="169" t="s">
        <v>169</v>
      </c>
      <c r="C29" s="169"/>
      <c r="D29" s="232" t="s">
        <v>266</v>
      </c>
      <c r="E29" s="183">
        <v>0</v>
      </c>
      <c r="F29" s="178">
        <v>0</v>
      </c>
      <c r="G29" s="169" t="s">
        <v>363</v>
      </c>
    </row>
    <row r="30" spans="1:7" s="151" customFormat="1" ht="38.25" x14ac:dyDescent="0.2">
      <c r="A30" s="169"/>
      <c r="B30" s="182" t="s">
        <v>172</v>
      </c>
      <c r="C30" s="169"/>
      <c r="D30" s="232" t="s">
        <v>266</v>
      </c>
      <c r="E30" s="183">
        <v>0</v>
      </c>
      <c r="F30" s="178">
        <v>0</v>
      </c>
      <c r="G30" s="182" t="s">
        <v>364</v>
      </c>
    </row>
    <row r="31" spans="1:7" s="151" customFormat="1" ht="25.5" x14ac:dyDescent="0.2">
      <c r="A31" s="169"/>
      <c r="B31" s="182" t="s">
        <v>173</v>
      </c>
      <c r="C31" s="169"/>
      <c r="D31" s="184">
        <v>1000</v>
      </c>
      <c r="E31" s="183">
        <v>0</v>
      </c>
      <c r="F31" s="178">
        <v>0</v>
      </c>
      <c r="G31" s="169" t="s">
        <v>365</v>
      </c>
    </row>
    <row r="32" spans="1:7" s="151" customFormat="1" ht="25.5" x14ac:dyDescent="0.2">
      <c r="A32" s="169"/>
      <c r="B32" s="182" t="s">
        <v>174</v>
      </c>
      <c r="C32" s="169" t="s">
        <v>175</v>
      </c>
      <c r="D32" s="184">
        <v>1000</v>
      </c>
      <c r="E32" s="183">
        <v>0</v>
      </c>
      <c r="F32" s="178">
        <v>0</v>
      </c>
      <c r="G32" s="169" t="s">
        <v>366</v>
      </c>
    </row>
    <row r="33" spans="1:7" s="151" customFormat="1" ht="12.75" x14ac:dyDescent="0.2">
      <c r="A33" s="169"/>
      <c r="B33" s="169" t="s">
        <v>176</v>
      </c>
      <c r="C33" s="169"/>
      <c r="D33" s="184">
        <v>130</v>
      </c>
      <c r="E33" s="183">
        <v>0</v>
      </c>
      <c r="F33" s="178">
        <v>0</v>
      </c>
      <c r="G33" s="169" t="s">
        <v>367</v>
      </c>
    </row>
    <row r="34" spans="1:7" s="151" customFormat="1" ht="12.75" x14ac:dyDescent="0.2">
      <c r="A34" s="169"/>
      <c r="B34" s="169" t="s">
        <v>178</v>
      </c>
      <c r="C34" s="169" t="s">
        <v>179</v>
      </c>
      <c r="D34" s="232" t="s">
        <v>266</v>
      </c>
      <c r="E34" s="183">
        <v>0</v>
      </c>
      <c r="F34" s="178">
        <v>0</v>
      </c>
      <c r="G34" s="169" t="s">
        <v>368</v>
      </c>
    </row>
    <row r="35" spans="1:7" s="151" customFormat="1" ht="63.75" x14ac:dyDescent="0.2">
      <c r="A35" s="169"/>
      <c r="B35" s="169" t="s">
        <v>181</v>
      </c>
      <c r="C35" s="182" t="s">
        <v>182</v>
      </c>
      <c r="D35" s="184">
        <v>900</v>
      </c>
      <c r="E35" s="183">
        <v>0</v>
      </c>
      <c r="F35" s="178">
        <v>0</v>
      </c>
      <c r="G35" s="169" t="s">
        <v>369</v>
      </c>
    </row>
    <row r="36" spans="1:7" s="151" customFormat="1" ht="25.5" x14ac:dyDescent="0.2">
      <c r="A36" s="169"/>
      <c r="B36" s="203" t="s">
        <v>184</v>
      </c>
      <c r="C36" s="169"/>
      <c r="D36" s="232" t="s">
        <v>266</v>
      </c>
      <c r="E36" s="183">
        <v>0</v>
      </c>
      <c r="F36" s="178">
        <v>0</v>
      </c>
      <c r="G36" s="182" t="s">
        <v>370</v>
      </c>
    </row>
    <row r="37" spans="1:7" s="151" customFormat="1" ht="38.25" x14ac:dyDescent="0.2">
      <c r="A37" s="169"/>
      <c r="B37" s="204" t="s">
        <v>291</v>
      </c>
      <c r="C37" s="169"/>
      <c r="D37" s="232" t="s">
        <v>266</v>
      </c>
      <c r="E37" s="183">
        <v>0</v>
      </c>
      <c r="F37" s="178">
        <v>0</v>
      </c>
      <c r="G37" s="182" t="s">
        <v>371</v>
      </c>
    </row>
    <row r="38" spans="1:7" s="151" customFormat="1" ht="38.25" x14ac:dyDescent="0.2">
      <c r="A38" s="169"/>
      <c r="B38" s="204" t="s">
        <v>293</v>
      </c>
      <c r="C38" s="169"/>
      <c r="D38" s="232" t="s">
        <v>266</v>
      </c>
      <c r="E38" s="183">
        <v>0</v>
      </c>
      <c r="F38" s="178">
        <v>0</v>
      </c>
      <c r="G38" s="182" t="s">
        <v>371</v>
      </c>
    </row>
    <row r="39" spans="1:7" s="151" customFormat="1" ht="38.25" x14ac:dyDescent="0.2">
      <c r="A39" s="169"/>
      <c r="B39" s="204" t="s">
        <v>294</v>
      </c>
      <c r="C39" s="169"/>
      <c r="D39" s="232" t="s">
        <v>266</v>
      </c>
      <c r="E39" s="183">
        <v>0</v>
      </c>
      <c r="F39" s="178">
        <v>0</v>
      </c>
      <c r="G39" s="182" t="s">
        <v>371</v>
      </c>
    </row>
    <row r="40" spans="1:7" s="151" customFormat="1" ht="25.5" x14ac:dyDescent="0.2">
      <c r="A40" s="169"/>
      <c r="B40" s="181" t="s">
        <v>186</v>
      </c>
      <c r="C40" s="169"/>
      <c r="D40" s="232" t="s">
        <v>266</v>
      </c>
      <c r="E40" s="183">
        <v>0</v>
      </c>
      <c r="F40" s="178">
        <v>0</v>
      </c>
      <c r="G40" s="182" t="s">
        <v>372</v>
      </c>
    </row>
    <row r="41" spans="1:7" s="151" customFormat="1" ht="38.25" x14ac:dyDescent="0.2">
      <c r="A41" s="169"/>
      <c r="B41" s="182" t="s">
        <v>188</v>
      </c>
      <c r="C41" s="169"/>
      <c r="D41" s="232" t="s">
        <v>266</v>
      </c>
      <c r="E41" s="183">
        <v>0</v>
      </c>
      <c r="F41" s="178">
        <v>0</v>
      </c>
      <c r="G41" s="182" t="s">
        <v>373</v>
      </c>
    </row>
    <row r="42" spans="1:7" s="151" customFormat="1" ht="12.75" x14ac:dyDescent="0.2">
      <c r="A42" s="169"/>
      <c r="B42" s="169"/>
      <c r="C42" s="169"/>
      <c r="D42" s="184"/>
      <c r="E42" s="183"/>
      <c r="F42" s="178"/>
      <c r="G42" s="169"/>
    </row>
    <row r="43" spans="1:7" s="151" customFormat="1" ht="12.75" x14ac:dyDescent="0.2">
      <c r="A43" s="169"/>
      <c r="B43" s="169"/>
      <c r="C43" s="169"/>
      <c r="D43" s="169"/>
      <c r="E43" s="169"/>
      <c r="F43" s="169"/>
      <c r="G43" s="169"/>
    </row>
    <row r="44" spans="1:7" s="150" customFormat="1" ht="15.75" x14ac:dyDescent="0.25">
      <c r="A44" s="147" t="s">
        <v>202</v>
      </c>
      <c r="B44" s="148"/>
      <c r="C44" s="148"/>
      <c r="D44" s="148"/>
      <c r="E44" s="148"/>
      <c r="F44" s="148"/>
      <c r="G44" s="148"/>
    </row>
    <row r="45" spans="1:7" s="151" customFormat="1" ht="12.75" x14ac:dyDescent="0.2">
      <c r="A45" s="333" t="s">
        <v>203</v>
      </c>
      <c r="B45" s="333"/>
      <c r="C45" s="333"/>
      <c r="D45" s="333"/>
      <c r="E45" s="333"/>
      <c r="F45" s="333"/>
      <c r="G45" s="333"/>
    </row>
    <row r="46" spans="1:7" s="151" customFormat="1" x14ac:dyDescent="0.2">
      <c r="A46" s="169" t="s">
        <v>154</v>
      </c>
      <c r="B46" s="233" t="s">
        <v>374</v>
      </c>
      <c r="C46" s="169"/>
      <c r="D46" s="169"/>
      <c r="E46" s="169"/>
      <c r="F46" s="169"/>
      <c r="G46" s="169"/>
    </row>
    <row r="47" spans="1:7" s="151" customFormat="1" ht="12.75" x14ac:dyDescent="0.2">
      <c r="A47" s="169" t="s">
        <v>156</v>
      </c>
      <c r="B47" s="169"/>
      <c r="C47" s="169"/>
      <c r="D47" s="169"/>
      <c r="E47" s="169"/>
      <c r="F47" s="169"/>
      <c r="G47" s="169"/>
    </row>
    <row r="48" spans="1:7" s="151" customFormat="1" ht="12.75" x14ac:dyDescent="0.2">
      <c r="A48" s="169"/>
      <c r="B48" s="169"/>
      <c r="C48" s="169"/>
      <c r="D48" s="169"/>
      <c r="E48" s="338" t="s">
        <v>158</v>
      </c>
      <c r="F48" s="338"/>
      <c r="G48" s="169"/>
    </row>
    <row r="49" spans="1:7" s="151" customFormat="1" ht="12.75" x14ac:dyDescent="0.2">
      <c r="A49" s="169"/>
      <c r="B49" s="173" t="s">
        <v>159</v>
      </c>
      <c r="C49" s="173" t="s">
        <v>160</v>
      </c>
      <c r="D49" s="173" t="s">
        <v>161</v>
      </c>
      <c r="E49" s="173" t="s">
        <v>162</v>
      </c>
      <c r="F49" s="174" t="s">
        <v>163</v>
      </c>
      <c r="G49" s="173" t="s">
        <v>164</v>
      </c>
    </row>
    <row r="50" spans="1:7" s="151" customFormat="1" x14ac:dyDescent="0.2">
      <c r="A50" s="169"/>
      <c r="B50" s="175" t="s">
        <v>206</v>
      </c>
      <c r="C50" s="175" t="s">
        <v>207</v>
      </c>
      <c r="D50" s="184">
        <v>0</v>
      </c>
      <c r="E50" s="183">
        <v>0</v>
      </c>
      <c r="F50" s="178">
        <v>0</v>
      </c>
      <c r="G50" s="234" t="s">
        <v>374</v>
      </c>
    </row>
    <row r="51" spans="1:7" s="151" customFormat="1" x14ac:dyDescent="0.2">
      <c r="A51" s="169"/>
      <c r="B51" s="169" t="s">
        <v>310</v>
      </c>
      <c r="C51" s="169"/>
      <c r="D51" s="184">
        <v>0</v>
      </c>
      <c r="E51" s="183">
        <v>0</v>
      </c>
      <c r="F51" s="178">
        <v>0</v>
      </c>
      <c r="G51" s="234" t="s">
        <v>374</v>
      </c>
    </row>
    <row r="52" spans="1:7" s="151" customFormat="1" x14ac:dyDescent="0.2">
      <c r="A52" s="169"/>
      <c r="B52" s="169" t="s">
        <v>176</v>
      </c>
      <c r="C52" s="169"/>
      <c r="D52" s="184">
        <v>0</v>
      </c>
      <c r="E52" s="183">
        <v>0</v>
      </c>
      <c r="F52" s="178">
        <v>0</v>
      </c>
      <c r="G52" s="234" t="s">
        <v>374</v>
      </c>
    </row>
    <row r="53" spans="1:7" s="151" customFormat="1" ht="25.5" x14ac:dyDescent="0.2">
      <c r="A53" s="169"/>
      <c r="B53" s="191" t="s">
        <v>215</v>
      </c>
      <c r="C53" s="182" t="s">
        <v>216</v>
      </c>
      <c r="D53" s="184">
        <v>0</v>
      </c>
      <c r="E53" s="183">
        <v>0</v>
      </c>
      <c r="F53" s="178">
        <v>0</v>
      </c>
      <c r="G53" s="234" t="s">
        <v>374</v>
      </c>
    </row>
    <row r="54" spans="1:7" s="151" customFormat="1" ht="25.5" x14ac:dyDescent="0.2">
      <c r="A54" s="169"/>
      <c r="B54" s="182" t="s">
        <v>220</v>
      </c>
      <c r="C54" s="182" t="s">
        <v>221</v>
      </c>
      <c r="D54" s="184">
        <v>0</v>
      </c>
      <c r="E54" s="183">
        <v>0</v>
      </c>
      <c r="F54" s="178">
        <v>0</v>
      </c>
      <c r="G54" s="234" t="s">
        <v>374</v>
      </c>
    </row>
    <row r="55" spans="1:7" s="151" customFormat="1" ht="40.5" customHeight="1" x14ac:dyDescent="0.2">
      <c r="A55" s="169"/>
      <c r="B55" s="182" t="s">
        <v>223</v>
      </c>
      <c r="C55" s="182" t="s">
        <v>224</v>
      </c>
      <c r="D55" s="184">
        <v>0</v>
      </c>
      <c r="E55" s="183">
        <v>0</v>
      </c>
      <c r="F55" s="178">
        <v>0</v>
      </c>
      <c r="G55" s="234" t="s">
        <v>374</v>
      </c>
    </row>
    <row r="56" spans="1:7" s="151" customFormat="1" x14ac:dyDescent="0.2">
      <c r="A56" s="169"/>
      <c r="B56" s="169" t="s">
        <v>314</v>
      </c>
      <c r="C56" s="169"/>
      <c r="D56" s="184">
        <v>0</v>
      </c>
      <c r="E56" s="183">
        <v>0</v>
      </c>
      <c r="F56" s="178">
        <v>0</v>
      </c>
      <c r="G56" s="234" t="s">
        <v>374</v>
      </c>
    </row>
    <row r="57" spans="1:7" s="151" customFormat="1" x14ac:dyDescent="0.2">
      <c r="A57" s="169"/>
      <c r="B57" s="169" t="s">
        <v>167</v>
      </c>
      <c r="C57" s="169"/>
      <c r="D57" s="184">
        <v>0</v>
      </c>
      <c r="E57" s="183">
        <v>0</v>
      </c>
      <c r="F57" s="178">
        <v>0</v>
      </c>
      <c r="G57" s="234" t="s">
        <v>374</v>
      </c>
    </row>
    <row r="58" spans="1:7" s="151" customFormat="1" x14ac:dyDescent="0.2">
      <c r="A58" s="169"/>
      <c r="B58" s="203" t="s">
        <v>225</v>
      </c>
      <c r="C58" s="203" t="s">
        <v>226</v>
      </c>
      <c r="D58" s="184">
        <v>0</v>
      </c>
      <c r="E58" s="183">
        <v>0</v>
      </c>
      <c r="F58" s="178">
        <v>0</v>
      </c>
      <c r="G58" s="234" t="s">
        <v>374</v>
      </c>
    </row>
    <row r="59" spans="1:7" s="151" customFormat="1" x14ac:dyDescent="0.2">
      <c r="A59" s="169"/>
      <c r="B59" s="203" t="s">
        <v>227</v>
      </c>
      <c r="C59" s="203" t="s">
        <v>226</v>
      </c>
      <c r="D59" s="184">
        <v>0</v>
      </c>
      <c r="E59" s="183">
        <v>0</v>
      </c>
      <c r="F59" s="178">
        <v>0</v>
      </c>
      <c r="G59" s="234" t="s">
        <v>374</v>
      </c>
    </row>
    <row r="60" spans="1:7" s="151" customFormat="1" ht="25.5" x14ac:dyDescent="0.2">
      <c r="A60" s="169"/>
      <c r="B60" s="182" t="s">
        <v>186</v>
      </c>
      <c r="C60" s="169"/>
      <c r="D60" s="184">
        <v>0</v>
      </c>
      <c r="E60" s="183">
        <v>0</v>
      </c>
      <c r="F60" s="178">
        <v>0</v>
      </c>
      <c r="G60" s="234" t="s">
        <v>374</v>
      </c>
    </row>
    <row r="61" spans="1:7" s="151" customFormat="1" ht="25.5" x14ac:dyDescent="0.2">
      <c r="A61" s="169"/>
      <c r="B61" s="182" t="s">
        <v>188</v>
      </c>
      <c r="C61" s="169"/>
      <c r="D61" s="184">
        <v>0</v>
      </c>
      <c r="E61" s="183">
        <v>0</v>
      </c>
      <c r="F61" s="178">
        <v>0</v>
      </c>
      <c r="G61" s="234" t="s">
        <v>374</v>
      </c>
    </row>
    <row r="62" spans="1:7" s="169" customFormat="1" ht="51" x14ac:dyDescent="0.25">
      <c r="B62" s="182" t="s">
        <v>228</v>
      </c>
      <c r="C62" s="182" t="s">
        <v>229</v>
      </c>
      <c r="D62" s="184">
        <v>0</v>
      </c>
      <c r="E62" s="183">
        <v>0</v>
      </c>
      <c r="F62" s="178">
        <v>0</v>
      </c>
      <c r="G62" s="234" t="s">
        <v>374</v>
      </c>
    </row>
    <row r="63" spans="1:7" s="169" customFormat="1" ht="12.75" x14ac:dyDescent="0.25">
      <c r="B63" s="182"/>
      <c r="C63" s="182"/>
      <c r="D63" s="184"/>
      <c r="E63" s="183"/>
      <c r="F63" s="178"/>
    </row>
    <row r="64" spans="1:7" s="151" customFormat="1" ht="12.75" x14ac:dyDescent="0.2">
      <c r="A64" s="169"/>
      <c r="B64" s="169"/>
      <c r="C64" s="169"/>
      <c r="D64" s="184"/>
      <c r="E64" s="183"/>
      <c r="F64" s="178"/>
      <c r="G64" s="169"/>
    </row>
    <row r="65" spans="1:7" s="150" customFormat="1" ht="15.75" x14ac:dyDescent="0.25">
      <c r="A65" s="147" t="s">
        <v>232</v>
      </c>
      <c r="B65" s="148"/>
      <c r="C65" s="148"/>
      <c r="D65" s="148"/>
      <c r="E65" s="148"/>
      <c r="F65" s="148"/>
      <c r="G65" s="148"/>
    </row>
    <row r="66" spans="1:7" s="151" customFormat="1" ht="12.75" x14ac:dyDescent="0.2">
      <c r="A66" s="333" t="s">
        <v>233</v>
      </c>
      <c r="B66" s="333"/>
      <c r="C66" s="333"/>
      <c r="D66" s="333"/>
      <c r="E66" s="333"/>
      <c r="F66" s="333"/>
      <c r="G66" s="333"/>
    </row>
    <row r="67" spans="1:7" s="151" customFormat="1" ht="12.75" x14ac:dyDescent="0.2">
      <c r="A67" s="169"/>
      <c r="B67" s="173" t="s">
        <v>159</v>
      </c>
      <c r="C67" s="173" t="s">
        <v>234</v>
      </c>
      <c r="D67" s="173"/>
      <c r="E67" s="173"/>
      <c r="F67" s="173"/>
      <c r="G67" s="173" t="s">
        <v>164</v>
      </c>
    </row>
    <row r="68" spans="1:7" s="151" customFormat="1" ht="12.75" x14ac:dyDescent="0.2">
      <c r="A68" s="169"/>
      <c r="B68" s="169" t="s">
        <v>235</v>
      </c>
      <c r="C68" s="232" t="s">
        <v>266</v>
      </c>
      <c r="D68" s="169"/>
      <c r="E68" s="169"/>
      <c r="F68" s="169"/>
      <c r="G68" s="169" t="s">
        <v>375</v>
      </c>
    </row>
    <row r="69" spans="1:7" s="151" customFormat="1" ht="12.75" x14ac:dyDescent="0.2">
      <c r="A69" s="169"/>
      <c r="B69" s="169" t="s">
        <v>237</v>
      </c>
      <c r="C69" s="232" t="s">
        <v>266</v>
      </c>
      <c r="D69" s="169"/>
      <c r="E69" s="169"/>
      <c r="F69" s="169"/>
      <c r="G69" s="169" t="s">
        <v>376</v>
      </c>
    </row>
    <row r="70" spans="1:7" s="151" customFormat="1" ht="51" x14ac:dyDescent="0.2">
      <c r="A70" s="169"/>
      <c r="B70" s="169" t="s">
        <v>238</v>
      </c>
      <c r="C70" s="232" t="s">
        <v>266</v>
      </c>
      <c r="D70" s="169"/>
      <c r="E70" s="181" t="s">
        <v>239</v>
      </c>
      <c r="F70" s="184">
        <v>3500</v>
      </c>
      <c r="G70" s="182" t="s">
        <v>377</v>
      </c>
    </row>
    <row r="71" spans="1:7" s="151" customFormat="1" ht="12.75" x14ac:dyDescent="0.2">
      <c r="A71" s="169"/>
      <c r="B71" s="169"/>
      <c r="C71" s="169"/>
      <c r="D71" s="169"/>
      <c r="E71" s="169"/>
      <c r="F71" s="169"/>
      <c r="G71" s="169"/>
    </row>
    <row r="72" spans="1:7" s="150" customFormat="1" ht="15.75" x14ac:dyDescent="0.25">
      <c r="A72" s="147" t="s">
        <v>240</v>
      </c>
      <c r="B72" s="148"/>
      <c r="C72" s="148"/>
      <c r="D72" s="148"/>
      <c r="E72" s="148"/>
      <c r="F72" s="148"/>
      <c r="G72" s="148"/>
    </row>
    <row r="73" spans="1:7" s="151" customFormat="1" ht="12.75" x14ac:dyDescent="0.2">
      <c r="A73" s="333" t="s">
        <v>241</v>
      </c>
      <c r="B73" s="333"/>
      <c r="C73" s="333"/>
      <c r="D73" s="333"/>
      <c r="E73" s="333"/>
      <c r="F73" s="333"/>
      <c r="G73" s="333"/>
    </row>
    <row r="74" spans="1:7" s="151" customFormat="1" ht="12.75" x14ac:dyDescent="0.2">
      <c r="A74" s="169"/>
      <c r="B74" s="173" t="s">
        <v>159</v>
      </c>
      <c r="C74" s="173" t="s">
        <v>163</v>
      </c>
      <c r="D74" s="173"/>
      <c r="E74" s="173"/>
      <c r="F74" s="173"/>
      <c r="G74" s="173" t="s">
        <v>164</v>
      </c>
    </row>
    <row r="75" spans="1:7" s="151" customFormat="1" ht="25.5" x14ac:dyDescent="0.2">
      <c r="A75" s="169"/>
      <c r="B75" s="182" t="s">
        <v>242</v>
      </c>
      <c r="C75" s="178">
        <v>0</v>
      </c>
      <c r="D75" s="169"/>
      <c r="E75" s="169"/>
      <c r="F75" s="169"/>
      <c r="G75" s="169"/>
    </row>
    <row r="76" spans="1:7" s="151" customFormat="1" ht="25.5" x14ac:dyDescent="0.2">
      <c r="A76" s="169"/>
      <c r="B76" s="182" t="s">
        <v>243</v>
      </c>
      <c r="C76" s="187">
        <v>0</v>
      </c>
      <c r="D76" s="169"/>
      <c r="E76" s="169"/>
      <c r="F76" s="169"/>
      <c r="G76" s="169"/>
    </row>
    <row r="77" spans="1:7" s="151" customFormat="1" ht="12.75" x14ac:dyDescent="0.2">
      <c r="A77" s="169"/>
      <c r="B77" s="169"/>
      <c r="C77" s="169"/>
      <c r="D77" s="169"/>
      <c r="E77" s="169"/>
      <c r="F77" s="169"/>
      <c r="G77" s="169"/>
    </row>
    <row r="78" spans="1:7" s="151" customFormat="1" ht="12.75" x14ac:dyDescent="0.2">
      <c r="A78" s="169"/>
      <c r="B78" s="169"/>
      <c r="C78" s="169"/>
      <c r="D78" s="169"/>
      <c r="E78" s="169"/>
      <c r="F78" s="169"/>
      <c r="G78" s="169"/>
    </row>
    <row r="79" spans="1:7" s="150" customFormat="1" ht="15.75" x14ac:dyDescent="0.25">
      <c r="A79" s="147" t="s">
        <v>244</v>
      </c>
      <c r="B79" s="148"/>
      <c r="C79" s="148"/>
      <c r="D79" s="148"/>
      <c r="E79" s="148"/>
      <c r="F79" s="148"/>
      <c r="G79" s="148"/>
    </row>
    <row r="80" spans="1:7" s="151" customFormat="1" ht="12.75" x14ac:dyDescent="0.2">
      <c r="A80" s="333" t="s">
        <v>245</v>
      </c>
      <c r="B80" s="333"/>
      <c r="C80" s="333"/>
      <c r="D80" s="333"/>
      <c r="E80" s="333"/>
      <c r="F80" s="333"/>
      <c r="G80" s="333"/>
    </row>
    <row r="81" spans="1:7" s="151" customFormat="1" ht="12.75" x14ac:dyDescent="0.2">
      <c r="A81" s="169"/>
      <c r="B81" s="173" t="s">
        <v>159</v>
      </c>
      <c r="C81" s="173" t="s">
        <v>246</v>
      </c>
      <c r="D81" s="173"/>
      <c r="E81" s="173"/>
      <c r="F81" s="173"/>
      <c r="G81" s="173" t="s">
        <v>164</v>
      </c>
    </row>
    <row r="82" spans="1:7" s="151" customFormat="1" ht="12.75" x14ac:dyDescent="0.2">
      <c r="A82" s="169"/>
      <c r="B82" s="169" t="s">
        <v>247</v>
      </c>
      <c r="C82" s="184">
        <v>0</v>
      </c>
      <c r="D82" s="169"/>
      <c r="E82" s="169"/>
      <c r="F82" s="169"/>
      <c r="G82" s="169"/>
    </row>
    <row r="83" spans="1:7" s="151" customFormat="1" ht="12.75" x14ac:dyDescent="0.2">
      <c r="A83" s="169"/>
      <c r="B83" s="169" t="s">
        <v>248</v>
      </c>
      <c r="C83" s="184">
        <v>0</v>
      </c>
      <c r="D83" s="169"/>
      <c r="E83" s="169"/>
      <c r="F83" s="169"/>
      <c r="G83" s="169"/>
    </row>
    <row r="84" spans="1:7" s="151" customFormat="1" ht="12.75" x14ac:dyDescent="0.2">
      <c r="A84" s="169"/>
      <c r="B84" s="169"/>
      <c r="C84" s="169"/>
      <c r="D84" s="169"/>
      <c r="E84" s="169"/>
      <c r="F84" s="169"/>
      <c r="G84" s="169"/>
    </row>
    <row r="85" spans="1:7" s="151" customFormat="1" ht="12.75" x14ac:dyDescent="0.2">
      <c r="A85" s="169"/>
      <c r="B85" s="169"/>
      <c r="C85" s="169"/>
      <c r="D85" s="169"/>
      <c r="E85" s="169"/>
      <c r="F85" s="169"/>
      <c r="G85" s="169"/>
    </row>
    <row r="86" spans="1:7" s="150" customFormat="1" ht="15.75" x14ac:dyDescent="0.25">
      <c r="A86" s="205" t="s">
        <v>249</v>
      </c>
      <c r="B86" s="206"/>
      <c r="C86" s="206"/>
      <c r="D86" s="206"/>
      <c r="E86" s="206"/>
      <c r="F86" s="206"/>
      <c r="G86" s="206"/>
    </row>
    <row r="87" spans="1:7" s="151" customFormat="1" ht="12.75" x14ac:dyDescent="0.2">
      <c r="A87" s="324" t="s">
        <v>378</v>
      </c>
      <c r="B87" s="324"/>
      <c r="C87" s="324"/>
      <c r="D87" s="324"/>
      <c r="E87" s="324"/>
      <c r="F87" s="324"/>
      <c r="G87" s="324"/>
    </row>
    <row r="88" spans="1:7" s="151" customFormat="1" ht="12.75" x14ac:dyDescent="0.2">
      <c r="A88" s="324" t="s">
        <v>379</v>
      </c>
      <c r="B88" s="324"/>
      <c r="C88" s="324"/>
      <c r="D88" s="324"/>
      <c r="E88" s="324"/>
      <c r="F88" s="324"/>
      <c r="G88" s="324"/>
    </row>
    <row r="89" spans="1:7" s="151" customFormat="1" ht="12.75" x14ac:dyDescent="0.2">
      <c r="A89" s="324"/>
      <c r="B89" s="324"/>
      <c r="C89" s="324"/>
      <c r="D89" s="324"/>
      <c r="E89" s="324"/>
      <c r="F89" s="324"/>
      <c r="G89" s="324"/>
    </row>
    <row r="90" spans="1:7" s="151" customFormat="1" ht="12.75" x14ac:dyDescent="0.2">
      <c r="A90" s="324"/>
      <c r="B90" s="324"/>
      <c r="C90" s="324"/>
      <c r="D90" s="324"/>
      <c r="E90" s="324"/>
      <c r="F90" s="324"/>
      <c r="G90" s="324"/>
    </row>
    <row r="91" spans="1:7" s="151" customFormat="1" ht="12.75" x14ac:dyDescent="0.2">
      <c r="A91" s="324"/>
      <c r="B91" s="324"/>
      <c r="C91" s="324"/>
      <c r="D91" s="324"/>
      <c r="E91" s="324"/>
      <c r="F91" s="324"/>
      <c r="G91" s="324"/>
    </row>
    <row r="92" spans="1:7" s="151" customFormat="1" ht="12.75" x14ac:dyDescent="0.2">
      <c r="A92" s="324"/>
      <c r="B92" s="324"/>
      <c r="C92" s="324"/>
      <c r="D92" s="324"/>
      <c r="E92" s="324"/>
      <c r="F92" s="324"/>
      <c r="G92" s="324"/>
    </row>
  </sheetData>
  <mergeCells count="19">
    <mergeCell ref="A92:G92"/>
    <mergeCell ref="A80:G80"/>
    <mergeCell ref="A87:G87"/>
    <mergeCell ref="A88:G88"/>
    <mergeCell ref="A89:G89"/>
    <mergeCell ref="A90:G90"/>
    <mergeCell ref="A91:G91"/>
    <mergeCell ref="A73:G73"/>
    <mergeCell ref="A1:G1"/>
    <mergeCell ref="A2:G2"/>
    <mergeCell ref="A3:G3"/>
    <mergeCell ref="A5:G5"/>
    <mergeCell ref="A6:G6"/>
    <mergeCell ref="E9:F9"/>
    <mergeCell ref="A21:G21"/>
    <mergeCell ref="E24:F24"/>
    <mergeCell ref="A45:G45"/>
    <mergeCell ref="E48:F48"/>
    <mergeCell ref="A66:G66"/>
  </mergeCells>
  <pageMargins left="0.7" right="0.7" top="0.75" bottom="0.75" header="0.3" footer="0.3"/>
  <pageSetup scale="67"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5"/>
  <sheetViews>
    <sheetView workbookViewId="0">
      <selection activeCell="A90" sqref="A90:G90"/>
    </sheetView>
  </sheetViews>
  <sheetFormatPr defaultRowHeight="15" x14ac:dyDescent="0.25"/>
  <cols>
    <col min="1" max="1" width="12.7109375" style="146" customWidth="1"/>
    <col min="2" max="2" width="36" style="146" customWidth="1"/>
    <col min="3" max="3" width="29.140625" style="146" customWidth="1"/>
    <col min="4" max="4" width="10" style="146" customWidth="1"/>
    <col min="5" max="5" width="9.28515625" style="146" customWidth="1"/>
    <col min="6" max="6" width="9.140625" style="146" customWidth="1"/>
    <col min="7" max="7" width="54.140625" style="146" customWidth="1"/>
    <col min="8" max="16384" width="9.140625" style="146"/>
  </cols>
  <sheetData>
    <row r="1" spans="1:7" ht="18.75" x14ac:dyDescent="0.3">
      <c r="A1" s="325" t="s">
        <v>149</v>
      </c>
      <c r="B1" s="325"/>
      <c r="C1" s="325"/>
      <c r="D1" s="325"/>
      <c r="E1" s="325"/>
      <c r="F1" s="325"/>
      <c r="G1" s="325"/>
    </row>
    <row r="2" spans="1:7" ht="18.75" x14ac:dyDescent="0.3">
      <c r="A2" s="325" t="s">
        <v>150</v>
      </c>
      <c r="B2" s="325"/>
      <c r="C2" s="325"/>
      <c r="D2" s="325"/>
      <c r="E2" s="325"/>
      <c r="F2" s="325"/>
      <c r="G2" s="325"/>
    </row>
    <row r="3" spans="1:7" ht="18.75" x14ac:dyDescent="0.3">
      <c r="A3" s="325" t="s">
        <v>151</v>
      </c>
      <c r="B3" s="325"/>
      <c r="C3" s="325"/>
      <c r="D3" s="325"/>
      <c r="E3" s="325"/>
      <c r="F3" s="325"/>
      <c r="G3" s="325"/>
    </row>
    <row r="5" spans="1:7" s="150" customFormat="1" ht="15.75" x14ac:dyDescent="0.25">
      <c r="A5" s="330" t="s">
        <v>250</v>
      </c>
      <c r="B5" s="330"/>
      <c r="C5" s="330"/>
      <c r="D5" s="330"/>
      <c r="E5" s="330"/>
      <c r="F5" s="330"/>
      <c r="G5" s="330"/>
    </row>
    <row r="6" spans="1:7" s="151" customFormat="1" ht="12.75" x14ac:dyDescent="0.2">
      <c r="A6" s="331" t="s">
        <v>251</v>
      </c>
      <c r="B6" s="331"/>
      <c r="C6" s="331"/>
      <c r="D6" s="331"/>
      <c r="E6" s="331"/>
      <c r="F6" s="331"/>
      <c r="G6" s="331"/>
    </row>
    <row r="7" spans="1:7" s="151" customFormat="1" ht="12.75" x14ac:dyDescent="0.2">
      <c r="A7" s="151" t="s">
        <v>154</v>
      </c>
      <c r="B7" s="151" t="s">
        <v>380</v>
      </c>
    </row>
    <row r="8" spans="1:7" s="151" customFormat="1" ht="12.75" x14ac:dyDescent="0.2">
      <c r="A8" s="151" t="s">
        <v>156</v>
      </c>
      <c r="B8" s="151" t="s">
        <v>380</v>
      </c>
    </row>
    <row r="9" spans="1:7" s="151" customFormat="1" ht="12.75" x14ac:dyDescent="0.2">
      <c r="E9" s="329" t="s">
        <v>158</v>
      </c>
      <c r="F9" s="329"/>
    </row>
    <row r="10" spans="1:7" s="151" customFormat="1" ht="12.75" x14ac:dyDescent="0.2">
      <c r="A10" s="169"/>
      <c r="B10" s="173" t="s">
        <v>159</v>
      </c>
      <c r="C10" s="173" t="s">
        <v>160</v>
      </c>
      <c r="D10" s="173" t="s">
        <v>161</v>
      </c>
      <c r="E10" s="173" t="s">
        <v>162</v>
      </c>
      <c r="F10" s="174" t="s">
        <v>163</v>
      </c>
      <c r="G10" s="173" t="s">
        <v>164</v>
      </c>
    </row>
    <row r="11" spans="1:7" s="151" customFormat="1" ht="12.75" x14ac:dyDescent="0.2">
      <c r="A11" s="169"/>
      <c r="B11" s="175" t="s">
        <v>381</v>
      </c>
      <c r="C11" s="175" t="s">
        <v>382</v>
      </c>
      <c r="D11" s="184">
        <v>1409.09</v>
      </c>
      <c r="E11" s="183" t="s">
        <v>383</v>
      </c>
      <c r="F11" s="178">
        <v>0</v>
      </c>
      <c r="G11" s="169" t="s">
        <v>384</v>
      </c>
    </row>
    <row r="12" spans="1:7" s="151" customFormat="1" ht="12.75" x14ac:dyDescent="0.2">
      <c r="A12" s="169"/>
      <c r="B12" s="175" t="s">
        <v>385</v>
      </c>
      <c r="C12" s="175" t="s">
        <v>385</v>
      </c>
      <c r="D12" s="184">
        <v>1516.85</v>
      </c>
      <c r="E12" s="183" t="s">
        <v>383</v>
      </c>
      <c r="F12" s="178"/>
      <c r="G12" s="169" t="s">
        <v>386</v>
      </c>
    </row>
    <row r="13" spans="1:7" s="151" customFormat="1" ht="12.75" x14ac:dyDescent="0.2">
      <c r="A13" s="169"/>
      <c r="B13" s="175" t="s">
        <v>387</v>
      </c>
      <c r="C13" s="175" t="s">
        <v>387</v>
      </c>
      <c r="D13" s="184">
        <v>1474.3</v>
      </c>
      <c r="E13" s="183" t="s">
        <v>383</v>
      </c>
      <c r="F13" s="178"/>
      <c r="G13" s="169" t="s">
        <v>388</v>
      </c>
    </row>
    <row r="14" spans="1:7" s="151" customFormat="1" ht="12.75" x14ac:dyDescent="0.2">
      <c r="A14" s="169"/>
      <c r="B14" s="175" t="s">
        <v>389</v>
      </c>
      <c r="C14" s="175" t="s">
        <v>389</v>
      </c>
      <c r="D14" s="184">
        <v>1587</v>
      </c>
      <c r="E14" s="183" t="s">
        <v>383</v>
      </c>
      <c r="F14" s="178"/>
      <c r="G14" s="169" t="s">
        <v>390</v>
      </c>
    </row>
    <row r="15" spans="1:7" s="151" customFormat="1" ht="12.75" x14ac:dyDescent="0.2">
      <c r="A15" s="169"/>
      <c r="B15" s="169" t="s">
        <v>260</v>
      </c>
      <c r="C15" s="169"/>
      <c r="D15" s="184">
        <v>0</v>
      </c>
      <c r="E15" s="183">
        <v>0</v>
      </c>
      <c r="F15" s="178">
        <v>0</v>
      </c>
      <c r="G15" s="169"/>
    </row>
    <row r="16" spans="1:7" s="151" customFormat="1" ht="12.75" x14ac:dyDescent="0.2">
      <c r="A16" s="169"/>
      <c r="B16" s="169" t="s">
        <v>281</v>
      </c>
      <c r="C16" s="169" t="s">
        <v>262</v>
      </c>
      <c r="D16" s="184">
        <v>0</v>
      </c>
      <c r="E16" s="183">
        <v>0</v>
      </c>
      <c r="F16" s="178">
        <v>0</v>
      </c>
      <c r="G16" s="169"/>
    </row>
    <row r="17" spans="1:7" s="151" customFormat="1" ht="12.75" x14ac:dyDescent="0.2">
      <c r="A17" s="169"/>
      <c r="B17" s="169" t="s">
        <v>167</v>
      </c>
      <c r="C17" s="169"/>
      <c r="D17" s="184">
        <v>0</v>
      </c>
      <c r="E17" s="183">
        <v>0</v>
      </c>
      <c r="F17" s="178">
        <v>0</v>
      </c>
      <c r="G17" s="169"/>
    </row>
    <row r="18" spans="1:7" s="151" customFormat="1" ht="64.5" customHeight="1" x14ac:dyDescent="0.2">
      <c r="A18" s="169"/>
      <c r="B18" s="181" t="s">
        <v>267</v>
      </c>
      <c r="C18" s="181" t="s">
        <v>268</v>
      </c>
      <c r="D18" s="184">
        <v>0</v>
      </c>
      <c r="E18" s="183">
        <v>0</v>
      </c>
      <c r="F18" s="178">
        <v>0</v>
      </c>
      <c r="G18" s="169"/>
    </row>
    <row r="19" spans="1:7" s="151" customFormat="1" ht="25.5" x14ac:dyDescent="0.2">
      <c r="A19" s="169"/>
      <c r="B19" s="182" t="s">
        <v>186</v>
      </c>
      <c r="C19" s="169"/>
      <c r="D19" s="184">
        <v>0</v>
      </c>
      <c r="E19" s="183">
        <v>0</v>
      </c>
      <c r="F19" s="178">
        <v>0</v>
      </c>
      <c r="G19" s="169"/>
    </row>
    <row r="20" spans="1:7" s="151" customFormat="1" ht="25.5" x14ac:dyDescent="0.2">
      <c r="A20" s="169"/>
      <c r="B20" s="182" t="s">
        <v>188</v>
      </c>
      <c r="C20" s="169"/>
      <c r="D20" s="184">
        <v>0</v>
      </c>
      <c r="E20" s="183">
        <v>0</v>
      </c>
      <c r="F20" s="178">
        <v>0</v>
      </c>
      <c r="G20" s="169"/>
    </row>
    <row r="21" spans="1:7" s="151" customFormat="1" ht="12.75" x14ac:dyDescent="0.2">
      <c r="A21" s="169"/>
      <c r="B21" s="169"/>
      <c r="C21" s="169"/>
      <c r="D21" s="184"/>
      <c r="E21" s="183"/>
      <c r="F21" s="178"/>
      <c r="G21" s="169"/>
    </row>
    <row r="22" spans="1:7" s="151" customFormat="1" ht="12.75" x14ac:dyDescent="0.2">
      <c r="A22" s="169"/>
      <c r="B22" s="169"/>
      <c r="C22" s="169"/>
      <c r="D22" s="184"/>
      <c r="E22" s="183"/>
      <c r="F22" s="178"/>
      <c r="G22" s="169"/>
    </row>
    <row r="23" spans="1:7" s="150" customFormat="1" ht="15.75" x14ac:dyDescent="0.25">
      <c r="A23" s="147" t="s">
        <v>152</v>
      </c>
      <c r="B23" s="148"/>
      <c r="C23" s="148"/>
      <c r="D23" s="148"/>
      <c r="E23" s="148"/>
      <c r="F23" s="148"/>
      <c r="G23" s="148"/>
    </row>
    <row r="24" spans="1:7" s="151" customFormat="1" ht="12.75" x14ac:dyDescent="0.2">
      <c r="A24" s="333" t="s">
        <v>153</v>
      </c>
      <c r="B24" s="333"/>
      <c r="C24" s="333"/>
      <c r="D24" s="333"/>
      <c r="E24" s="333"/>
      <c r="F24" s="333"/>
      <c r="G24" s="333"/>
    </row>
    <row r="25" spans="1:7" s="151" customFormat="1" ht="12.75" x14ac:dyDescent="0.2">
      <c r="A25" s="169" t="s">
        <v>154</v>
      </c>
      <c r="B25" s="169"/>
      <c r="C25" s="169"/>
      <c r="D25" s="169"/>
      <c r="E25" s="169"/>
      <c r="F25" s="169"/>
      <c r="G25" s="169"/>
    </row>
    <row r="26" spans="1:7" s="151" customFormat="1" ht="12.75" x14ac:dyDescent="0.2">
      <c r="A26" s="169" t="s">
        <v>156</v>
      </c>
      <c r="B26" s="169"/>
      <c r="C26" s="169"/>
      <c r="D26" s="169"/>
      <c r="E26" s="169"/>
      <c r="F26" s="169"/>
      <c r="G26" s="169"/>
    </row>
    <row r="27" spans="1:7" s="151" customFormat="1" ht="12.75" x14ac:dyDescent="0.2">
      <c r="A27" s="169"/>
      <c r="B27" s="169"/>
      <c r="C27" s="169"/>
      <c r="D27" s="169"/>
      <c r="E27" s="338" t="s">
        <v>158</v>
      </c>
      <c r="F27" s="338"/>
      <c r="G27" s="169"/>
    </row>
    <row r="28" spans="1:7" s="151" customFormat="1" ht="12.75" x14ac:dyDescent="0.2">
      <c r="A28" s="169"/>
      <c r="B28" s="173" t="s">
        <v>159</v>
      </c>
      <c r="C28" s="173" t="s">
        <v>160</v>
      </c>
      <c r="D28" s="173" t="s">
        <v>161</v>
      </c>
      <c r="E28" s="173" t="s">
        <v>162</v>
      </c>
      <c r="F28" s="174" t="s">
        <v>163</v>
      </c>
      <c r="G28" s="173" t="s">
        <v>164</v>
      </c>
    </row>
    <row r="29" spans="1:7" s="151" customFormat="1" ht="12.75" x14ac:dyDescent="0.2">
      <c r="A29" s="169"/>
      <c r="B29" s="175" t="s">
        <v>165</v>
      </c>
      <c r="C29" s="175" t="s">
        <v>166</v>
      </c>
      <c r="D29" s="184">
        <v>0</v>
      </c>
      <c r="E29" s="183">
        <v>0</v>
      </c>
      <c r="F29" s="178">
        <v>0</v>
      </c>
      <c r="G29" s="169"/>
    </row>
    <row r="30" spans="1:7" s="151" customFormat="1" ht="12.75" x14ac:dyDescent="0.2">
      <c r="A30" s="169"/>
      <c r="B30" s="175" t="s">
        <v>285</v>
      </c>
      <c r="C30" s="175" t="s">
        <v>286</v>
      </c>
      <c r="D30" s="184">
        <v>0</v>
      </c>
      <c r="E30" s="183">
        <v>0</v>
      </c>
      <c r="F30" s="178">
        <v>0</v>
      </c>
      <c r="G30" s="169"/>
    </row>
    <row r="31" spans="1:7" s="151" customFormat="1" ht="12.75" x14ac:dyDescent="0.2">
      <c r="A31" s="169"/>
      <c r="B31" s="169" t="s">
        <v>167</v>
      </c>
      <c r="C31" s="169"/>
      <c r="D31" s="184">
        <v>0</v>
      </c>
      <c r="E31" s="183">
        <v>0</v>
      </c>
      <c r="F31" s="178">
        <v>0</v>
      </c>
      <c r="G31" s="169"/>
    </row>
    <row r="32" spans="1:7" s="151" customFormat="1" ht="12.75" x14ac:dyDescent="0.2">
      <c r="A32" s="169"/>
      <c r="B32" s="169" t="s">
        <v>169</v>
      </c>
      <c r="C32" s="169"/>
      <c r="D32" s="184">
        <v>0</v>
      </c>
      <c r="E32" s="183">
        <v>0</v>
      </c>
      <c r="F32" s="178">
        <v>0</v>
      </c>
      <c r="G32" s="169"/>
    </row>
    <row r="33" spans="1:7" s="151" customFormat="1" ht="38.25" x14ac:dyDescent="0.2">
      <c r="A33" s="169"/>
      <c r="B33" s="182" t="s">
        <v>172</v>
      </c>
      <c r="C33" s="169"/>
      <c r="D33" s="184">
        <v>0</v>
      </c>
      <c r="E33" s="183">
        <v>0</v>
      </c>
      <c r="F33" s="178">
        <v>0</v>
      </c>
      <c r="G33" s="169"/>
    </row>
    <row r="34" spans="1:7" s="151" customFormat="1" ht="25.5" x14ac:dyDescent="0.2">
      <c r="A34" s="169"/>
      <c r="B34" s="182" t="s">
        <v>173</v>
      </c>
      <c r="C34" s="169"/>
      <c r="D34" s="184">
        <v>0</v>
      </c>
      <c r="E34" s="183">
        <v>0</v>
      </c>
      <c r="F34" s="178">
        <v>0</v>
      </c>
      <c r="G34" s="169"/>
    </row>
    <row r="35" spans="1:7" s="151" customFormat="1" ht="25.5" x14ac:dyDescent="0.2">
      <c r="A35" s="169"/>
      <c r="B35" s="182" t="s">
        <v>174</v>
      </c>
      <c r="C35" s="169" t="s">
        <v>175</v>
      </c>
      <c r="D35" s="184">
        <v>0</v>
      </c>
      <c r="E35" s="183">
        <v>0</v>
      </c>
      <c r="F35" s="178">
        <v>0</v>
      </c>
      <c r="G35" s="169"/>
    </row>
    <row r="36" spans="1:7" s="151" customFormat="1" ht="12.75" x14ac:dyDescent="0.2">
      <c r="A36" s="169"/>
      <c r="B36" s="169" t="s">
        <v>176</v>
      </c>
      <c r="C36" s="169"/>
      <c r="D36" s="184">
        <v>0</v>
      </c>
      <c r="E36" s="183">
        <v>0</v>
      </c>
      <c r="F36" s="178">
        <v>0</v>
      </c>
      <c r="G36" s="169"/>
    </row>
    <row r="37" spans="1:7" s="151" customFormat="1" ht="12.75" x14ac:dyDescent="0.2">
      <c r="A37" s="169"/>
      <c r="B37" s="169" t="s">
        <v>178</v>
      </c>
      <c r="C37" s="169" t="s">
        <v>179</v>
      </c>
      <c r="D37" s="184">
        <v>0</v>
      </c>
      <c r="E37" s="183">
        <v>0</v>
      </c>
      <c r="F37" s="178">
        <v>0</v>
      </c>
      <c r="G37" s="169"/>
    </row>
    <row r="38" spans="1:7" s="151" customFormat="1" ht="63.75" x14ac:dyDescent="0.2">
      <c r="A38" s="169"/>
      <c r="B38" s="169" t="s">
        <v>181</v>
      </c>
      <c r="C38" s="182" t="s">
        <v>182</v>
      </c>
      <c r="D38" s="184">
        <v>0</v>
      </c>
      <c r="E38" s="183">
        <v>0</v>
      </c>
      <c r="F38" s="178">
        <v>0</v>
      </c>
      <c r="G38" s="169"/>
    </row>
    <row r="39" spans="1:7" s="151" customFormat="1" ht="12.75" x14ac:dyDescent="0.2">
      <c r="A39" s="169"/>
      <c r="B39" s="203" t="s">
        <v>184</v>
      </c>
      <c r="C39" s="169"/>
      <c r="D39" s="184">
        <v>0</v>
      </c>
      <c r="E39" s="183">
        <v>0</v>
      </c>
      <c r="F39" s="178">
        <v>0</v>
      </c>
      <c r="G39" s="169"/>
    </row>
    <row r="40" spans="1:7" s="151" customFormat="1" ht="25.5" x14ac:dyDescent="0.2">
      <c r="A40" s="169"/>
      <c r="B40" s="204" t="s">
        <v>291</v>
      </c>
      <c r="C40" s="169"/>
      <c r="D40" s="184">
        <v>0</v>
      </c>
      <c r="E40" s="183">
        <v>0</v>
      </c>
      <c r="F40" s="178">
        <v>0</v>
      </c>
      <c r="G40" s="169"/>
    </row>
    <row r="41" spans="1:7" s="151" customFormat="1" ht="25.5" x14ac:dyDescent="0.2">
      <c r="A41" s="169"/>
      <c r="B41" s="204" t="s">
        <v>293</v>
      </c>
      <c r="C41" s="169"/>
      <c r="D41" s="184">
        <v>0</v>
      </c>
      <c r="E41" s="183">
        <v>0</v>
      </c>
      <c r="F41" s="178">
        <v>0</v>
      </c>
      <c r="G41" s="169"/>
    </row>
    <row r="42" spans="1:7" s="151" customFormat="1" ht="25.5" x14ac:dyDescent="0.2">
      <c r="A42" s="169"/>
      <c r="B42" s="204" t="s">
        <v>294</v>
      </c>
      <c r="C42" s="169"/>
      <c r="D42" s="184">
        <v>0</v>
      </c>
      <c r="E42" s="183">
        <v>0</v>
      </c>
      <c r="F42" s="178">
        <v>0</v>
      </c>
      <c r="G42" s="169"/>
    </row>
    <row r="43" spans="1:7" s="151" customFormat="1" ht="25.5" x14ac:dyDescent="0.2">
      <c r="A43" s="169"/>
      <c r="B43" s="181" t="s">
        <v>186</v>
      </c>
      <c r="C43" s="169"/>
      <c r="D43" s="184">
        <v>0</v>
      </c>
      <c r="E43" s="183">
        <v>0</v>
      </c>
      <c r="F43" s="178">
        <v>0</v>
      </c>
      <c r="G43" s="169"/>
    </row>
    <row r="44" spans="1:7" s="151" customFormat="1" ht="25.5" x14ac:dyDescent="0.2">
      <c r="A44" s="169"/>
      <c r="B44" s="182" t="s">
        <v>188</v>
      </c>
      <c r="C44" s="169"/>
      <c r="D44" s="184">
        <v>0</v>
      </c>
      <c r="E44" s="183">
        <v>0</v>
      </c>
      <c r="F44" s="178">
        <v>0</v>
      </c>
      <c r="G44" s="169"/>
    </row>
    <row r="45" spans="1:7" s="151" customFormat="1" ht="12.75" x14ac:dyDescent="0.2">
      <c r="A45" s="169"/>
      <c r="B45" s="169"/>
      <c r="C45" s="169"/>
      <c r="D45" s="184"/>
      <c r="E45" s="183"/>
      <c r="F45" s="178"/>
      <c r="G45" s="169"/>
    </row>
    <row r="46" spans="1:7" s="151" customFormat="1" ht="12.75" x14ac:dyDescent="0.2">
      <c r="A46" s="169"/>
      <c r="B46" s="169"/>
      <c r="C46" s="169"/>
      <c r="D46" s="169"/>
      <c r="E46" s="169"/>
      <c r="F46" s="169"/>
      <c r="G46" s="169"/>
    </row>
    <row r="47" spans="1:7" s="150" customFormat="1" ht="15.75" x14ac:dyDescent="0.25">
      <c r="A47" s="147" t="s">
        <v>202</v>
      </c>
      <c r="B47" s="148"/>
      <c r="C47" s="148"/>
      <c r="D47" s="148"/>
      <c r="E47" s="148"/>
      <c r="F47" s="148"/>
      <c r="G47" s="148"/>
    </row>
    <row r="48" spans="1:7" s="151" customFormat="1" ht="12.75" x14ac:dyDescent="0.2">
      <c r="A48" s="333" t="s">
        <v>203</v>
      </c>
      <c r="B48" s="333"/>
      <c r="C48" s="333"/>
      <c r="D48" s="333"/>
      <c r="E48" s="333"/>
      <c r="F48" s="333"/>
      <c r="G48" s="333"/>
    </row>
    <row r="49" spans="1:7" s="151" customFormat="1" ht="12.75" x14ac:dyDescent="0.2">
      <c r="A49" s="169" t="s">
        <v>154</v>
      </c>
      <c r="B49" s="169"/>
      <c r="C49" s="169"/>
      <c r="D49" s="169"/>
      <c r="E49" s="169"/>
      <c r="F49" s="169"/>
      <c r="G49" s="169"/>
    </row>
    <row r="50" spans="1:7" s="151" customFormat="1" ht="12.75" x14ac:dyDescent="0.2">
      <c r="A50" s="169" t="s">
        <v>156</v>
      </c>
      <c r="B50" s="169"/>
      <c r="C50" s="169"/>
      <c r="D50" s="169"/>
      <c r="E50" s="169"/>
      <c r="F50" s="169"/>
      <c r="G50" s="169"/>
    </row>
    <row r="51" spans="1:7" s="151" customFormat="1" ht="12.75" x14ac:dyDescent="0.2">
      <c r="A51" s="169"/>
      <c r="B51" s="169"/>
      <c r="C51" s="169"/>
      <c r="D51" s="169"/>
      <c r="E51" s="338" t="s">
        <v>158</v>
      </c>
      <c r="F51" s="338"/>
      <c r="G51" s="169"/>
    </row>
    <row r="52" spans="1:7" s="151" customFormat="1" ht="12.75" x14ac:dyDescent="0.2">
      <c r="A52" s="169"/>
      <c r="B52" s="173" t="s">
        <v>159</v>
      </c>
      <c r="C52" s="173" t="s">
        <v>160</v>
      </c>
      <c r="D52" s="173" t="s">
        <v>161</v>
      </c>
      <c r="E52" s="173" t="s">
        <v>162</v>
      </c>
      <c r="F52" s="174" t="s">
        <v>163</v>
      </c>
      <c r="G52" s="173" t="s">
        <v>164</v>
      </c>
    </row>
    <row r="53" spans="1:7" s="151" customFormat="1" ht="12.75" x14ac:dyDescent="0.2">
      <c r="A53" s="169"/>
      <c r="B53" s="175" t="s">
        <v>206</v>
      </c>
      <c r="C53" s="175" t="s">
        <v>207</v>
      </c>
      <c r="D53" s="184">
        <v>0</v>
      </c>
      <c r="E53" s="183">
        <v>0</v>
      </c>
      <c r="F53" s="178">
        <v>0</v>
      </c>
      <c r="G53" s="169"/>
    </row>
    <row r="54" spans="1:7" s="151" customFormat="1" ht="12.75" x14ac:dyDescent="0.2">
      <c r="A54" s="169"/>
      <c r="B54" s="169" t="s">
        <v>310</v>
      </c>
      <c r="C54" s="169"/>
      <c r="D54" s="184">
        <v>0</v>
      </c>
      <c r="E54" s="183">
        <v>0</v>
      </c>
      <c r="F54" s="178">
        <v>0</v>
      </c>
      <c r="G54" s="169"/>
    </row>
    <row r="55" spans="1:7" s="151" customFormat="1" ht="12.75" x14ac:dyDescent="0.2">
      <c r="A55" s="169"/>
      <c r="B55" s="169" t="s">
        <v>176</v>
      </c>
      <c r="C55" s="169"/>
      <c r="D55" s="184">
        <v>0</v>
      </c>
      <c r="E55" s="183">
        <v>0</v>
      </c>
      <c r="F55" s="178">
        <v>0</v>
      </c>
      <c r="G55" s="169"/>
    </row>
    <row r="56" spans="1:7" s="151" customFormat="1" ht="25.5" x14ac:dyDescent="0.2">
      <c r="A56" s="169"/>
      <c r="B56" s="191" t="s">
        <v>215</v>
      </c>
      <c r="C56" s="182" t="s">
        <v>216</v>
      </c>
      <c r="D56" s="184">
        <v>0</v>
      </c>
      <c r="E56" s="183">
        <v>0</v>
      </c>
      <c r="F56" s="178">
        <v>0</v>
      </c>
      <c r="G56" s="169"/>
    </row>
    <row r="57" spans="1:7" s="151" customFormat="1" ht="25.5" x14ac:dyDescent="0.2">
      <c r="A57" s="169"/>
      <c r="B57" s="182" t="s">
        <v>220</v>
      </c>
      <c r="C57" s="182" t="s">
        <v>221</v>
      </c>
      <c r="D57" s="184">
        <v>0</v>
      </c>
      <c r="E57" s="183">
        <v>0</v>
      </c>
      <c r="F57" s="178">
        <v>0</v>
      </c>
      <c r="G57" s="169"/>
    </row>
    <row r="58" spans="1:7" s="151" customFormat="1" ht="40.5" customHeight="1" x14ac:dyDescent="0.2">
      <c r="A58" s="169"/>
      <c r="B58" s="182" t="s">
        <v>223</v>
      </c>
      <c r="C58" s="182" t="s">
        <v>224</v>
      </c>
      <c r="D58" s="184">
        <v>0</v>
      </c>
      <c r="E58" s="183">
        <v>0</v>
      </c>
      <c r="F58" s="178">
        <v>0</v>
      </c>
      <c r="G58" s="169"/>
    </row>
    <row r="59" spans="1:7" s="151" customFormat="1" ht="12.75" x14ac:dyDescent="0.2">
      <c r="A59" s="169"/>
      <c r="B59" s="169" t="s">
        <v>314</v>
      </c>
      <c r="C59" s="169"/>
      <c r="D59" s="184">
        <v>0</v>
      </c>
      <c r="E59" s="183">
        <v>0</v>
      </c>
      <c r="F59" s="178">
        <v>0</v>
      </c>
      <c r="G59" s="169"/>
    </row>
    <row r="60" spans="1:7" s="151" customFormat="1" ht="12.75" x14ac:dyDescent="0.2">
      <c r="A60" s="169"/>
      <c r="B60" s="169" t="s">
        <v>167</v>
      </c>
      <c r="C60" s="169"/>
      <c r="D60" s="184">
        <v>0</v>
      </c>
      <c r="E60" s="183">
        <v>0</v>
      </c>
      <c r="F60" s="178">
        <v>0</v>
      </c>
      <c r="G60" s="169"/>
    </row>
    <row r="61" spans="1:7" s="151" customFormat="1" ht="12.75" x14ac:dyDescent="0.2">
      <c r="A61" s="169"/>
      <c r="B61" s="203" t="s">
        <v>225</v>
      </c>
      <c r="C61" s="203" t="s">
        <v>226</v>
      </c>
      <c r="D61" s="184">
        <v>0</v>
      </c>
      <c r="E61" s="183">
        <v>0</v>
      </c>
      <c r="F61" s="178">
        <v>0</v>
      </c>
      <c r="G61" s="169"/>
    </row>
    <row r="62" spans="1:7" s="151" customFormat="1" ht="12.75" x14ac:dyDescent="0.2">
      <c r="A62" s="169"/>
      <c r="B62" s="203" t="s">
        <v>227</v>
      </c>
      <c r="C62" s="203" t="s">
        <v>226</v>
      </c>
      <c r="D62" s="184">
        <v>0</v>
      </c>
      <c r="E62" s="183">
        <v>0</v>
      </c>
      <c r="F62" s="178">
        <v>0</v>
      </c>
      <c r="G62" s="169"/>
    </row>
    <row r="63" spans="1:7" s="151" customFormat="1" ht="25.5" x14ac:dyDescent="0.2">
      <c r="A63" s="169"/>
      <c r="B63" s="182" t="s">
        <v>186</v>
      </c>
      <c r="C63" s="169"/>
      <c r="D63" s="184">
        <v>0</v>
      </c>
      <c r="E63" s="183">
        <v>0</v>
      </c>
      <c r="F63" s="178">
        <v>0</v>
      </c>
      <c r="G63" s="169"/>
    </row>
    <row r="64" spans="1:7" s="151" customFormat="1" ht="25.5" x14ac:dyDescent="0.2">
      <c r="A64" s="169"/>
      <c r="B64" s="182" t="s">
        <v>188</v>
      </c>
      <c r="C64" s="169"/>
      <c r="D64" s="184">
        <v>0</v>
      </c>
      <c r="E64" s="183">
        <v>0</v>
      </c>
      <c r="F64" s="178">
        <v>0</v>
      </c>
      <c r="G64" s="169"/>
    </row>
    <row r="65" spans="1:7" s="169" customFormat="1" ht="51" x14ac:dyDescent="0.25">
      <c r="B65" s="182" t="s">
        <v>228</v>
      </c>
      <c r="C65" s="182" t="s">
        <v>229</v>
      </c>
      <c r="D65" s="184">
        <v>0</v>
      </c>
      <c r="E65" s="183">
        <v>0</v>
      </c>
      <c r="F65" s="178">
        <v>0</v>
      </c>
    </row>
    <row r="66" spans="1:7" s="169" customFormat="1" ht="12.75" x14ac:dyDescent="0.25">
      <c r="B66" s="182"/>
      <c r="C66" s="182"/>
      <c r="D66" s="184"/>
      <c r="E66" s="183"/>
      <c r="F66" s="178"/>
    </row>
    <row r="67" spans="1:7" s="151" customFormat="1" ht="12.75" x14ac:dyDescent="0.2">
      <c r="A67" s="169"/>
      <c r="B67" s="169"/>
      <c r="C67" s="169"/>
      <c r="D67" s="184"/>
      <c r="E67" s="183"/>
      <c r="F67" s="178"/>
      <c r="G67" s="169"/>
    </row>
    <row r="68" spans="1:7" s="150" customFormat="1" ht="15.75" x14ac:dyDescent="0.25">
      <c r="A68" s="147" t="s">
        <v>232</v>
      </c>
      <c r="B68" s="148"/>
      <c r="C68" s="148"/>
      <c r="D68" s="148"/>
      <c r="E68" s="148"/>
      <c r="F68" s="148"/>
      <c r="G68" s="148"/>
    </row>
    <row r="69" spans="1:7" s="151" customFormat="1" ht="12.75" x14ac:dyDescent="0.2">
      <c r="A69" s="333" t="s">
        <v>233</v>
      </c>
      <c r="B69" s="333"/>
      <c r="C69" s="333"/>
      <c r="D69" s="333"/>
      <c r="E69" s="333"/>
      <c r="F69" s="333"/>
      <c r="G69" s="333"/>
    </row>
    <row r="70" spans="1:7" s="151" customFormat="1" ht="12.75" x14ac:dyDescent="0.2">
      <c r="A70" s="169"/>
      <c r="B70" s="173" t="s">
        <v>159</v>
      </c>
      <c r="C70" s="173" t="s">
        <v>234</v>
      </c>
      <c r="D70" s="173"/>
      <c r="E70" s="173"/>
      <c r="F70" s="173"/>
      <c r="G70" s="173" t="s">
        <v>164</v>
      </c>
    </row>
    <row r="71" spans="1:7" s="151" customFormat="1" ht="12.75" x14ac:dyDescent="0.2">
      <c r="A71" s="169"/>
      <c r="B71" s="169" t="s">
        <v>235</v>
      </c>
      <c r="C71" s="184">
        <v>0</v>
      </c>
      <c r="D71" s="169"/>
      <c r="E71" s="169"/>
      <c r="F71" s="169"/>
      <c r="G71" s="169"/>
    </row>
    <row r="72" spans="1:7" s="151" customFormat="1" ht="12.75" x14ac:dyDescent="0.2">
      <c r="A72" s="169"/>
      <c r="B72" s="169" t="s">
        <v>237</v>
      </c>
      <c r="C72" s="184">
        <v>0</v>
      </c>
      <c r="D72" s="169"/>
      <c r="E72" s="169"/>
      <c r="F72" s="169"/>
      <c r="G72" s="169"/>
    </row>
    <row r="73" spans="1:7" s="151" customFormat="1" ht="51" x14ac:dyDescent="0.2">
      <c r="A73" s="169"/>
      <c r="B73" s="169" t="s">
        <v>238</v>
      </c>
      <c r="C73" s="184">
        <v>0</v>
      </c>
      <c r="D73" s="169"/>
      <c r="E73" s="181" t="s">
        <v>239</v>
      </c>
      <c r="F73" s="184">
        <v>0</v>
      </c>
      <c r="G73" s="169"/>
    </row>
    <row r="74" spans="1:7" s="151" customFormat="1" ht="12.75" x14ac:dyDescent="0.2">
      <c r="A74" s="169"/>
      <c r="B74" s="169"/>
      <c r="C74" s="169"/>
      <c r="D74" s="169"/>
      <c r="E74" s="169"/>
      <c r="F74" s="169"/>
      <c r="G74" s="169"/>
    </row>
    <row r="75" spans="1:7" s="150" customFormat="1" ht="15.75" x14ac:dyDescent="0.25">
      <c r="A75" s="147" t="s">
        <v>240</v>
      </c>
      <c r="B75" s="148"/>
      <c r="C75" s="148"/>
      <c r="D75" s="148"/>
      <c r="E75" s="148"/>
      <c r="F75" s="148"/>
      <c r="G75" s="148"/>
    </row>
    <row r="76" spans="1:7" s="151" customFormat="1" ht="12.75" x14ac:dyDescent="0.2">
      <c r="A76" s="333" t="s">
        <v>241</v>
      </c>
      <c r="B76" s="333"/>
      <c r="C76" s="333"/>
      <c r="D76" s="333"/>
      <c r="E76" s="333"/>
      <c r="F76" s="333"/>
      <c r="G76" s="333"/>
    </row>
    <row r="77" spans="1:7" s="151" customFormat="1" ht="12.75" x14ac:dyDescent="0.2">
      <c r="A77" s="169"/>
      <c r="B77" s="173" t="s">
        <v>159</v>
      </c>
      <c r="C77" s="173" t="s">
        <v>163</v>
      </c>
      <c r="D77" s="173"/>
      <c r="E77" s="173"/>
      <c r="F77" s="173"/>
      <c r="G77" s="173" t="s">
        <v>164</v>
      </c>
    </row>
    <row r="78" spans="1:7" s="151" customFormat="1" ht="25.5" x14ac:dyDescent="0.2">
      <c r="A78" s="169"/>
      <c r="B78" s="182" t="s">
        <v>242</v>
      </c>
      <c r="C78" s="178">
        <v>0</v>
      </c>
      <c r="D78" s="169"/>
      <c r="E78" s="169"/>
      <c r="F78" s="169"/>
      <c r="G78" s="169"/>
    </row>
    <row r="79" spans="1:7" s="151" customFormat="1" ht="25.5" x14ac:dyDescent="0.2">
      <c r="A79" s="169"/>
      <c r="B79" s="182" t="s">
        <v>243</v>
      </c>
      <c r="C79" s="187">
        <v>0</v>
      </c>
      <c r="D79" s="169"/>
      <c r="E79" s="169"/>
      <c r="F79" s="169"/>
      <c r="G79" s="169"/>
    </row>
    <row r="80" spans="1:7" s="151" customFormat="1" ht="12.75" x14ac:dyDescent="0.2">
      <c r="A80" s="169"/>
      <c r="B80" s="169"/>
      <c r="C80" s="169"/>
      <c r="D80" s="169"/>
      <c r="E80" s="169"/>
      <c r="F80" s="169"/>
      <c r="G80" s="169"/>
    </row>
    <row r="81" spans="1:7" s="151" customFormat="1" ht="12.75" x14ac:dyDescent="0.2">
      <c r="A81" s="169"/>
      <c r="B81" s="169"/>
      <c r="C81" s="169"/>
      <c r="D81" s="169"/>
      <c r="E81" s="169"/>
      <c r="F81" s="169"/>
      <c r="G81" s="169"/>
    </row>
    <row r="82" spans="1:7" s="150" customFormat="1" ht="15.75" x14ac:dyDescent="0.25">
      <c r="A82" s="147" t="s">
        <v>244</v>
      </c>
      <c r="B82" s="148"/>
      <c r="C82" s="148"/>
      <c r="D82" s="148"/>
      <c r="E82" s="148"/>
      <c r="F82" s="148"/>
      <c r="G82" s="148"/>
    </row>
    <row r="83" spans="1:7" s="151" customFormat="1" ht="12.75" x14ac:dyDescent="0.2">
      <c r="A83" s="333" t="s">
        <v>245</v>
      </c>
      <c r="B83" s="333"/>
      <c r="C83" s="333"/>
      <c r="D83" s="333"/>
      <c r="E83" s="333"/>
      <c r="F83" s="333"/>
      <c r="G83" s="333"/>
    </row>
    <row r="84" spans="1:7" s="151" customFormat="1" ht="12.75" x14ac:dyDescent="0.2">
      <c r="A84" s="169"/>
      <c r="B84" s="173" t="s">
        <v>159</v>
      </c>
      <c r="C84" s="173" t="s">
        <v>246</v>
      </c>
      <c r="D84" s="173"/>
      <c r="E84" s="173"/>
      <c r="F84" s="173"/>
      <c r="G84" s="173" t="s">
        <v>164</v>
      </c>
    </row>
    <row r="85" spans="1:7" s="151" customFormat="1" ht="12.75" x14ac:dyDescent="0.2">
      <c r="A85" s="169"/>
      <c r="B85" s="169" t="s">
        <v>247</v>
      </c>
      <c r="C85" s="184">
        <v>0</v>
      </c>
      <c r="D85" s="169"/>
      <c r="E85" s="169"/>
      <c r="F85" s="169"/>
      <c r="G85" s="169"/>
    </row>
    <row r="86" spans="1:7" s="151" customFormat="1" ht="12.75" x14ac:dyDescent="0.2">
      <c r="A86" s="169"/>
      <c r="B86" s="169" t="s">
        <v>248</v>
      </c>
      <c r="C86" s="184">
        <v>0</v>
      </c>
      <c r="D86" s="169"/>
      <c r="E86" s="169"/>
      <c r="F86" s="169"/>
      <c r="G86" s="169"/>
    </row>
    <row r="87" spans="1:7" s="151" customFormat="1" ht="12.75" x14ac:dyDescent="0.2">
      <c r="A87" s="169"/>
      <c r="B87" s="169"/>
      <c r="C87" s="169"/>
      <c r="D87" s="169"/>
      <c r="E87" s="169"/>
      <c r="F87" s="169"/>
      <c r="G87" s="169"/>
    </row>
    <row r="88" spans="1:7" s="151" customFormat="1" ht="12.75" x14ac:dyDescent="0.2">
      <c r="A88" s="169"/>
      <c r="B88" s="169"/>
      <c r="C88" s="169"/>
      <c r="D88" s="169"/>
      <c r="E88" s="169"/>
      <c r="F88" s="169"/>
      <c r="G88" s="169"/>
    </row>
    <row r="89" spans="1:7" s="150" customFormat="1" ht="15.75" x14ac:dyDescent="0.25">
      <c r="A89" s="205" t="s">
        <v>249</v>
      </c>
      <c r="B89" s="206"/>
      <c r="C89" s="206"/>
      <c r="D89" s="206"/>
      <c r="E89" s="206"/>
      <c r="F89" s="206"/>
      <c r="G89" s="206"/>
    </row>
    <row r="90" spans="1:7" s="151" customFormat="1" ht="12.75" x14ac:dyDescent="0.2">
      <c r="A90" s="324" t="s">
        <v>384</v>
      </c>
      <c r="B90" s="324"/>
      <c r="C90" s="324"/>
      <c r="D90" s="324"/>
      <c r="E90" s="324"/>
      <c r="F90" s="324"/>
      <c r="G90" s="324"/>
    </row>
    <row r="91" spans="1:7" s="151" customFormat="1" ht="12.75" x14ac:dyDescent="0.2">
      <c r="A91" s="324"/>
      <c r="B91" s="324"/>
      <c r="C91" s="324"/>
      <c r="D91" s="324"/>
      <c r="E91" s="324"/>
      <c r="F91" s="324"/>
      <c r="G91" s="324"/>
    </row>
    <row r="92" spans="1:7" s="151" customFormat="1" ht="12.75" x14ac:dyDescent="0.2">
      <c r="A92" s="324"/>
      <c r="B92" s="324"/>
      <c r="C92" s="324"/>
      <c r="D92" s="324"/>
      <c r="E92" s="324"/>
      <c r="F92" s="324"/>
      <c r="G92" s="324"/>
    </row>
    <row r="93" spans="1:7" s="151" customFormat="1" ht="12.75" x14ac:dyDescent="0.2">
      <c r="A93" s="324"/>
      <c r="B93" s="324"/>
      <c r="C93" s="324"/>
      <c r="D93" s="324"/>
      <c r="E93" s="324"/>
      <c r="F93" s="324"/>
      <c r="G93" s="324"/>
    </row>
    <row r="94" spans="1:7" s="151" customFormat="1" ht="12.75" x14ac:dyDescent="0.2">
      <c r="A94" s="324"/>
      <c r="B94" s="324"/>
      <c r="C94" s="324"/>
      <c r="D94" s="324"/>
      <c r="E94" s="324"/>
      <c r="F94" s="324"/>
      <c r="G94" s="324"/>
    </row>
    <row r="95" spans="1:7" s="151" customFormat="1" ht="12.75" x14ac:dyDescent="0.2">
      <c r="A95" s="324"/>
      <c r="B95" s="324"/>
      <c r="C95" s="324"/>
      <c r="D95" s="324"/>
      <c r="E95" s="324"/>
      <c r="F95" s="324"/>
      <c r="G95" s="324"/>
    </row>
  </sheetData>
  <mergeCells count="19">
    <mergeCell ref="A95:G95"/>
    <mergeCell ref="A83:G83"/>
    <mergeCell ref="A90:G90"/>
    <mergeCell ref="A91:G91"/>
    <mergeCell ref="A92:G92"/>
    <mergeCell ref="A93:G93"/>
    <mergeCell ref="A94:G94"/>
    <mergeCell ref="A76:G76"/>
    <mergeCell ref="A1:G1"/>
    <mergeCell ref="A2:G2"/>
    <mergeCell ref="A3:G3"/>
    <mergeCell ref="A5:G5"/>
    <mergeCell ref="A6:G6"/>
    <mergeCell ref="E9:F9"/>
    <mergeCell ref="A24:G24"/>
    <mergeCell ref="E27:F27"/>
    <mergeCell ref="A48:G48"/>
    <mergeCell ref="E51:F51"/>
    <mergeCell ref="A69:G69"/>
  </mergeCells>
  <pageMargins left="0.7" right="0.7" top="0.75" bottom="0.75" header="0.3" footer="0.3"/>
  <pageSetup scale="6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tabSelected="1" topLeftCell="A22" workbookViewId="0">
      <selection activeCell="B17" sqref="B17"/>
    </sheetView>
  </sheetViews>
  <sheetFormatPr defaultRowHeight="15" x14ac:dyDescent="0.25"/>
  <cols>
    <col min="1" max="1" width="3" customWidth="1"/>
    <col min="2" max="2" width="57" bestFit="1" customWidth="1"/>
    <col min="3" max="4" width="15.7109375" customWidth="1"/>
    <col min="5" max="5" width="2.7109375" customWidth="1"/>
    <col min="6" max="17" width="11.140625" bestFit="1" customWidth="1"/>
  </cols>
  <sheetData>
    <row r="1" spans="2:17" ht="15.75" thickBot="1" x14ac:dyDescent="0.3"/>
    <row r="2" spans="2:17" ht="15.75" customHeight="1" thickTop="1" x14ac:dyDescent="0.25">
      <c r="B2" s="123" t="s">
        <v>10</v>
      </c>
      <c r="C2" s="17">
        <v>3.5</v>
      </c>
    </row>
    <row r="3" spans="2:17" ht="15" customHeight="1" x14ac:dyDescent="0.25">
      <c r="B3" s="124" t="s">
        <v>11</v>
      </c>
      <c r="C3" s="18">
        <v>15</v>
      </c>
    </row>
    <row r="4" spans="2:17" ht="15" customHeight="1" x14ac:dyDescent="0.25">
      <c r="B4" s="124" t="s">
        <v>120</v>
      </c>
      <c r="C4" s="18">
        <v>5</v>
      </c>
    </row>
    <row r="5" spans="2:17" x14ac:dyDescent="0.25">
      <c r="B5" s="124" t="s">
        <v>12</v>
      </c>
      <c r="C5" s="19">
        <v>0.02</v>
      </c>
    </row>
    <row r="6" spans="2:17" x14ac:dyDescent="0.25">
      <c r="B6" s="124" t="s">
        <v>13</v>
      </c>
      <c r="C6" s="19">
        <v>0.02</v>
      </c>
    </row>
    <row r="7" spans="2:17" x14ac:dyDescent="0.25">
      <c r="B7" s="124" t="s">
        <v>14</v>
      </c>
      <c r="C7" s="18">
        <v>1.0209999999999999</v>
      </c>
    </row>
    <row r="8" spans="2:17" x14ac:dyDescent="0.25">
      <c r="B8" s="124" t="s">
        <v>15</v>
      </c>
      <c r="C8" s="18">
        <v>0.05</v>
      </c>
    </row>
    <row r="9" spans="2:17" x14ac:dyDescent="0.25">
      <c r="B9" s="124" t="s">
        <v>16</v>
      </c>
      <c r="C9" s="18">
        <v>20</v>
      </c>
    </row>
    <row r="10" spans="2:17" ht="15.75" thickBot="1" x14ac:dyDescent="0.3">
      <c r="B10" s="125" t="s">
        <v>80</v>
      </c>
      <c r="C10" s="128">
        <v>0</v>
      </c>
    </row>
    <row r="11" spans="2:17" ht="16.5" thickTop="1" thickBot="1" x14ac:dyDescent="0.3"/>
    <row r="12" spans="2:17" ht="16.5" thickTop="1" thickBot="1" x14ac:dyDescent="0.3">
      <c r="B12" s="127" t="s">
        <v>128</v>
      </c>
      <c r="C12" s="126">
        <f>Pricing!J7</f>
        <v>86</v>
      </c>
    </row>
    <row r="13" spans="2:17" ht="15.75" thickTop="1" x14ac:dyDescent="0.25"/>
    <row r="14" spans="2:17" ht="15" customHeight="1" x14ac:dyDescent="0.25">
      <c r="B14" s="288" t="s">
        <v>129</v>
      </c>
      <c r="C14" s="291" t="s">
        <v>17</v>
      </c>
      <c r="D14" s="293" t="s">
        <v>18</v>
      </c>
      <c r="F14" s="290" t="s">
        <v>81</v>
      </c>
      <c r="G14" s="290"/>
      <c r="H14" s="290"/>
      <c r="I14" s="290"/>
      <c r="J14" s="290"/>
      <c r="K14" s="290"/>
      <c r="L14" s="290"/>
      <c r="M14" s="290"/>
      <c r="N14" s="290"/>
      <c r="O14" s="290"/>
      <c r="P14" s="290"/>
      <c r="Q14" s="290"/>
    </row>
    <row r="15" spans="2:17" ht="15" customHeight="1" x14ac:dyDescent="0.25">
      <c r="B15" s="289"/>
      <c r="C15" s="292"/>
      <c r="D15" s="294"/>
      <c r="F15" s="23">
        <v>2014</v>
      </c>
      <c r="G15" s="23">
        <f>SCADA!D51</f>
        <v>2015</v>
      </c>
      <c r="H15" s="23">
        <f>SCADA!E51</f>
        <v>2016</v>
      </c>
      <c r="I15" s="23">
        <f>SCADA!F51</f>
        <v>2017</v>
      </c>
      <c r="J15" s="23">
        <f>SCADA!G51</f>
        <v>2018</v>
      </c>
      <c r="K15" s="23">
        <f>SCADA!H51</f>
        <v>2019</v>
      </c>
      <c r="L15" s="23">
        <f>SCADA!I51</f>
        <v>2020</v>
      </c>
      <c r="M15" s="23">
        <f>SCADA!J51</f>
        <v>2021</v>
      </c>
      <c r="N15" s="23">
        <f>SCADA!K51</f>
        <v>2022</v>
      </c>
      <c r="O15" s="23">
        <f>SCADA!L51</f>
        <v>2023</v>
      </c>
      <c r="P15" s="23">
        <f>SCADA!M51</f>
        <v>2024</v>
      </c>
      <c r="Q15" s="23">
        <f>SCADA!N51</f>
        <v>2025</v>
      </c>
    </row>
    <row r="16" spans="2:17" x14ac:dyDescent="0.25">
      <c r="B16" s="132" t="s">
        <v>123</v>
      </c>
      <c r="C16" s="131"/>
      <c r="D16" s="131"/>
      <c r="F16" s="131"/>
      <c r="G16" s="131"/>
      <c r="H16" s="131"/>
      <c r="I16" s="131"/>
      <c r="J16" s="131"/>
      <c r="K16" s="131"/>
      <c r="L16" s="131"/>
      <c r="M16" s="131"/>
      <c r="N16" s="131"/>
      <c r="O16" s="131"/>
      <c r="P16" s="131"/>
      <c r="Q16" s="131"/>
    </row>
    <row r="17" spans="1:17" x14ac:dyDescent="0.25">
      <c r="B17" s="16" t="s">
        <v>122</v>
      </c>
      <c r="C17" s="21">
        <f>SCADA!O53</f>
        <v>89961.943257899999</v>
      </c>
      <c r="D17" s="22">
        <f>SCADA!P53</f>
        <v>84082.32757242478</v>
      </c>
      <c r="F17" s="269">
        <f>SCADA!C53</f>
        <v>14644.967507099998</v>
      </c>
      <c r="G17" s="269">
        <f>SCADA!D53</f>
        <v>16737.1057224</v>
      </c>
      <c r="H17" s="269">
        <f>SCADA!E53</f>
        <v>16737.1057224</v>
      </c>
      <c r="I17" s="269">
        <f>SCADA!F53</f>
        <v>12552.829291799999</v>
      </c>
      <c r="J17" s="269">
        <f>SCADA!G53</f>
        <v>14644.967507099998</v>
      </c>
      <c r="K17" s="269">
        <f>SCADA!H53</f>
        <v>14644.967507099998</v>
      </c>
      <c r="L17" s="269">
        <f>SCADA!I53</f>
        <v>0</v>
      </c>
      <c r="M17" s="269">
        <f>SCADA!J53</f>
        <v>0</v>
      </c>
      <c r="N17" s="269">
        <f>SCADA!K53</f>
        <v>0</v>
      </c>
      <c r="O17" s="269">
        <f>SCADA!L53</f>
        <v>0</v>
      </c>
      <c r="P17" s="269">
        <f>SCADA!M53</f>
        <v>0</v>
      </c>
      <c r="Q17" s="269">
        <f>SCADA!N53</f>
        <v>0</v>
      </c>
    </row>
    <row r="18" spans="1:17" x14ac:dyDescent="0.25">
      <c r="B18" s="16" t="s">
        <v>84</v>
      </c>
      <c r="C18" s="21">
        <f>SCADA!O54</f>
        <v>0</v>
      </c>
      <c r="D18" s="22">
        <f>SCADA!P54</f>
        <v>0</v>
      </c>
      <c r="F18" s="269">
        <f>SCADA!C54</f>
        <v>0</v>
      </c>
      <c r="G18" s="269">
        <f>SCADA!D54</f>
        <v>0</v>
      </c>
      <c r="H18" s="269">
        <f>SCADA!E54</f>
        <v>0</v>
      </c>
      <c r="I18" s="269">
        <f>SCADA!F54</f>
        <v>0</v>
      </c>
      <c r="J18" s="269">
        <f>SCADA!G54</f>
        <v>0</v>
      </c>
      <c r="K18" s="269">
        <f>SCADA!H54</f>
        <v>0</v>
      </c>
      <c r="L18" s="269">
        <f>SCADA!I54</f>
        <v>0</v>
      </c>
      <c r="M18" s="269">
        <f>SCADA!J54</f>
        <v>0</v>
      </c>
      <c r="N18" s="269">
        <f>SCADA!K54</f>
        <v>0</v>
      </c>
      <c r="O18" s="269">
        <f>SCADA!L54</f>
        <v>0</v>
      </c>
      <c r="P18" s="269">
        <f>SCADA!M54</f>
        <v>0</v>
      </c>
      <c r="Q18" s="269">
        <f>SCADA!N54</f>
        <v>0</v>
      </c>
    </row>
    <row r="19" spans="1:17" x14ac:dyDescent="0.25">
      <c r="B19" s="16" t="s">
        <v>444</v>
      </c>
      <c r="C19" s="21">
        <f>SCADA!O55</f>
        <v>161024.47200000001</v>
      </c>
      <c r="D19" s="22">
        <f>SCADA!P55</f>
        <v>152969.16510618088</v>
      </c>
      <c r="F19" s="22">
        <f>SCADA!C55</f>
        <v>6940.71</v>
      </c>
      <c r="G19" s="22">
        <f>SCADA!D55</f>
        <v>51361.254000000001</v>
      </c>
      <c r="H19" s="22">
        <f>SCADA!E55</f>
        <v>102722.508</v>
      </c>
      <c r="I19" s="22">
        <f>SCADA!F55</f>
        <v>0</v>
      </c>
      <c r="J19" s="22">
        <f>SCADA!G55</f>
        <v>0</v>
      </c>
      <c r="K19" s="22">
        <f>SCADA!H55</f>
        <v>0</v>
      </c>
      <c r="L19" s="22">
        <f>SCADA!I55</f>
        <v>0</v>
      </c>
      <c r="M19" s="22">
        <f>SCADA!J55</f>
        <v>0</v>
      </c>
      <c r="N19" s="22">
        <f>SCADA!K55</f>
        <v>0</v>
      </c>
      <c r="O19" s="22">
        <f>SCADA!L55</f>
        <v>0</v>
      </c>
      <c r="P19" s="22">
        <f>SCADA!M55</f>
        <v>0</v>
      </c>
      <c r="Q19" s="22">
        <f>SCADA!N55</f>
        <v>0</v>
      </c>
    </row>
    <row r="20" spans="1:17" x14ac:dyDescent="0.25">
      <c r="B20" s="16" t="s">
        <v>79</v>
      </c>
      <c r="C20" s="21">
        <f>SCADA!O56</f>
        <v>9254.2799999999988</v>
      </c>
      <c r="D20" s="22">
        <f>SCADA!P56</f>
        <v>8807.7198814935437</v>
      </c>
      <c r="F20" s="22">
        <f>SCADA!C56</f>
        <v>0</v>
      </c>
      <c r="G20" s="22">
        <f>SCADA!D56</f>
        <v>4627.1399999999994</v>
      </c>
      <c r="H20" s="22">
        <f>SCADA!E56</f>
        <v>4627.1399999999994</v>
      </c>
      <c r="I20" s="22">
        <f>SCADA!F56</f>
        <v>0</v>
      </c>
      <c r="J20" s="22">
        <f>SCADA!G56</f>
        <v>0</v>
      </c>
      <c r="K20" s="22">
        <f>SCADA!H56</f>
        <v>0</v>
      </c>
      <c r="L20" s="22">
        <f>SCADA!I56</f>
        <v>0</v>
      </c>
      <c r="M20" s="22">
        <f>SCADA!J56</f>
        <v>0</v>
      </c>
      <c r="N20" s="22">
        <f>SCADA!K56</f>
        <v>0</v>
      </c>
      <c r="O20" s="22">
        <f>SCADA!L56</f>
        <v>0</v>
      </c>
      <c r="P20" s="22">
        <f>SCADA!M56</f>
        <v>0</v>
      </c>
      <c r="Q20" s="22">
        <f>SCADA!N56</f>
        <v>0</v>
      </c>
    </row>
    <row r="21" spans="1:17" x14ac:dyDescent="0.25">
      <c r="A21" t="s">
        <v>85</v>
      </c>
      <c r="B21" s="16" t="s">
        <v>86</v>
      </c>
      <c r="C21" s="21">
        <f>SCADA!O57</f>
        <v>0</v>
      </c>
      <c r="D21" s="22">
        <f>SCADA!P57</f>
        <v>0</v>
      </c>
      <c r="F21" s="22">
        <f>SCADA!C57</f>
        <v>0</v>
      </c>
      <c r="G21" s="22">
        <f>SCADA!D57</f>
        <v>0</v>
      </c>
      <c r="H21" s="22">
        <f>SCADA!E57</f>
        <v>0</v>
      </c>
      <c r="I21" s="22">
        <f>SCADA!F57</f>
        <v>0</v>
      </c>
      <c r="J21" s="22">
        <f>SCADA!G57</f>
        <v>0</v>
      </c>
      <c r="K21" s="22">
        <f>SCADA!H57</f>
        <v>0</v>
      </c>
      <c r="L21" s="22">
        <f>SCADA!I57</f>
        <v>0</v>
      </c>
      <c r="M21" s="22">
        <f>SCADA!J57</f>
        <v>0</v>
      </c>
      <c r="N21" s="22">
        <f>SCADA!K57</f>
        <v>0</v>
      </c>
      <c r="O21" s="22">
        <f>SCADA!L57</f>
        <v>0</v>
      </c>
      <c r="P21" s="22">
        <f>SCADA!M57</f>
        <v>0</v>
      </c>
      <c r="Q21" s="22">
        <f>SCADA!N57</f>
        <v>0</v>
      </c>
    </row>
    <row r="22" spans="1:17" x14ac:dyDescent="0.25">
      <c r="B22" s="133" t="s">
        <v>124</v>
      </c>
      <c r="C22" s="130"/>
      <c r="D22" s="130"/>
      <c r="F22" s="131"/>
      <c r="G22" s="131"/>
      <c r="H22" s="131"/>
      <c r="I22" s="131"/>
      <c r="J22" s="131"/>
      <c r="K22" s="131"/>
      <c r="L22" s="131"/>
      <c r="M22" s="131"/>
      <c r="N22" s="131"/>
      <c r="O22" s="131"/>
      <c r="P22" s="131"/>
      <c r="Q22" s="131"/>
    </row>
    <row r="23" spans="1:17" x14ac:dyDescent="0.25">
      <c r="B23" s="16" t="s">
        <v>20</v>
      </c>
      <c r="C23" s="21">
        <f>SCADA!O59</f>
        <v>874226.307005852</v>
      </c>
      <c r="D23" s="22">
        <f>SCADA!P59</f>
        <v>805253.34235465934</v>
      </c>
      <c r="F23" s="22">
        <f>SCADA!C59</f>
        <v>67140.420899999997</v>
      </c>
      <c r="G23" s="22">
        <f>SCADA!D59</f>
        <v>89984.802941249989</v>
      </c>
      <c r="H23" s="22">
        <f>SCADA!E59</f>
        <v>108023.1979168125</v>
      </c>
      <c r="I23" s="22">
        <f>SCADA!F59</f>
        <v>183026.66769049689</v>
      </c>
      <c r="J23" s="22">
        <f>SCADA!G59</f>
        <v>210395.66299125561</v>
      </c>
      <c r="K23" s="22">
        <f>SCADA!H59</f>
        <v>215655.554566037</v>
      </c>
      <c r="L23" s="22">
        <f>SCADA!I59</f>
        <v>0</v>
      </c>
      <c r="M23" s="22">
        <f>SCADA!J59</f>
        <v>0</v>
      </c>
      <c r="N23" s="22">
        <f>SCADA!K59</f>
        <v>0</v>
      </c>
      <c r="O23" s="22">
        <f>SCADA!L59</f>
        <v>0</v>
      </c>
      <c r="P23" s="22">
        <f>SCADA!M59</f>
        <v>0</v>
      </c>
      <c r="Q23" s="22">
        <f>SCADA!N59</f>
        <v>0</v>
      </c>
    </row>
    <row r="24" spans="1:17" x14ac:dyDescent="0.25">
      <c r="B24" s="16" t="s">
        <v>21</v>
      </c>
      <c r="C24" s="21">
        <f>SCADA!O60</f>
        <v>0</v>
      </c>
      <c r="D24" s="22">
        <f>SCADA!P60</f>
        <v>0</v>
      </c>
      <c r="F24" s="22">
        <f>SCADA!C60</f>
        <v>0</v>
      </c>
      <c r="G24" s="22">
        <f>SCADA!D60</f>
        <v>0</v>
      </c>
      <c r="H24" s="22">
        <f>SCADA!E60</f>
        <v>0</v>
      </c>
      <c r="I24" s="22">
        <f>SCADA!F60</f>
        <v>0</v>
      </c>
      <c r="J24" s="22">
        <f>SCADA!G60</f>
        <v>0</v>
      </c>
      <c r="K24" s="22">
        <f>SCADA!H60</f>
        <v>0</v>
      </c>
      <c r="L24" s="22">
        <f>SCADA!I60</f>
        <v>0</v>
      </c>
      <c r="M24" s="22">
        <f>SCADA!J60</f>
        <v>0</v>
      </c>
      <c r="N24" s="22">
        <f>SCADA!K60</f>
        <v>0</v>
      </c>
      <c r="O24" s="22">
        <f>SCADA!L60</f>
        <v>0</v>
      </c>
      <c r="P24" s="22">
        <f>SCADA!M60</f>
        <v>0</v>
      </c>
      <c r="Q24" s="22">
        <f>SCADA!N60</f>
        <v>0</v>
      </c>
    </row>
    <row r="25" spans="1:17" x14ac:dyDescent="0.25">
      <c r="B25" s="16" t="s">
        <v>22</v>
      </c>
      <c r="C25" s="21">
        <f>SCADA!O61</f>
        <v>807326.6848520505</v>
      </c>
      <c r="D25" s="22">
        <f>SCADA!P61</f>
        <v>745763.02472993883</v>
      </c>
      <c r="F25" s="22">
        <f>SCADA!C61</f>
        <v>77700</v>
      </c>
      <c r="G25" s="22">
        <f>SCADA!D61</f>
        <v>95786.249999999985</v>
      </c>
      <c r="H25" s="22">
        <f>SCADA!E61</f>
        <v>104799.84374999997</v>
      </c>
      <c r="I25" s="22">
        <f>SCADA!F61</f>
        <v>160564.39218749994</v>
      </c>
      <c r="J25" s="22">
        <f>SCADA!G61</f>
        <v>181963.55501953114</v>
      </c>
      <c r="K25" s="22">
        <f>SCADA!H61</f>
        <v>186512.64389501943</v>
      </c>
      <c r="L25" s="22">
        <f>SCADA!I61</f>
        <v>0</v>
      </c>
      <c r="M25" s="22">
        <f>SCADA!J61</f>
        <v>0</v>
      </c>
      <c r="N25" s="22">
        <f>SCADA!K61</f>
        <v>0</v>
      </c>
      <c r="O25" s="22">
        <f>SCADA!L61</f>
        <v>0</v>
      </c>
      <c r="P25" s="22">
        <f>SCADA!M61</f>
        <v>0</v>
      </c>
      <c r="Q25" s="22">
        <f>SCADA!N61</f>
        <v>0</v>
      </c>
    </row>
    <row r="26" spans="1:17" x14ac:dyDescent="0.25">
      <c r="B26" s="133" t="s">
        <v>125</v>
      </c>
      <c r="C26" s="130"/>
      <c r="D26" s="130"/>
      <c r="F26" s="131"/>
      <c r="G26" s="131"/>
      <c r="H26" s="131"/>
      <c r="I26" s="131"/>
      <c r="J26" s="131"/>
      <c r="K26" s="131"/>
      <c r="L26" s="131"/>
      <c r="M26" s="131"/>
      <c r="N26" s="131"/>
      <c r="O26" s="131"/>
      <c r="P26" s="131"/>
      <c r="Q26" s="131"/>
    </row>
    <row r="27" spans="1:17" x14ac:dyDescent="0.25">
      <c r="B27" s="16" t="s">
        <v>20</v>
      </c>
      <c r="C27" s="21">
        <f>SCADA!O63</f>
        <v>0</v>
      </c>
      <c r="D27" s="22">
        <f>SCADA!P63</f>
        <v>0</v>
      </c>
      <c r="F27" s="22">
        <f>SCADA!C63</f>
        <v>0</v>
      </c>
      <c r="G27" s="22">
        <f>SCADA!D63</f>
        <v>0</v>
      </c>
      <c r="H27" s="22">
        <f>SCADA!E63</f>
        <v>0</v>
      </c>
      <c r="I27" s="22">
        <f>SCADA!F63</f>
        <v>0</v>
      </c>
      <c r="J27" s="22">
        <f>SCADA!G63</f>
        <v>0</v>
      </c>
      <c r="K27" s="22">
        <f>SCADA!H63</f>
        <v>0</v>
      </c>
      <c r="L27" s="22">
        <f>SCADA!I63</f>
        <v>0</v>
      </c>
      <c r="M27" s="22">
        <f>SCADA!J63</f>
        <v>0</v>
      </c>
      <c r="N27" s="22">
        <f>SCADA!K63</f>
        <v>0</v>
      </c>
      <c r="O27" s="22">
        <f>SCADA!L63</f>
        <v>0</v>
      </c>
      <c r="P27" s="22">
        <f>SCADA!M63</f>
        <v>0</v>
      </c>
      <c r="Q27" s="22">
        <f>SCADA!N63</f>
        <v>0</v>
      </c>
    </row>
    <row r="28" spans="1:17" x14ac:dyDescent="0.25">
      <c r="B28" s="16" t="s">
        <v>21</v>
      </c>
      <c r="C28" s="21">
        <f>SCADA!O64</f>
        <v>0</v>
      </c>
      <c r="D28" s="22">
        <f>SCADA!P64</f>
        <v>0</v>
      </c>
      <c r="F28" s="22">
        <f>SCADA!C64</f>
        <v>0</v>
      </c>
      <c r="G28" s="22">
        <f>SCADA!D64</f>
        <v>0</v>
      </c>
      <c r="H28" s="22">
        <f>SCADA!E64</f>
        <v>0</v>
      </c>
      <c r="I28" s="22">
        <f>SCADA!F64</f>
        <v>0</v>
      </c>
      <c r="J28" s="22">
        <f>SCADA!G64</f>
        <v>0</v>
      </c>
      <c r="K28" s="22">
        <f>SCADA!H64</f>
        <v>0</v>
      </c>
      <c r="L28" s="22">
        <f>SCADA!I64</f>
        <v>0</v>
      </c>
      <c r="M28" s="22">
        <f>SCADA!J64</f>
        <v>0</v>
      </c>
      <c r="N28" s="22">
        <f>SCADA!K64</f>
        <v>0</v>
      </c>
      <c r="O28" s="22">
        <f>SCADA!L64</f>
        <v>0</v>
      </c>
      <c r="P28" s="22">
        <f>SCADA!M64</f>
        <v>0</v>
      </c>
      <c r="Q28" s="22">
        <f>SCADA!N64</f>
        <v>0</v>
      </c>
    </row>
    <row r="29" spans="1:17" x14ac:dyDescent="0.25">
      <c r="B29" s="16" t="s">
        <v>22</v>
      </c>
      <c r="C29" s="21">
        <f>SCADA!O65</f>
        <v>0</v>
      </c>
      <c r="D29" s="22">
        <f>SCADA!P65</f>
        <v>0</v>
      </c>
      <c r="F29" s="22">
        <f>SCADA!C65</f>
        <v>0</v>
      </c>
      <c r="G29" s="22">
        <f>SCADA!D65</f>
        <v>0</v>
      </c>
      <c r="H29" s="22">
        <f>SCADA!E65</f>
        <v>0</v>
      </c>
      <c r="I29" s="22">
        <f>SCADA!F65</f>
        <v>0</v>
      </c>
      <c r="J29" s="22">
        <f>SCADA!G65</f>
        <v>0</v>
      </c>
      <c r="K29" s="22">
        <f>SCADA!H65</f>
        <v>0</v>
      </c>
      <c r="L29" s="22">
        <f>SCADA!I65</f>
        <v>0</v>
      </c>
      <c r="M29" s="22">
        <f>SCADA!J65</f>
        <v>0</v>
      </c>
      <c r="N29" s="22">
        <f>SCADA!K65</f>
        <v>0</v>
      </c>
      <c r="O29" s="22">
        <f>SCADA!L65</f>
        <v>0</v>
      </c>
      <c r="P29" s="22">
        <f>SCADA!M65</f>
        <v>0</v>
      </c>
      <c r="Q29" s="22">
        <f>SCADA!N65</f>
        <v>0</v>
      </c>
    </row>
    <row r="30" spans="1:17" x14ac:dyDescent="0.25">
      <c r="B30" s="24" t="s">
        <v>23</v>
      </c>
      <c r="C30" s="25">
        <f>SUM(C16:C29)</f>
        <v>1941793.6871158024</v>
      </c>
      <c r="D30" s="25">
        <f>SUM(D16:D29)</f>
        <v>1796875.5796446973</v>
      </c>
      <c r="F30" s="25">
        <f t="shared" ref="F30:Q30" si="0">SUM(F16:F29)</f>
        <v>166426.09840710001</v>
      </c>
      <c r="G30" s="25">
        <f t="shared" si="0"/>
        <v>258496.55266364996</v>
      </c>
      <c r="H30" s="25">
        <f t="shared" si="0"/>
        <v>336909.79538921244</v>
      </c>
      <c r="I30" s="25">
        <f t="shared" si="0"/>
        <v>356143.88916979684</v>
      </c>
      <c r="J30" s="25">
        <f t="shared" si="0"/>
        <v>407004.18551788677</v>
      </c>
      <c r="K30" s="25">
        <f t="shared" si="0"/>
        <v>416813.16596815642</v>
      </c>
      <c r="L30" s="25">
        <f t="shared" si="0"/>
        <v>0</v>
      </c>
      <c r="M30" s="25">
        <f t="shared" si="0"/>
        <v>0</v>
      </c>
      <c r="N30" s="25">
        <f t="shared" si="0"/>
        <v>0</v>
      </c>
      <c r="O30" s="25">
        <f t="shared" si="0"/>
        <v>0</v>
      </c>
      <c r="P30" s="25">
        <f t="shared" si="0"/>
        <v>0</v>
      </c>
      <c r="Q30" s="25">
        <f t="shared" si="0"/>
        <v>0</v>
      </c>
    </row>
    <row r="31" spans="1:17" x14ac:dyDescent="0.25">
      <c r="B31" s="24" t="s">
        <v>417</v>
      </c>
      <c r="C31" s="25">
        <f>C30/$C$12</f>
        <v>22578.996361811656</v>
      </c>
      <c r="D31" s="25">
        <f>D30/$C$12</f>
        <v>20893.902088891828</v>
      </c>
    </row>
    <row r="32" spans="1:17" x14ac:dyDescent="0.25">
      <c r="B32" s="24" t="s">
        <v>418</v>
      </c>
      <c r="C32" s="25">
        <f>C31/12/12</f>
        <v>156.79858584591429</v>
      </c>
      <c r="D32" s="25">
        <f>D31/12/12</f>
        <v>145.09654228397102</v>
      </c>
      <c r="F32" s="23">
        <v>2014</v>
      </c>
      <c r="G32" s="23">
        <f>SCADA!D51</f>
        <v>2015</v>
      </c>
      <c r="H32" s="23">
        <f>SCADA!E51</f>
        <v>2016</v>
      </c>
      <c r="I32" s="23">
        <f>SCADA!F51</f>
        <v>2017</v>
      </c>
      <c r="J32" s="23">
        <f>SCADA!G51</f>
        <v>2018</v>
      </c>
      <c r="K32" s="23">
        <f>SCADA!H51</f>
        <v>2019</v>
      </c>
      <c r="L32" s="23">
        <f>SCADA!I51</f>
        <v>2020</v>
      </c>
      <c r="M32" s="23">
        <f>SCADA!J51</f>
        <v>2021</v>
      </c>
      <c r="N32" s="23">
        <f>SCADA!K51</f>
        <v>2022</v>
      </c>
      <c r="O32" s="23">
        <f>SCADA!L51</f>
        <v>2023</v>
      </c>
      <c r="P32" s="23">
        <f>SCADA!M51</f>
        <v>2024</v>
      </c>
      <c r="Q32" s="23">
        <f>SCADA!N51</f>
        <v>2025</v>
      </c>
    </row>
    <row r="33" spans="2:17" x14ac:dyDescent="0.25">
      <c r="B33" s="132" t="s">
        <v>445</v>
      </c>
      <c r="C33" s="130"/>
      <c r="D33" s="130"/>
      <c r="F33" s="131"/>
      <c r="G33" s="131"/>
      <c r="H33" s="131"/>
      <c r="I33" s="131"/>
      <c r="J33" s="131"/>
      <c r="K33" s="131"/>
      <c r="L33" s="131"/>
      <c r="M33" s="131"/>
      <c r="N33" s="131"/>
      <c r="O33" s="131"/>
      <c r="P33" s="131"/>
      <c r="Q33" s="131"/>
    </row>
    <row r="34" spans="2:17" x14ac:dyDescent="0.25">
      <c r="B34" s="16" t="s">
        <v>24</v>
      </c>
      <c r="C34" s="21">
        <f>SCADA!O67</f>
        <v>471438.42416613776</v>
      </c>
      <c r="D34" s="22">
        <f>SCADA!P67</f>
        <v>406295.66875293769</v>
      </c>
      <c r="F34" s="22">
        <f>SCADA!C67</f>
        <v>0</v>
      </c>
      <c r="G34" s="22">
        <f>SCADA!D67</f>
        <v>8328.851999999999</v>
      </c>
      <c r="H34" s="22">
        <f>SCADA!E67</f>
        <v>41226.198595070993</v>
      </c>
      <c r="I34" s="22">
        <f>SCADA!F67</f>
        <v>42375.428140602373</v>
      </c>
      <c r="J34" s="22">
        <f>SCADA!G67</f>
        <v>43557.376544013401</v>
      </c>
      <c r="K34" s="22">
        <f>SCADA!H67</f>
        <v>44688.058484728877</v>
      </c>
      <c r="L34" s="22">
        <f>SCADA!I67</f>
        <v>45892.639554981099</v>
      </c>
      <c r="M34" s="22">
        <f>SCADA!J67</f>
        <v>47130.606058897174</v>
      </c>
      <c r="N34" s="22">
        <f>SCADA!K67</f>
        <v>48082.809622558052</v>
      </c>
      <c r="O34" s="22">
        <f>SCADA!L67</f>
        <v>49054.297043554208</v>
      </c>
      <c r="P34" s="22">
        <f>SCADA!M67</f>
        <v>50045.459993683922</v>
      </c>
      <c r="Q34" s="22">
        <f>SCADA!N67</f>
        <v>51056.698128047683</v>
      </c>
    </row>
    <row r="35" spans="2:17" x14ac:dyDescent="0.25">
      <c r="B35" s="16" t="s">
        <v>25</v>
      </c>
      <c r="C35" s="21">
        <f>SCADA!O68</f>
        <v>7194.992992887901</v>
      </c>
      <c r="D35" s="22">
        <f>SCADA!P68</f>
        <v>6121.3479370790155</v>
      </c>
      <c r="F35" s="22">
        <f>SCADA!C68</f>
        <v>0</v>
      </c>
      <c r="G35" s="22">
        <f>SCADA!D68</f>
        <v>117.60000000000002</v>
      </c>
      <c r="H35" s="22">
        <f>SCADA!E68</f>
        <v>258.29999999999995</v>
      </c>
      <c r="I35" s="22">
        <f>SCADA!F68</f>
        <v>405.96149999999994</v>
      </c>
      <c r="J35" s="22">
        <f>SCADA!G68</f>
        <v>524.66111249999983</v>
      </c>
      <c r="K35" s="22">
        <f>SCADA!H68</f>
        <v>667.58603624999967</v>
      </c>
      <c r="L35" s="22">
        <f>SCADA!I68</f>
        <v>817.32929299218711</v>
      </c>
      <c r="M35" s="22">
        <f>SCADA!J68</f>
        <v>837.76252531699174</v>
      </c>
      <c r="N35" s="22">
        <f>SCADA!K68</f>
        <v>858.70658844991647</v>
      </c>
      <c r="O35" s="22">
        <f>SCADA!L68</f>
        <v>880.17425316116419</v>
      </c>
      <c r="P35" s="22">
        <f>SCADA!M68</f>
        <v>902.17860949019314</v>
      </c>
      <c r="Q35" s="22">
        <f>SCADA!N68</f>
        <v>924.73307472744796</v>
      </c>
    </row>
    <row r="36" spans="2:17" x14ac:dyDescent="0.25">
      <c r="B36" s="133" t="s">
        <v>126</v>
      </c>
      <c r="C36" s="130"/>
      <c r="D36" s="130"/>
      <c r="F36" s="130"/>
      <c r="G36" s="130"/>
      <c r="H36" s="130"/>
      <c r="I36" s="130"/>
      <c r="J36" s="130"/>
      <c r="K36" s="130"/>
      <c r="L36" s="130"/>
      <c r="M36" s="130"/>
      <c r="N36" s="130"/>
      <c r="O36" s="130"/>
      <c r="P36" s="130"/>
      <c r="Q36" s="130"/>
    </row>
    <row r="37" spans="2:17" x14ac:dyDescent="0.25">
      <c r="B37" s="16" t="s">
        <v>24</v>
      </c>
      <c r="C37" s="21">
        <f>SCADA!O71</f>
        <v>191181.13413002706</v>
      </c>
      <c r="D37" s="22">
        <f>SCADA!P71</f>
        <v>161663.48222922633</v>
      </c>
      <c r="F37" s="22">
        <f>SCADA!C71</f>
        <v>0</v>
      </c>
      <c r="G37" s="22">
        <f>SCADA!D71</f>
        <v>0</v>
      </c>
      <c r="H37" s="22">
        <f>SCADA!E71</f>
        <v>4265.2488125373002</v>
      </c>
      <c r="I37" s="22">
        <f>SCADA!F71</f>
        <v>9024.3726572235319</v>
      </c>
      <c r="J37" s="22">
        <f>SCADA!G71</f>
        <v>14476.43574925276</v>
      </c>
      <c r="K37" s="22">
        <f>SCADA!H71</f>
        <v>17278.299954288093</v>
      </c>
      <c r="L37" s="22">
        <f>SCADA!I71</f>
        <v>20513.398666298981</v>
      </c>
      <c r="M37" s="22">
        <f>SCADA!J71</f>
        <v>23899.453376438982</v>
      </c>
      <c r="N37" s="22">
        <f>SCADA!K71</f>
        <v>24496.939710849954</v>
      </c>
      <c r="O37" s="22">
        <f>SCADA!L71</f>
        <v>25109.363203621204</v>
      </c>
      <c r="P37" s="22">
        <f>SCADA!M71</f>
        <v>25737.09728371173</v>
      </c>
      <c r="Q37" s="22">
        <f>SCADA!N71</f>
        <v>26380.524715804524</v>
      </c>
    </row>
    <row r="38" spans="2:17" x14ac:dyDescent="0.25">
      <c r="B38" s="16" t="s">
        <v>25</v>
      </c>
      <c r="C38" s="21">
        <f>SCADA!O72</f>
        <v>0</v>
      </c>
      <c r="D38" s="22">
        <f>SCADA!P72</f>
        <v>0</v>
      </c>
      <c r="F38" s="22">
        <f>SCADA!C72</f>
        <v>0</v>
      </c>
      <c r="G38" s="22">
        <f>SCADA!D72</f>
        <v>0</v>
      </c>
      <c r="H38" s="22">
        <f>SCADA!E72</f>
        <v>0</v>
      </c>
      <c r="I38" s="22">
        <f>SCADA!F72</f>
        <v>0</v>
      </c>
      <c r="J38" s="22">
        <f>SCADA!G72</f>
        <v>0</v>
      </c>
      <c r="K38" s="22">
        <f>SCADA!H72</f>
        <v>0</v>
      </c>
      <c r="L38" s="22">
        <f>SCADA!I72</f>
        <v>0</v>
      </c>
      <c r="M38" s="22">
        <f>SCADA!J72</f>
        <v>0</v>
      </c>
      <c r="N38" s="22">
        <f>SCADA!K72</f>
        <v>0</v>
      </c>
      <c r="O38" s="22">
        <f>SCADA!L72</f>
        <v>0</v>
      </c>
      <c r="P38" s="22">
        <f>SCADA!M72</f>
        <v>0</v>
      </c>
      <c r="Q38" s="22">
        <f>SCADA!N72</f>
        <v>0</v>
      </c>
    </row>
    <row r="39" spans="2:17" x14ac:dyDescent="0.25">
      <c r="B39" s="133" t="s">
        <v>127</v>
      </c>
      <c r="C39" s="130"/>
      <c r="D39" s="130"/>
      <c r="F39" s="130"/>
      <c r="G39" s="130"/>
      <c r="H39" s="130"/>
      <c r="I39" s="130"/>
      <c r="J39" s="130"/>
      <c r="K39" s="130"/>
      <c r="L39" s="130"/>
      <c r="M39" s="130"/>
      <c r="N39" s="130"/>
      <c r="O39" s="130"/>
      <c r="P39" s="130"/>
      <c r="Q39" s="130"/>
    </row>
    <row r="40" spans="2:17" x14ac:dyDescent="0.25">
      <c r="B40" s="16" t="s">
        <v>26</v>
      </c>
      <c r="C40" s="21">
        <f>SCADA!O74</f>
        <v>0</v>
      </c>
      <c r="D40" s="22">
        <f>SCADA!P74</f>
        <v>0</v>
      </c>
      <c r="F40" s="22">
        <f>SCADA!C74</f>
        <v>0</v>
      </c>
      <c r="G40" s="22">
        <f>SCADA!D74</f>
        <v>0</v>
      </c>
      <c r="H40" s="22">
        <f>SCADA!E74</f>
        <v>0</v>
      </c>
      <c r="I40" s="22">
        <f>SCADA!F74</f>
        <v>0</v>
      </c>
      <c r="J40" s="22">
        <f>SCADA!G74</f>
        <v>0</v>
      </c>
      <c r="K40" s="22">
        <f>SCADA!H74</f>
        <v>0</v>
      </c>
      <c r="L40" s="22">
        <f>SCADA!I74</f>
        <v>0</v>
      </c>
      <c r="M40" s="22">
        <f>SCADA!J74</f>
        <v>0</v>
      </c>
      <c r="N40" s="22">
        <f>SCADA!K74</f>
        <v>0</v>
      </c>
      <c r="O40" s="22">
        <f>SCADA!L74</f>
        <v>0</v>
      </c>
      <c r="P40" s="22">
        <f>SCADA!M74</f>
        <v>0</v>
      </c>
      <c r="Q40" s="22">
        <f>SCADA!N74</f>
        <v>0</v>
      </c>
    </row>
    <row r="41" spans="2:17" x14ac:dyDescent="0.25">
      <c r="B41" s="16" t="s">
        <v>27</v>
      </c>
      <c r="C41" s="21">
        <f>SCADA!O75</f>
        <v>2071007.0611692057</v>
      </c>
      <c r="D41" s="22">
        <f>SCADA!P75</f>
        <v>1797666.4726601799</v>
      </c>
      <c r="F41" s="22">
        <f>SCADA!C75</f>
        <v>0</v>
      </c>
      <c r="G41" s="22">
        <f>SCADA!D75</f>
        <v>165900</v>
      </c>
      <c r="H41" s="22">
        <f>SCADA!E75</f>
        <v>170047.5</v>
      </c>
      <c r="I41" s="22">
        <f>SCADA!F75</f>
        <v>174298.6875</v>
      </c>
      <c r="J41" s="22">
        <f>SCADA!G75</f>
        <v>178656.15468749998</v>
      </c>
      <c r="K41" s="22">
        <f>SCADA!H75</f>
        <v>183122.55855468748</v>
      </c>
      <c r="L41" s="22">
        <f>SCADA!I75</f>
        <v>187700.62251855465</v>
      </c>
      <c r="M41" s="22">
        <f>SCADA!J75</f>
        <v>192393.1380815185</v>
      </c>
      <c r="N41" s="22">
        <f>SCADA!K75</f>
        <v>197202.96653355644</v>
      </c>
      <c r="O41" s="22">
        <f>SCADA!L75</f>
        <v>202133.04069689533</v>
      </c>
      <c r="P41" s="22">
        <f>SCADA!M75</f>
        <v>207186.3667143177</v>
      </c>
      <c r="Q41" s="22">
        <f>SCADA!N75</f>
        <v>212366.0258821756</v>
      </c>
    </row>
    <row r="42" spans="2:17" x14ac:dyDescent="0.25">
      <c r="B42" s="16" t="s">
        <v>25</v>
      </c>
      <c r="C42" s="21">
        <f>SCADA!O76</f>
        <v>0</v>
      </c>
      <c r="D42" s="22">
        <f>SCADA!P76</f>
        <v>0</v>
      </c>
      <c r="F42" s="22">
        <f>SCADA!C76</f>
        <v>0</v>
      </c>
      <c r="G42" s="22">
        <f>SCADA!D76</f>
        <v>0</v>
      </c>
      <c r="H42" s="22">
        <f>SCADA!E76</f>
        <v>0</v>
      </c>
      <c r="I42" s="22">
        <f>SCADA!F76</f>
        <v>0</v>
      </c>
      <c r="J42" s="22">
        <f>SCADA!G76</f>
        <v>0</v>
      </c>
      <c r="K42" s="22">
        <f>SCADA!H76</f>
        <v>0</v>
      </c>
      <c r="L42" s="22">
        <f>SCADA!I76</f>
        <v>0</v>
      </c>
      <c r="M42" s="22">
        <f>SCADA!J76</f>
        <v>0</v>
      </c>
      <c r="N42" s="22">
        <f>SCADA!K76</f>
        <v>0</v>
      </c>
      <c r="O42" s="22">
        <f>SCADA!L76</f>
        <v>0</v>
      </c>
      <c r="P42" s="22">
        <f>SCADA!M76</f>
        <v>0</v>
      </c>
      <c r="Q42" s="22">
        <f>SCADA!N76</f>
        <v>0</v>
      </c>
    </row>
    <row r="43" spans="2:17" x14ac:dyDescent="0.25">
      <c r="B43" s="133" t="s">
        <v>28</v>
      </c>
      <c r="C43" s="130"/>
      <c r="D43" s="130"/>
      <c r="F43" s="130"/>
      <c r="G43" s="130"/>
      <c r="H43" s="130"/>
      <c r="I43" s="130"/>
      <c r="J43" s="130"/>
      <c r="K43" s="130"/>
      <c r="L43" s="130"/>
      <c r="M43" s="130"/>
      <c r="N43" s="130"/>
      <c r="O43" s="130"/>
      <c r="P43" s="130"/>
      <c r="Q43" s="130"/>
    </row>
    <row r="44" spans="2:17" x14ac:dyDescent="0.25">
      <c r="B44" s="16" t="s">
        <v>419</v>
      </c>
      <c r="C44" s="21">
        <f>SCADA!O69</f>
        <v>336282.42924689339</v>
      </c>
      <c r="D44" s="22">
        <f>SCADA!P69</f>
        <v>288434.76048872218</v>
      </c>
      <c r="F44" s="22">
        <f>SCADA!C69</f>
        <v>3181.9402338716409</v>
      </c>
      <c r="G44" s="22">
        <f>SCADA!D69</f>
        <v>8124.1974225584427</v>
      </c>
      <c r="H44" s="22">
        <f>SCADA!E69</f>
        <v>14565.656084360868</v>
      </c>
      <c r="I44" s="22">
        <f>SCADA!F69</f>
        <v>21374.85596853332</v>
      </c>
      <c r="J44" s="22">
        <f>SCADA!G69</f>
        <v>29156.465978314522</v>
      </c>
      <c r="K44" s="22">
        <f>SCADA!H69</f>
        <v>37125.616222750657</v>
      </c>
      <c r="L44" s="22">
        <f>SCADA!I69</f>
        <v>37125.616222750657</v>
      </c>
      <c r="M44" s="22">
        <f>SCADA!J69</f>
        <v>37125.616222750657</v>
      </c>
      <c r="N44" s="22">
        <f>SCADA!K69</f>
        <v>37125.616222750657</v>
      </c>
      <c r="O44" s="22">
        <f>SCADA!L69</f>
        <v>37125.616222750657</v>
      </c>
      <c r="P44" s="22">
        <f>SCADA!M69</f>
        <v>37125.616222750657</v>
      </c>
      <c r="Q44" s="22">
        <f>SCADA!N69</f>
        <v>37125.616222750657</v>
      </c>
    </row>
    <row r="45" spans="2:17" x14ac:dyDescent="0.25">
      <c r="B45" s="26" t="s">
        <v>420</v>
      </c>
      <c r="C45" s="25">
        <f>SUM(C33:C44)</f>
        <v>3077104.041705152</v>
      </c>
      <c r="D45" s="25">
        <f>SUM(D33:D44)</f>
        <v>2660181.7320681452</v>
      </c>
      <c r="F45" s="25">
        <f>SUM(F33:F44)</f>
        <v>3181.9402338716409</v>
      </c>
      <c r="G45" s="25">
        <f t="shared" ref="G45:Q45" si="1">SUM(G33:G44)</f>
        <v>182470.64942255843</v>
      </c>
      <c r="H45" s="25">
        <f t="shared" si="1"/>
        <v>230362.90349196916</v>
      </c>
      <c r="I45" s="25">
        <f t="shared" si="1"/>
        <v>247479.3057663592</v>
      </c>
      <c r="J45" s="25">
        <f t="shared" si="1"/>
        <v>266371.09407158068</v>
      </c>
      <c r="K45" s="25">
        <f t="shared" si="1"/>
        <v>282882.11925270513</v>
      </c>
      <c r="L45" s="25">
        <f t="shared" si="1"/>
        <v>292049.60625557753</v>
      </c>
      <c r="M45" s="25">
        <f t="shared" si="1"/>
        <v>301386.57626492227</v>
      </c>
      <c r="N45" s="25">
        <f t="shared" si="1"/>
        <v>307767.03867816506</v>
      </c>
      <c r="O45" s="25">
        <f t="shared" si="1"/>
        <v>314302.49141998251</v>
      </c>
      <c r="P45" s="25">
        <f t="shared" si="1"/>
        <v>320996.71882395423</v>
      </c>
      <c r="Q45" s="25">
        <f t="shared" si="1"/>
        <v>327853.59802350588</v>
      </c>
    </row>
    <row r="46" spans="2:17" x14ac:dyDescent="0.25">
      <c r="B46" s="26" t="s">
        <v>421</v>
      </c>
      <c r="C46" s="27">
        <f>C45/$C$12/12/12</f>
        <v>248.47416357438246</v>
      </c>
      <c r="D46" s="27">
        <f>D45/$C$12/12/12</f>
        <v>214.80795640085151</v>
      </c>
    </row>
    <row r="47" spans="2:17" x14ac:dyDescent="0.25">
      <c r="B47" s="26" t="s">
        <v>422</v>
      </c>
      <c r="C47" s="27">
        <f>C46+C32</f>
        <v>405.27274942029675</v>
      </c>
      <c r="D47" s="27">
        <f>D46+D32</f>
        <v>359.90449868482256</v>
      </c>
    </row>
    <row r="48" spans="2:17" x14ac:dyDescent="0.25">
      <c r="B48" s="26" t="s">
        <v>0</v>
      </c>
      <c r="C48" s="28">
        <f>C30+C45</f>
        <v>5018897.7288209544</v>
      </c>
      <c r="D48" s="28">
        <f>D30+D45</f>
        <v>4457057.3117128424</v>
      </c>
      <c r="F48" s="25">
        <f t="shared" ref="F48:Q48" si="2">F30+F45</f>
        <v>169608.03864097164</v>
      </c>
      <c r="G48" s="25">
        <f t="shared" si="2"/>
        <v>440967.20208620839</v>
      </c>
      <c r="H48" s="25">
        <f t="shared" si="2"/>
        <v>567272.69888118166</v>
      </c>
      <c r="I48" s="25">
        <f t="shared" si="2"/>
        <v>603623.19493615604</v>
      </c>
      <c r="J48" s="25">
        <f t="shared" si="2"/>
        <v>673375.27958946745</v>
      </c>
      <c r="K48" s="25">
        <f t="shared" si="2"/>
        <v>699695.28522086155</v>
      </c>
      <c r="L48" s="25">
        <f t="shared" si="2"/>
        <v>292049.60625557753</v>
      </c>
      <c r="M48" s="25">
        <f t="shared" si="2"/>
        <v>301386.57626492227</v>
      </c>
      <c r="N48" s="25">
        <f t="shared" si="2"/>
        <v>307767.03867816506</v>
      </c>
      <c r="O48" s="25">
        <f t="shared" si="2"/>
        <v>314302.49141998251</v>
      </c>
      <c r="P48" s="25">
        <f t="shared" si="2"/>
        <v>320996.71882395423</v>
      </c>
      <c r="Q48" s="25">
        <f t="shared" si="2"/>
        <v>327853.59802350588</v>
      </c>
    </row>
    <row r="50" spans="2:4" x14ac:dyDescent="0.25">
      <c r="B50" s="26" t="s">
        <v>29</v>
      </c>
      <c r="C50" s="29">
        <f>C47*12</f>
        <v>4863.2729930435607</v>
      </c>
      <c r="D50" s="29">
        <f>D47*12</f>
        <v>4318.8539842178707</v>
      </c>
    </row>
  </sheetData>
  <mergeCells count="4">
    <mergeCell ref="B14:B15"/>
    <mergeCell ref="F14:Q14"/>
    <mergeCell ref="C14:C15"/>
    <mergeCell ref="D14:D15"/>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80"/>
  <sheetViews>
    <sheetView topLeftCell="J25" zoomScale="90" zoomScaleNormal="90" workbookViewId="0">
      <selection activeCell="A55" sqref="A55"/>
    </sheetView>
  </sheetViews>
  <sheetFormatPr defaultRowHeight="15" x14ac:dyDescent="0.25"/>
  <cols>
    <col min="1" max="1" width="48.140625" customWidth="1"/>
    <col min="2" max="2" width="7.42578125" bestFit="1" customWidth="1"/>
    <col min="3" max="9" width="12" bestFit="1" customWidth="1"/>
    <col min="10" max="10" width="12.5703125" bestFit="1" customWidth="1"/>
    <col min="11" max="11" width="12" bestFit="1" customWidth="1"/>
    <col min="12" max="12" width="12.85546875" bestFit="1" customWidth="1"/>
    <col min="13" max="14" width="12" bestFit="1" customWidth="1"/>
    <col min="15" max="16" width="13.5703125" bestFit="1" customWidth="1"/>
    <col min="17" max="21" width="11" bestFit="1" customWidth="1"/>
    <col min="22" max="22" width="11.7109375" bestFit="1" customWidth="1"/>
    <col min="23" max="23" width="11" bestFit="1" customWidth="1"/>
    <col min="24" max="24" width="11.7109375" bestFit="1" customWidth="1"/>
    <col min="25" max="25" width="11" bestFit="1" customWidth="1"/>
    <col min="26" max="26" width="11.7109375" bestFit="1" customWidth="1"/>
    <col min="27" max="27" width="11" bestFit="1" customWidth="1"/>
  </cols>
  <sheetData>
    <row r="1" spans="1:27" x14ac:dyDescent="0.25">
      <c r="A1" s="30" t="s">
        <v>88</v>
      </c>
      <c r="B1" s="31">
        <f>Pricing!J7</f>
        <v>86</v>
      </c>
    </row>
    <row r="2" spans="1:27" ht="15.75" thickBot="1" x14ac:dyDescent="0.3">
      <c r="A2" s="32"/>
      <c r="B2" s="33"/>
      <c r="D2" s="299" t="s">
        <v>110</v>
      </c>
      <c r="E2" s="299"/>
      <c r="F2" s="299" t="s">
        <v>111</v>
      </c>
      <c r="G2" s="299"/>
      <c r="H2" s="300" t="s">
        <v>112</v>
      </c>
      <c r="I2" s="300"/>
      <c r="J2" s="300"/>
      <c r="K2" s="300"/>
      <c r="L2" s="300"/>
      <c r="M2" s="300"/>
      <c r="N2" s="300"/>
      <c r="O2" s="300"/>
    </row>
    <row r="3" spans="1:27" ht="16.5" customHeight="1" thickTop="1" x14ac:dyDescent="0.25">
      <c r="A3" s="301" t="s">
        <v>94</v>
      </c>
      <c r="B3" s="301" t="s">
        <v>30</v>
      </c>
      <c r="C3" s="303"/>
      <c r="D3" s="295">
        <v>2014</v>
      </c>
      <c r="E3" s="296"/>
      <c r="F3" s="295">
        <v>2015</v>
      </c>
      <c r="G3" s="296"/>
      <c r="H3" s="297">
        <v>2016</v>
      </c>
      <c r="I3" s="298"/>
      <c r="J3" s="297">
        <v>2017</v>
      </c>
      <c r="K3" s="298"/>
      <c r="L3" s="297">
        <v>2018</v>
      </c>
      <c r="M3" s="298"/>
      <c r="N3" s="295">
        <v>2019</v>
      </c>
      <c r="O3" s="296"/>
      <c r="P3" s="297">
        <v>2020</v>
      </c>
      <c r="Q3" s="298"/>
      <c r="R3" s="297">
        <v>2021</v>
      </c>
      <c r="S3" s="298"/>
      <c r="T3" s="297">
        <v>2022</v>
      </c>
      <c r="U3" s="298"/>
      <c r="V3" s="295">
        <v>2023</v>
      </c>
      <c r="W3" s="296"/>
      <c r="X3" s="297">
        <v>2024</v>
      </c>
      <c r="Y3" s="298"/>
      <c r="Z3" s="297">
        <v>2025</v>
      </c>
      <c r="AA3" s="298"/>
    </row>
    <row r="4" spans="1:27" x14ac:dyDescent="0.25">
      <c r="A4" s="302"/>
      <c r="B4" s="34" t="s">
        <v>31</v>
      </c>
      <c r="C4" s="35" t="s">
        <v>32</v>
      </c>
      <c r="D4" s="36" t="s">
        <v>31</v>
      </c>
      <c r="E4" s="37" t="s">
        <v>32</v>
      </c>
      <c r="F4" s="36" t="s">
        <v>31</v>
      </c>
      <c r="G4" s="37" t="s">
        <v>32</v>
      </c>
      <c r="H4" s="34" t="s">
        <v>31</v>
      </c>
      <c r="I4" s="35" t="s">
        <v>32</v>
      </c>
      <c r="J4" s="34" t="s">
        <v>31</v>
      </c>
      <c r="K4" s="35" t="s">
        <v>32</v>
      </c>
      <c r="L4" s="34" t="s">
        <v>31</v>
      </c>
      <c r="M4" s="35" t="s">
        <v>32</v>
      </c>
      <c r="N4" s="36" t="s">
        <v>31</v>
      </c>
      <c r="O4" s="37" t="s">
        <v>32</v>
      </c>
      <c r="P4" s="34" t="s">
        <v>31</v>
      </c>
      <c r="Q4" s="35" t="s">
        <v>32</v>
      </c>
      <c r="R4" s="34" t="s">
        <v>31</v>
      </c>
      <c r="S4" s="35" t="s">
        <v>32</v>
      </c>
      <c r="T4" s="34" t="s">
        <v>31</v>
      </c>
      <c r="U4" s="35" t="s">
        <v>32</v>
      </c>
      <c r="V4" s="36" t="s">
        <v>31</v>
      </c>
      <c r="W4" s="37" t="s">
        <v>32</v>
      </c>
      <c r="X4" s="34" t="s">
        <v>31</v>
      </c>
      <c r="Y4" s="35" t="s">
        <v>32</v>
      </c>
      <c r="Z4" s="34" t="s">
        <v>31</v>
      </c>
      <c r="AA4" s="35" t="s">
        <v>32</v>
      </c>
    </row>
    <row r="5" spans="1:27" x14ac:dyDescent="0.25">
      <c r="A5" s="38" t="s">
        <v>102</v>
      </c>
      <c r="B5" s="39"/>
      <c r="C5" s="40"/>
      <c r="D5" s="41"/>
      <c r="E5" s="42"/>
      <c r="F5" s="41"/>
      <c r="G5" s="42"/>
      <c r="H5" s="41"/>
      <c r="I5" s="42"/>
      <c r="J5" s="41"/>
      <c r="K5" s="42"/>
      <c r="L5" s="41"/>
      <c r="M5" s="42"/>
      <c r="N5" s="41"/>
      <c r="O5" s="42"/>
      <c r="P5" s="41"/>
      <c r="Q5" s="42"/>
      <c r="R5" s="41"/>
      <c r="S5" s="42"/>
      <c r="T5" s="41"/>
      <c r="U5" s="42"/>
      <c r="V5" s="41"/>
      <c r="W5" s="42"/>
      <c r="X5" s="41"/>
      <c r="Y5" s="42"/>
      <c r="Z5" s="41"/>
      <c r="AA5" s="42"/>
    </row>
    <row r="6" spans="1:27" x14ac:dyDescent="0.25">
      <c r="A6" s="43" t="s">
        <v>103</v>
      </c>
      <c r="B6" s="44" t="s">
        <v>33</v>
      </c>
      <c r="C6" s="45" t="s">
        <v>34</v>
      </c>
      <c r="D6" s="41">
        <f>((904.29*Pricing!C7)*1.1017)*(1+Summary!$C$10)</f>
        <v>13947.588101999998</v>
      </c>
      <c r="E6" s="42"/>
      <c r="F6" s="41">
        <f>((904.29*Pricing!D7)*1.1017)*(1+Summary!$C$10)</f>
        <v>15940.100687999999</v>
      </c>
      <c r="G6" s="42"/>
      <c r="H6" s="41">
        <f>((904.29*Pricing!E7)*1.1017)*(1+Summary!$C$10)</f>
        <v>15940.100687999999</v>
      </c>
      <c r="I6" s="42"/>
      <c r="J6" s="41">
        <f>((904.29*Pricing!F7)*1.1017)*(1+Summary!$C$10)</f>
        <v>11955.075515999999</v>
      </c>
      <c r="K6" s="42"/>
      <c r="L6" s="41">
        <f>((904.29*Pricing!G7)*1.1017)*(1+Summary!$C$10)</f>
        <v>13947.588101999998</v>
      </c>
      <c r="M6" s="42"/>
      <c r="N6" s="41">
        <f>((904.29*Pricing!H7)*1.1017)*(1+Summary!$C$10)</f>
        <v>13947.588101999998</v>
      </c>
      <c r="O6" s="42"/>
      <c r="P6" s="41">
        <f>((904.29*Pricing!I7)*1.1017)*(1+Summary!$C$10)</f>
        <v>0</v>
      </c>
      <c r="Q6" s="42"/>
      <c r="R6" s="41"/>
      <c r="S6" s="42"/>
      <c r="T6" s="41"/>
      <c r="U6" s="42"/>
      <c r="V6" s="41"/>
      <c r="W6" s="42"/>
      <c r="X6" s="41"/>
      <c r="Y6" s="42"/>
      <c r="Z6" s="41"/>
      <c r="AA6" s="42"/>
    </row>
    <row r="7" spans="1:27" x14ac:dyDescent="0.25">
      <c r="A7" s="46" t="s">
        <v>57</v>
      </c>
      <c r="B7" s="44" t="s">
        <v>35</v>
      </c>
      <c r="C7" s="45" t="s">
        <v>34</v>
      </c>
      <c r="D7" s="41">
        <f>((3000*2)*1.1017)*(1+Summary!$C$10)</f>
        <v>6610.2</v>
      </c>
      <c r="E7" s="42"/>
      <c r="F7" s="41">
        <f>((22200*2)*1.1017)*(1+Summary!$C$10)</f>
        <v>48915.479999999996</v>
      </c>
      <c r="G7" s="47"/>
      <c r="H7" s="41">
        <f>((22200*4)*1.1017)*(1+Summary!$C$10)</f>
        <v>97830.959999999992</v>
      </c>
      <c r="I7" s="42">
        <f>((4200*5)*1.1017)*(1+Summary!$C$10)</f>
        <v>23135.699999999997</v>
      </c>
      <c r="J7" s="41"/>
      <c r="K7" s="42">
        <f>I7*1.02</f>
        <v>23598.413999999997</v>
      </c>
      <c r="L7" s="41"/>
      <c r="M7" s="42">
        <f>K7*1.02</f>
        <v>24070.382279999998</v>
      </c>
      <c r="N7" s="41"/>
      <c r="O7" s="42">
        <f>M7*1.02</f>
        <v>24551.789925599998</v>
      </c>
      <c r="P7" s="41"/>
      <c r="Q7" s="42">
        <f>O7*1.02</f>
        <v>25042.825724111997</v>
      </c>
      <c r="R7" s="41"/>
      <c r="S7" s="42">
        <f>Q7*1.02</f>
        <v>25543.682238594236</v>
      </c>
      <c r="T7" s="41"/>
      <c r="U7" s="42">
        <f>S7*1.02</f>
        <v>26054.55588336612</v>
      </c>
      <c r="V7" s="41"/>
      <c r="W7" s="42">
        <f>U7*1.02</f>
        <v>26575.647001033441</v>
      </c>
      <c r="X7" s="41"/>
      <c r="Y7" s="42">
        <f>W7*1.02</f>
        <v>27107.159941054109</v>
      </c>
      <c r="Z7" s="41"/>
      <c r="AA7" s="42">
        <f>Y7*1.02</f>
        <v>27649.303139875192</v>
      </c>
    </row>
    <row r="8" spans="1:27" x14ac:dyDescent="0.25">
      <c r="A8" s="48" t="s">
        <v>446</v>
      </c>
      <c r="B8" s="44" t="s">
        <v>36</v>
      </c>
      <c r="C8" s="45" t="s">
        <v>34</v>
      </c>
      <c r="D8" s="41"/>
      <c r="E8" s="42"/>
      <c r="F8" s="41">
        <f>((4000)*1.1017)*(1+Summary!$C$10)</f>
        <v>4406.7999999999993</v>
      </c>
      <c r="G8" s="47">
        <f>((7200)*1.1017)*(1+Summary!$C$10)</f>
        <v>7932.2399999999989</v>
      </c>
      <c r="H8" s="41">
        <f>((4000)*1.1017)*(1+Summary!$C$10)</f>
        <v>4406.7999999999993</v>
      </c>
      <c r="I8" s="42">
        <f>((14400)*1.1017)*(1+Summary!$C$10)</f>
        <v>15864.479999999998</v>
      </c>
      <c r="J8" s="41"/>
      <c r="K8" s="42">
        <f>I8*1.02</f>
        <v>16181.769599999998</v>
      </c>
      <c r="L8" s="41"/>
      <c r="M8" s="42">
        <f>K8*1.02</f>
        <v>16505.404992</v>
      </c>
      <c r="N8" s="41"/>
      <c r="O8" s="42">
        <f>M8*1.02</f>
        <v>16835.513091839999</v>
      </c>
      <c r="P8" s="41"/>
      <c r="Q8" s="42">
        <f>O8*1.02</f>
        <v>17172.2233536768</v>
      </c>
      <c r="R8" s="41"/>
      <c r="S8" s="42">
        <f>Q8*1.02</f>
        <v>17515.667820750336</v>
      </c>
      <c r="T8" s="41"/>
      <c r="U8" s="42">
        <f>S8*1.02</f>
        <v>17865.981177165344</v>
      </c>
      <c r="V8" s="41"/>
      <c r="W8" s="42">
        <f>U8*1.02</f>
        <v>18223.30080070865</v>
      </c>
      <c r="X8" s="41"/>
      <c r="Y8" s="42">
        <f>W8*1.02</f>
        <v>18587.766816722822</v>
      </c>
      <c r="Z8" s="41"/>
      <c r="AA8" s="42">
        <f>Y8*1.02</f>
        <v>18959.522153057278</v>
      </c>
    </row>
    <row r="9" spans="1:27" x14ac:dyDescent="0.25">
      <c r="A9" s="49" t="s">
        <v>52</v>
      </c>
      <c r="B9" s="44" t="s">
        <v>37</v>
      </c>
      <c r="C9" s="45" t="s">
        <v>78</v>
      </c>
      <c r="D9" s="41"/>
      <c r="E9" s="42">
        <f>((-PMT((Summary!$C$2%/12),(12*Summary!$C$3),(D14-D12)))*(12*Summary!$C$3)-(D14-D12))/Summary!C3</f>
        <v>393.04924953026955</v>
      </c>
      <c r="F9" s="41"/>
      <c r="G9" s="47">
        <f>(((-PMT((Summary!$C$2%/12),(12*Summary!$C$3),(F14-F12)))*(12*Summary!$C$3)-(F14-F12))/Summary!C3)+E9</f>
        <v>1717.2932107495099</v>
      </c>
      <c r="H9" s="41"/>
      <c r="I9" s="42">
        <f>(((-PMT((Summary!$C$2%/12),(12*Summary!$C$3),(H14-H12)))*(12*Summary!$C$3)-(H14-H12))/Summary!C3)+G9</f>
        <v>3976.7638903793008</v>
      </c>
      <c r="J9" s="41"/>
      <c r="K9" s="42">
        <f>(((-PMT((Summary!$C$2%/12),(12*Summary!$C$3),(J14-J12)))*(12*Summary!$C$3)-(J14-J12))/Summary!C3)+I9</f>
        <v>4205.3358279986187</v>
      </c>
      <c r="L9" s="41"/>
      <c r="M9" s="42">
        <f>(((-PMT((Summary!$C$2%/12),(12*Summary!$C$3),(L14-L12)))*(12*Summary!$C$3)-(L14-L12))/Summary!C3)+K9</f>
        <v>4472.0030885544902</v>
      </c>
      <c r="N9" s="41"/>
      <c r="O9" s="42">
        <f>(((-PMT((Summary!$C$2%/12),(12*Summary!$C$3),(N14-N12)))*(12*Summary!$C$3)-(N14-N12))/Summary!C3)+M9</f>
        <v>4738.6703491103617</v>
      </c>
      <c r="P9" s="41"/>
      <c r="Q9" s="42">
        <f>(((-PMT((Summary!$C$2%/12),(12*Summary!$C$3),(P14-P12)))*(12*Summary!$C$3)-(P14-P12))/Summary!C3)+O9</f>
        <v>4738.6703491103617</v>
      </c>
      <c r="R9" s="41"/>
      <c r="S9" s="42">
        <f>Q9</f>
        <v>4738.6703491103617</v>
      </c>
      <c r="T9" s="41"/>
      <c r="U9" s="42">
        <f>S9</f>
        <v>4738.6703491103617</v>
      </c>
      <c r="V9" s="41"/>
      <c r="W9" s="42">
        <f>U9</f>
        <v>4738.6703491103617</v>
      </c>
      <c r="X9" s="41"/>
      <c r="Y9" s="42">
        <f>W9</f>
        <v>4738.6703491103617</v>
      </c>
      <c r="Z9" s="41"/>
      <c r="AA9" s="42">
        <f>Y9</f>
        <v>4738.6703491103617</v>
      </c>
    </row>
    <row r="10" spans="1:27" x14ac:dyDescent="0.25">
      <c r="A10" s="52" t="s">
        <v>119</v>
      </c>
      <c r="B10" s="44" t="s">
        <v>33</v>
      </c>
      <c r="C10" s="45" t="s">
        <v>34</v>
      </c>
      <c r="D10" s="41"/>
      <c r="E10" s="42"/>
      <c r="F10" s="55"/>
      <c r="G10" s="53"/>
      <c r="H10" s="56"/>
      <c r="I10" s="57">
        <f>(Pricing!C7*0.01*((904.29+800)*1.1017)*(1+Summary!$C$10))</f>
        <v>262.86628101999997</v>
      </c>
      <c r="J10" s="55"/>
      <c r="K10" s="57">
        <f>((Pricing!C7+Pricing!D7)*0.01*(((904.29+800)*1.1017)*1.025)*(1+Summary!$C$10))</f>
        <v>577.36701009749981</v>
      </c>
      <c r="L10" s="55"/>
      <c r="M10" s="57">
        <f>((Pricing!C7+Pricing!D7+Pricing!E7)*0.01*(((904.29+800)*1.1017)*1.025*1.025)*(1+Summary!$C$10))</f>
        <v>907.4284842032373</v>
      </c>
      <c r="N10" s="55"/>
      <c r="O10" s="57">
        <f>((Pricing!C7+Pricing!D7+Pricing!E7+Pricing!F7)*0.01*(((904.29+800)*1.1017)*1.025*1.025*1.025)*(1+Summary!$C$10))</f>
        <v>1172.7526823017922</v>
      </c>
      <c r="P10" s="55"/>
      <c r="Q10" s="57">
        <f>((Pricing!C7+Pricing!D7+Pricing!E7+Pricing!F7+Pricing!G7)*0.01*(((904.29+800)*1.1017)*1.025*1.025*1.025*1.025)*(1+Summary!$C$10))</f>
        <v>1492.2266888598667</v>
      </c>
      <c r="R10" s="55"/>
      <c r="S10" s="57">
        <f>((Pricing!C7+Pricing!D7+Pricing!E7+Pricing!F7+Pricing!G7+Pricing!H7)*0.01*(((904.29+800)*1.1017)*1.025*1.025*1.025*1.025*1.025)*(1+Summary!$C$10))</f>
        <v>1826.9414253194061</v>
      </c>
      <c r="T10" s="55"/>
      <c r="U10" s="57">
        <f>((Pricing!C7+Pricing!D7+Pricing!E7+Pricing!F7+Pricing!G7+Pricing!H7+Pricing!I7)*0.01*(((904.29+800)*1.1017)*1.025*1.025*1.025*1.025*1.025*1.025)*(1+Summary!$C$10))</f>
        <v>1872.6149609523911</v>
      </c>
      <c r="V10" s="55"/>
      <c r="W10" s="57">
        <f>U10*1.025</f>
        <v>1919.4303349762008</v>
      </c>
      <c r="X10" s="55"/>
      <c r="Y10" s="57">
        <f>W10*1.025</f>
        <v>1967.4160933506057</v>
      </c>
      <c r="Z10" s="55"/>
      <c r="AA10" s="57">
        <f>Y10*1.025</f>
        <v>2016.6014956843708</v>
      </c>
    </row>
    <row r="11" spans="1:27" x14ac:dyDescent="0.25">
      <c r="A11" s="52" t="s">
        <v>118</v>
      </c>
      <c r="B11" s="44" t="s">
        <v>38</v>
      </c>
      <c r="C11" s="45" t="s">
        <v>39</v>
      </c>
      <c r="D11" s="59"/>
      <c r="E11" s="60"/>
      <c r="F11" s="56"/>
      <c r="G11" s="60">
        <f>(Pricing!C7*0.01*(200*4)*(1+Summary!$C$10))</f>
        <v>112.00000000000001</v>
      </c>
      <c r="H11" s="56"/>
      <c r="I11" s="60">
        <f>((Pricing!C7+Pricing!D7)*0.01*(200*4*1.025)*(1+Summary!$C$10))</f>
        <v>245.99999999999994</v>
      </c>
      <c r="J11" s="56"/>
      <c r="K11" s="60">
        <f>((Pricing!C7+Pricing!D7+Pricing!E7)*0.01*(200*4*1.025*1.025)*(1+Summary!$C$10))</f>
        <v>386.62999999999994</v>
      </c>
      <c r="L11" s="56"/>
      <c r="M11" s="60">
        <f>((Pricing!C7+Pricing!D7+Pricing!E7+Pricing!F7)*0.01*(200*4*1.025*1.025*1.025)*(1+Summary!$C$10))</f>
        <v>499.67724999999979</v>
      </c>
      <c r="N11" s="56"/>
      <c r="O11" s="60">
        <f>((Pricing!C7+Pricing!D7+Pricing!E7+Pricing!F7+Pricing!G7)*0.01*(200*4*1.025*1.025*1.025*1.025)*(1+Summary!$C$10))</f>
        <v>635.79622499999971</v>
      </c>
      <c r="P11" s="56"/>
      <c r="Q11" s="60">
        <f>((Pricing!C7+Pricing!D7+Pricing!E7+Pricing!F7+Pricing!G7+Pricing!H7)*0.01*(200*4*1.025*1.025*1.025*1.025*1.025)*(1+Summary!$C$10))</f>
        <v>778.40885046874962</v>
      </c>
      <c r="R11" s="56"/>
      <c r="S11" s="60">
        <f>((Pricing!C7+Pricing!D7+Pricing!E7+Pricing!F7+Pricing!G7+Pricing!H7+Pricing!I7)*0.01*(200*4*1.025*1.025*1.025*1.025*1.025*1.025)*(1+Summary!$C$10))</f>
        <v>797.86907173046825</v>
      </c>
      <c r="T11" s="56"/>
      <c r="U11" s="60">
        <f>S11*1.025</f>
        <v>817.81579852372988</v>
      </c>
      <c r="V11" s="56"/>
      <c r="W11" s="60">
        <f>U11*1.025</f>
        <v>838.261193486823</v>
      </c>
      <c r="X11" s="56"/>
      <c r="Y11" s="60">
        <f>W11*1.025</f>
        <v>859.21772332399348</v>
      </c>
      <c r="Z11" s="56"/>
      <c r="AA11" s="60">
        <f>Y11*1.025</f>
        <v>880.69816640709325</v>
      </c>
    </row>
    <row r="12" spans="1:27" x14ac:dyDescent="0.25">
      <c r="A12" s="61">
        <v>0.02</v>
      </c>
      <c r="B12" s="39"/>
      <c r="C12" s="40"/>
      <c r="D12" s="41">
        <f>SUM(D5:D11)*Summary!$C$8</f>
        <v>1027.8894051</v>
      </c>
      <c r="E12" s="42">
        <f>SUM(E5:E11)*Summary!$C$8</f>
        <v>19.652462476513477</v>
      </c>
      <c r="F12" s="41">
        <f>SUM(F5:F11)*Summary!$C$8</f>
        <v>3463.1190343999997</v>
      </c>
      <c r="G12" s="42">
        <f>SUM(G5:G11)*Summary!$C$8</f>
        <v>488.07666053747545</v>
      </c>
      <c r="H12" s="41">
        <f>SUM(H5:H11)*Summary!$C$8</f>
        <v>5908.8930344</v>
      </c>
      <c r="I12" s="42">
        <f>SUM(I5:I11)*Summary!$C$8</f>
        <v>2174.2905085699645</v>
      </c>
      <c r="J12" s="41">
        <f>SUM(J5:J11)*Summary!$C$8</f>
        <v>597.75377579999997</v>
      </c>
      <c r="K12" s="42">
        <f>SUM(K5:K11)*Summary!$C$8</f>
        <v>2247.4758219048058</v>
      </c>
      <c r="L12" s="41">
        <f>SUM(L5:L11)*Summary!$C$8</f>
        <v>697.37940509999999</v>
      </c>
      <c r="M12" s="42">
        <f>SUM(M5:M11)*Summary!$C$8</f>
        <v>2322.7448047378866</v>
      </c>
      <c r="N12" s="41">
        <f>SUM(N5:N11)*Summary!$C$8</f>
        <v>697.37940509999999</v>
      </c>
      <c r="O12" s="42">
        <f>SUM(O5:O11)*Summary!$C$8</f>
        <v>2396.7261136926077</v>
      </c>
      <c r="P12" s="41">
        <f>SUM(P5:P11)*Summary!$C$8</f>
        <v>0</v>
      </c>
      <c r="Q12" s="42">
        <f>SUM(Q5:Q11)*Summary!$C$8</f>
        <v>2461.2177483113887</v>
      </c>
      <c r="R12" s="41">
        <f>SUM(R5:R11)*Summary!$C$8</f>
        <v>0</v>
      </c>
      <c r="S12" s="42">
        <f>SUM(S5:S11)*Summary!$C$8</f>
        <v>2521.1415452752408</v>
      </c>
      <c r="T12" s="41">
        <f>SUM(T5:T11)*Summary!$C$8</f>
        <v>0</v>
      </c>
      <c r="U12" s="42">
        <f>SUM(U5:U11)*Summary!$C$8</f>
        <v>2567.4819084558976</v>
      </c>
      <c r="V12" s="41">
        <f>SUM(V5:V11)*Summary!$C$8</f>
        <v>0</v>
      </c>
      <c r="W12" s="42">
        <f>SUM(W5:W11)*Summary!$C$8</f>
        <v>2614.7654839657739</v>
      </c>
      <c r="X12" s="41">
        <f>SUM(X5:X11)*Summary!$C$8</f>
        <v>0</v>
      </c>
      <c r="Y12" s="42">
        <f>SUM(Y5:Y11)*Summary!$C$8</f>
        <v>2663.0115461780952</v>
      </c>
      <c r="Z12" s="41">
        <f>SUM(Z5:Z11)*Summary!$C$8</f>
        <v>0</v>
      </c>
      <c r="AA12" s="42">
        <f>SUM(AA5:AA11)*Summary!$C$8</f>
        <v>2712.2397652067148</v>
      </c>
    </row>
    <row r="13" spans="1:27" x14ac:dyDescent="0.25">
      <c r="A13" s="52"/>
      <c r="B13" s="39"/>
      <c r="C13" s="40"/>
      <c r="D13" s="41"/>
      <c r="E13" s="42"/>
      <c r="F13" s="41"/>
      <c r="G13" s="42"/>
      <c r="H13" s="41"/>
      <c r="I13" s="42"/>
      <c r="J13" s="41"/>
      <c r="K13" s="42"/>
      <c r="L13" s="41"/>
      <c r="M13" s="42"/>
      <c r="N13" s="41"/>
      <c r="O13" s="42"/>
      <c r="P13" s="41"/>
      <c r="Q13" s="42"/>
      <c r="R13" s="41"/>
      <c r="S13" s="42"/>
      <c r="T13" s="41"/>
      <c r="U13" s="42"/>
      <c r="V13" s="41"/>
      <c r="W13" s="42"/>
      <c r="X13" s="41"/>
      <c r="Y13" s="42"/>
      <c r="Z13" s="41"/>
      <c r="AA13" s="42"/>
    </row>
    <row r="14" spans="1:27" x14ac:dyDescent="0.25">
      <c r="A14" s="62" t="s">
        <v>40</v>
      </c>
      <c r="B14" s="63"/>
      <c r="C14" s="64"/>
      <c r="D14" s="65">
        <f t="shared" ref="D14:AA14" si="0">SUM(D5:D12)</f>
        <v>21585.677507099997</v>
      </c>
      <c r="E14" s="66">
        <f t="shared" si="0"/>
        <v>412.70171200678305</v>
      </c>
      <c r="F14" s="65">
        <f t="shared" si="0"/>
        <v>72725.499722399996</v>
      </c>
      <c r="G14" s="66">
        <f t="shared" si="0"/>
        <v>10249.609871286984</v>
      </c>
      <c r="H14" s="65">
        <f t="shared" si="0"/>
        <v>124086.7537224</v>
      </c>
      <c r="I14" s="66">
        <f t="shared" si="0"/>
        <v>45660.100679969255</v>
      </c>
      <c r="J14" s="65">
        <f t="shared" si="0"/>
        <v>12552.829291799999</v>
      </c>
      <c r="K14" s="66">
        <f t="shared" si="0"/>
        <v>47196.992260000923</v>
      </c>
      <c r="L14" s="65">
        <f t="shared" si="0"/>
        <v>14644.967507099998</v>
      </c>
      <c r="M14" s="66">
        <f t="shared" si="0"/>
        <v>48777.640899495615</v>
      </c>
      <c r="N14" s="65">
        <f t="shared" si="0"/>
        <v>14644.967507099998</v>
      </c>
      <c r="O14" s="66">
        <f t="shared" si="0"/>
        <v>50331.248387544758</v>
      </c>
      <c r="P14" s="65">
        <f t="shared" si="0"/>
        <v>0</v>
      </c>
      <c r="Q14" s="66">
        <f t="shared" si="0"/>
        <v>51685.572714539165</v>
      </c>
      <c r="R14" s="65">
        <f t="shared" si="0"/>
        <v>0</v>
      </c>
      <c r="S14" s="66">
        <f t="shared" si="0"/>
        <v>52943.972450780049</v>
      </c>
      <c r="T14" s="65">
        <f t="shared" si="0"/>
        <v>0</v>
      </c>
      <c r="U14" s="66">
        <f t="shared" si="0"/>
        <v>53917.120077573847</v>
      </c>
      <c r="V14" s="65">
        <f t="shared" si="0"/>
        <v>0</v>
      </c>
      <c r="W14" s="66">
        <f t="shared" si="0"/>
        <v>54910.075163281253</v>
      </c>
      <c r="X14" s="65">
        <f t="shared" si="0"/>
        <v>0</v>
      </c>
      <c r="Y14" s="66">
        <f t="shared" si="0"/>
        <v>55923.242469739991</v>
      </c>
      <c r="Z14" s="65">
        <f t="shared" si="0"/>
        <v>0</v>
      </c>
      <c r="AA14" s="66">
        <f t="shared" si="0"/>
        <v>56957.035069341007</v>
      </c>
    </row>
    <row r="15" spans="1:27" ht="15.75" x14ac:dyDescent="0.25">
      <c r="A15" s="52"/>
      <c r="B15" s="39"/>
      <c r="C15" s="40"/>
      <c r="D15" s="41"/>
      <c r="E15" s="42"/>
      <c r="F15" s="54"/>
      <c r="G15" s="58"/>
      <c r="H15" s="54"/>
      <c r="I15" s="51"/>
      <c r="J15" s="54"/>
      <c r="K15" s="51"/>
      <c r="L15" s="54"/>
      <c r="M15" s="51"/>
      <c r="N15" s="54"/>
      <c r="O15" s="58"/>
      <c r="P15" s="54"/>
      <c r="Q15" s="51"/>
      <c r="R15" s="54"/>
      <c r="S15" s="51"/>
      <c r="T15" s="54"/>
      <c r="U15" s="51"/>
      <c r="V15" s="54"/>
      <c r="W15" s="58"/>
      <c r="X15" s="54"/>
      <c r="Y15" s="51"/>
      <c r="Z15" s="54"/>
      <c r="AA15" s="51"/>
    </row>
    <row r="16" spans="1:27" ht="15.75" x14ac:dyDescent="0.25">
      <c r="A16" s="67" t="s">
        <v>88</v>
      </c>
      <c r="B16" s="68"/>
      <c r="C16" s="69"/>
      <c r="D16" s="70"/>
      <c r="E16" s="71"/>
      <c r="F16" s="70"/>
      <c r="G16" s="71"/>
      <c r="H16" s="70"/>
      <c r="I16" s="72"/>
      <c r="J16" s="70"/>
      <c r="K16" s="72"/>
      <c r="L16" s="70"/>
      <c r="M16" s="72"/>
      <c r="N16" s="70"/>
      <c r="O16" s="71"/>
      <c r="P16" s="70"/>
      <c r="Q16" s="72"/>
      <c r="R16" s="70"/>
      <c r="S16" s="72"/>
      <c r="T16" s="70"/>
      <c r="U16" s="72"/>
      <c r="V16" s="70"/>
      <c r="W16" s="71"/>
      <c r="X16" s="70"/>
      <c r="Y16" s="72"/>
      <c r="Z16" s="70"/>
      <c r="AA16" s="72"/>
    </row>
    <row r="17" spans="1:27" x14ac:dyDescent="0.25">
      <c r="A17" s="38" t="s">
        <v>88</v>
      </c>
      <c r="B17" s="39"/>
      <c r="C17" s="40"/>
      <c r="D17" s="41"/>
      <c r="E17" s="42"/>
      <c r="F17" s="41"/>
      <c r="G17" s="42"/>
      <c r="H17" s="41"/>
      <c r="I17" s="42"/>
      <c r="J17" s="41"/>
      <c r="K17" s="42"/>
      <c r="L17" s="41"/>
      <c r="M17" s="42"/>
      <c r="N17" s="41"/>
      <c r="O17" s="42"/>
      <c r="P17" s="41"/>
      <c r="Q17" s="42"/>
      <c r="R17" s="41"/>
      <c r="S17" s="42"/>
      <c r="T17" s="41"/>
      <c r="U17" s="42"/>
      <c r="V17" s="41"/>
      <c r="W17" s="42"/>
      <c r="X17" s="41"/>
      <c r="Y17" s="42"/>
      <c r="Z17" s="41"/>
      <c r="AA17" s="42"/>
    </row>
    <row r="18" spans="1:27" x14ac:dyDescent="0.25">
      <c r="A18" s="137" t="s">
        <v>87</v>
      </c>
      <c r="B18" s="44" t="s">
        <v>43</v>
      </c>
      <c r="C18" s="45" t="s">
        <v>42</v>
      </c>
      <c r="D18" s="73">
        <f>Pricing!C11*(1+Summary!$C$10)</f>
        <v>58589.308000000005</v>
      </c>
      <c r="E18" s="42"/>
      <c r="F18" s="41">
        <f>Pricing!D11*(1+Summary!$C$10)</f>
        <v>60054.040699999998</v>
      </c>
      <c r="G18" s="42"/>
      <c r="H18" s="41">
        <f>Pricing!E11*(1+Summary!$C$10)</f>
        <v>61555.391717499995</v>
      </c>
      <c r="I18" s="42"/>
      <c r="J18" s="41">
        <f>Pricing!F11*(1+Summary!$C$10)</f>
        <v>126188.55302087498</v>
      </c>
      <c r="K18" s="42"/>
      <c r="L18" s="41">
        <f>Pricing!G11*(1+Summary!$C$10)</f>
        <v>129343.26684639684</v>
      </c>
      <c r="M18" s="42"/>
      <c r="N18" s="41">
        <f>Pricing!H11*(1+Summary!$C$10)</f>
        <v>132576.84851755676</v>
      </c>
      <c r="O18" s="42"/>
      <c r="P18" s="41">
        <f>Pricing!I11*(1+Summary!$C$10)</f>
        <v>0</v>
      </c>
      <c r="Q18" s="42"/>
      <c r="R18" s="41"/>
      <c r="S18" s="42"/>
      <c r="T18" s="41"/>
      <c r="U18" s="42"/>
      <c r="V18" s="41"/>
      <c r="W18" s="42"/>
      <c r="X18" s="41"/>
      <c r="Y18" s="42"/>
      <c r="Z18" s="41"/>
      <c r="AA18" s="42"/>
    </row>
    <row r="19" spans="1:27" x14ac:dyDescent="0.25">
      <c r="A19" s="136" t="s">
        <v>95</v>
      </c>
      <c r="B19" s="44" t="s">
        <v>44</v>
      </c>
      <c r="C19" s="45" t="s">
        <v>42</v>
      </c>
      <c r="D19" s="73">
        <f>Pricing!C19*(1+Summary!$C$10)</f>
        <v>50000</v>
      </c>
      <c r="E19" s="42"/>
      <c r="F19" s="41">
        <f>Pricing!D19*(1+Summary!$C$10)</f>
        <v>51249.999999999993</v>
      </c>
      <c r="G19" s="42"/>
      <c r="H19" s="41">
        <f>Pricing!E19*(1+Summary!$C$10)</f>
        <v>52531.249999999985</v>
      </c>
      <c r="I19" s="42"/>
      <c r="J19" s="41">
        <f>Pricing!F19*(1+Summary!$C$10)</f>
        <v>107689.06249999996</v>
      </c>
      <c r="K19" s="42"/>
      <c r="L19" s="41">
        <f>Pricing!G19*(1+Summary!$C$10)</f>
        <v>110381.28906249994</v>
      </c>
      <c r="M19" s="42"/>
      <c r="N19" s="41">
        <f>Pricing!H19*(1+Summary!$C$10)</f>
        <v>113140.82128906243</v>
      </c>
      <c r="O19" s="42"/>
      <c r="P19" s="41">
        <f>Pricing!I19*(1+Summary!$C$10)</f>
        <v>0</v>
      </c>
      <c r="Q19" s="42"/>
      <c r="R19" s="41"/>
      <c r="S19" s="42"/>
      <c r="T19" s="41"/>
      <c r="U19" s="42"/>
      <c r="V19" s="41"/>
      <c r="W19" s="42"/>
      <c r="X19" s="41"/>
      <c r="Y19" s="42"/>
      <c r="Z19" s="41"/>
      <c r="AA19" s="42"/>
    </row>
    <row r="20" spans="1:27" x14ac:dyDescent="0.25">
      <c r="A20" s="136" t="s">
        <v>96</v>
      </c>
      <c r="B20" s="44" t="s">
        <v>43</v>
      </c>
      <c r="C20" s="45" t="s">
        <v>42</v>
      </c>
      <c r="D20" s="73"/>
      <c r="E20" s="42"/>
      <c r="F20" s="41"/>
      <c r="G20" s="42"/>
      <c r="H20" s="41"/>
      <c r="I20" s="42">
        <f>(Pricing!C3*0.01*((Pricing!T3+5000)*1.1017)*(1+Summary!$C$10))</f>
        <v>755.64840623600003</v>
      </c>
      <c r="J20" s="41"/>
      <c r="K20" s="42">
        <f>((Pricing!C3+Pricing!D3)*0.01*((((Pricing!T3+5000)*1.1017)*1.025)*(1+Summary!$C$10)))</f>
        <v>1549.0792327837999</v>
      </c>
      <c r="L20" s="41"/>
      <c r="M20" s="42">
        <f>((Pricing!C3+Pricing!D3+Pricing!E3)*0.01*(((Pricing!T3+5000)*1.1017)*1.025*1.025)*(1+Summary!$C$10))</f>
        <v>2381.7093204050916</v>
      </c>
      <c r="N20" s="41"/>
      <c r="O20" s="42">
        <f>((Pricing!C3+Pricing!D3+Pricing!E3+Pricing!F3)*0.01*(((Pricing!T3+5000)*1.1017)*1.025*1.025*1.025)*(1+Summary!$C$10))</f>
        <v>4068.7534223586986</v>
      </c>
      <c r="P20" s="41"/>
      <c r="Q20" s="42">
        <f>((Pricing!C3+Pricing!D3+Pricing!E3+Pricing!F3+Pricing!G3)*0.01*(((Pricing!T3+5000)*1.1017)*1.025*1.025*1.025*1.025)*(1+Summary!$C$10))</f>
        <v>5838.6611610847322</v>
      </c>
      <c r="R20" s="41"/>
      <c r="S20" s="42">
        <f>((Pricing!C3+Pricing!D3+Pricing!E3+Pricing!F3+Pricing!G3+Pricing!H3)*0.01*(((Pricing!T3+5000)*1.1017)*1.025*1.025*1.025*1.025*1.025)*(1+Summary!$C$10))</f>
        <v>7694.5213158580918</v>
      </c>
      <c r="T20" s="41"/>
      <c r="U20" s="42">
        <f>((Pricing!C3+Pricing!D3+Pricing!E3+Pricing!F3+Pricing!G3+Pricing!H3+Pricing!I3)*0.01*(((Pricing!T3+5000)*1.1017)*1.025*1.025*1.025*1.025*1.025*1.025)*(1+Summary!$C$10))</f>
        <v>7886.8843487545437</v>
      </c>
      <c r="V20" s="41"/>
      <c r="W20" s="57">
        <f>U20*1.025</f>
        <v>8084.0564574734062</v>
      </c>
      <c r="X20" s="41"/>
      <c r="Y20" s="57">
        <f>W20*1.025</f>
        <v>8286.1578689102407</v>
      </c>
      <c r="Z20" s="41"/>
      <c r="AA20" s="57">
        <f>Y20*1.025</f>
        <v>8493.3118156329965</v>
      </c>
    </row>
    <row r="21" spans="1:27" x14ac:dyDescent="0.25">
      <c r="A21" s="137" t="s">
        <v>92</v>
      </c>
      <c r="B21" s="44" t="s">
        <v>43</v>
      </c>
      <c r="C21" s="45" t="s">
        <v>42</v>
      </c>
      <c r="D21" s="73">
        <f>Pricing!C12*(1+Summary!$C$10)</f>
        <v>0</v>
      </c>
      <c r="E21" s="42"/>
      <c r="F21" s="41">
        <f>Pricing!D12*(1+Summary!$C$10)</f>
        <v>20157.972874999999</v>
      </c>
      <c r="G21" s="42"/>
      <c r="H21" s="41">
        <f>Pricing!E12*(1+Summary!$C$10)</f>
        <v>41323.844393749998</v>
      </c>
      <c r="I21" s="42"/>
      <c r="J21" s="41">
        <f>Pricing!F12*(1+Summary!$C$10)</f>
        <v>42356.940503593745</v>
      </c>
      <c r="K21" s="42"/>
      <c r="L21" s="41">
        <f>Pricing!G12*(1+Summary!$C$10)</f>
        <v>65123.796024275369</v>
      </c>
      <c r="M21" s="42"/>
      <c r="N21" s="41">
        <f>Pricing!H12*(1+Summary!$C$10)</f>
        <v>66751.890924882246</v>
      </c>
      <c r="O21" s="42"/>
      <c r="P21" s="41">
        <f>Pricing!I12*(1+Summary!$C$10)</f>
        <v>0</v>
      </c>
      <c r="Q21" s="42"/>
      <c r="R21" s="41"/>
      <c r="S21" s="42"/>
      <c r="T21" s="41"/>
      <c r="U21" s="42"/>
      <c r="V21" s="41"/>
      <c r="W21" s="42"/>
      <c r="X21" s="41"/>
      <c r="Y21" s="42"/>
      <c r="Z21" s="41"/>
      <c r="AA21" s="42"/>
    </row>
    <row r="22" spans="1:27" x14ac:dyDescent="0.25">
      <c r="A22" s="136" t="s">
        <v>95</v>
      </c>
      <c r="B22" s="44" t="s">
        <v>44</v>
      </c>
      <c r="C22" s="45" t="s">
        <v>42</v>
      </c>
      <c r="D22" s="73">
        <f>Pricing!C20*(1+Summary!$C$10)</f>
        <v>0</v>
      </c>
      <c r="E22" s="42"/>
      <c r="F22" s="41">
        <f>Pricing!D20*(1+Summary!$C$10)</f>
        <v>15374.999999999998</v>
      </c>
      <c r="G22" s="42"/>
      <c r="H22" s="41">
        <f>Pricing!E20*(1+Summary!$C$10)</f>
        <v>31518.749999999993</v>
      </c>
      <c r="I22" s="42"/>
      <c r="J22" s="41">
        <f>Pricing!F20*(1+Summary!$C$10)</f>
        <v>32306.718749999989</v>
      </c>
      <c r="K22" s="42"/>
      <c r="L22" s="41">
        <f>Pricing!G20*(1+Summary!$C$10)</f>
        <v>49671.580078124971</v>
      </c>
      <c r="M22" s="42"/>
      <c r="N22" s="41">
        <f>Pricing!H20*(1+Summary!$C$10)</f>
        <v>50913.369580078092</v>
      </c>
      <c r="O22" s="42"/>
      <c r="P22" s="41">
        <f>Pricing!I20*(1+Summary!$C$10)</f>
        <v>0</v>
      </c>
      <c r="Q22" s="42"/>
      <c r="R22" s="41"/>
      <c r="S22" s="42"/>
      <c r="T22" s="41"/>
      <c r="U22" s="42"/>
      <c r="V22" s="41"/>
      <c r="W22" s="42"/>
      <c r="X22" s="41"/>
      <c r="Y22" s="42"/>
      <c r="Z22" s="41"/>
      <c r="AA22" s="42"/>
    </row>
    <row r="23" spans="1:27" x14ac:dyDescent="0.25">
      <c r="A23" s="136" t="s">
        <v>96</v>
      </c>
      <c r="B23" s="44" t="s">
        <v>43</v>
      </c>
      <c r="C23" s="45" t="s">
        <v>42</v>
      </c>
      <c r="D23" s="73"/>
      <c r="E23" s="42"/>
      <c r="F23" s="41"/>
      <c r="G23" s="42"/>
      <c r="H23" s="41"/>
      <c r="I23" s="42">
        <f>(Pricing!C4*0.01*((Pricing!T4+2000)*1.1017)*(1+Summary!$C$10))</f>
        <v>0</v>
      </c>
      <c r="J23" s="41"/>
      <c r="K23" s="42">
        <f>((Pricing!C4+Pricing!D4)*0.01*((((Pricing!T4+2000)*1.1017)*1.025)*(1+Summary!$C$10)))</f>
        <v>267.25008716387498</v>
      </c>
      <c r="L23" s="41"/>
      <c r="M23" s="42">
        <f>((Pricing!C4+Pricing!D4+Pricing!E4)*0.01*(((Pricing!T4+2000)*1.1017)*1.025*1.025)*(1+Summary!$C$10))</f>
        <v>821.79401802891539</v>
      </c>
      <c r="N23" s="41"/>
      <c r="O23" s="42">
        <f>((Pricing!C4+Pricing!D4+Pricing!E4+Pricing!F4)*0.01*(((Pricing!T4+2000)*1.1017)*1.025*1.025*1.025)*(1+Summary!$C$10))</f>
        <v>1403.8981141327304</v>
      </c>
      <c r="P23" s="41"/>
      <c r="Q23" s="42">
        <f>((Pricing!C4+Pricing!D4+Pricing!E4+Pricing!F4+Pricing!G4)*0.01*(((Pricing!T4+2000)*1.1017)*1.025*1.025*1.025*1.025)*(1+Summary!$C$10))</f>
        <v>2302.3929071776774</v>
      </c>
      <c r="R23" s="41"/>
      <c r="S23" s="42">
        <f>((Pricing!C4+Pricing!D4+Pricing!E4+Pricing!F4+Pricing!G4+Pricing!H4)*0.01*(((Pricing!T4+2000)*1.1017)*1.025*1.025*1.025*1.025*1.025)*(1+Summary!$C$10))</f>
        <v>3244.935003553539</v>
      </c>
      <c r="T23" s="41"/>
      <c r="U23" s="42">
        <f>((Pricing!C4+Pricing!D4+Pricing!E4+Pricing!F4+Pricing!G4+Pricing!H4+Pricing!I4)*0.01*(((Pricing!T4+2000)*1.1017)*1.025*1.025*1.025*1.025*1.025*1.025)*(1+Summary!$C$10))</f>
        <v>3326.0583786423772</v>
      </c>
      <c r="V23" s="41"/>
      <c r="W23" s="57">
        <f>U23*1.025</f>
        <v>3409.2098381084365</v>
      </c>
      <c r="X23" s="41"/>
      <c r="Y23" s="57">
        <f>W23*1.025</f>
        <v>3494.440084061147</v>
      </c>
      <c r="Z23" s="41"/>
      <c r="AA23" s="57">
        <f>Y23*1.025</f>
        <v>3581.8010861626753</v>
      </c>
    </row>
    <row r="24" spans="1:27" x14ac:dyDescent="0.25">
      <c r="A24" s="137" t="s">
        <v>429</v>
      </c>
      <c r="B24" s="44" t="s">
        <v>43</v>
      </c>
      <c r="C24" s="45" t="s">
        <v>42</v>
      </c>
      <c r="D24" s="73">
        <f>Pricing!C13*(1+Summary!$C$10)</f>
        <v>0</v>
      </c>
      <c r="E24" s="42"/>
      <c r="F24" s="41">
        <f>Pricing!D13*(1+Summary!$C$10)</f>
        <v>0</v>
      </c>
      <c r="G24" s="42"/>
      <c r="H24" s="41">
        <f>Pricing!E13*(1+Summary!$C$10)</f>
        <v>0</v>
      </c>
      <c r="I24" s="42"/>
      <c r="J24" s="41">
        <f>Pricing!F13*(1+Summary!$C$10)</f>
        <v>0</v>
      </c>
      <c r="K24" s="42"/>
      <c r="L24" s="41">
        <f>Pricing!G13*(1+Summary!$C$10)</f>
        <v>0</v>
      </c>
      <c r="M24" s="42"/>
      <c r="N24" s="41">
        <f>Pricing!H13*(1+Summary!$C$10)</f>
        <v>0</v>
      </c>
      <c r="O24" s="42"/>
      <c r="P24" s="41">
        <f>Pricing!I13*(1+Summary!$C$10)</f>
        <v>0</v>
      </c>
      <c r="Q24" s="42"/>
      <c r="R24" s="41"/>
      <c r="S24" s="42"/>
      <c r="T24" s="41"/>
      <c r="U24" s="42"/>
      <c r="V24" s="41"/>
      <c r="W24" s="42"/>
      <c r="X24" s="41"/>
      <c r="Y24" s="42"/>
      <c r="Z24" s="41"/>
      <c r="AA24" s="42"/>
    </row>
    <row r="25" spans="1:27" x14ac:dyDescent="0.25">
      <c r="A25" s="136" t="s">
        <v>95</v>
      </c>
      <c r="B25" s="44" t="s">
        <v>44</v>
      </c>
      <c r="C25" s="45" t="s">
        <v>42</v>
      </c>
      <c r="D25" s="73">
        <f>Pricing!C21*(1+Summary!$C$10)</f>
        <v>12000</v>
      </c>
      <c r="E25" s="42"/>
      <c r="F25" s="41">
        <f>Pricing!D21*(1+Summary!$C$10)</f>
        <v>12299.999999999998</v>
      </c>
      <c r="G25" s="42"/>
      <c r="H25" s="41">
        <f>Pricing!E21*(1+Summary!$C$10)</f>
        <v>15759.374999999996</v>
      </c>
      <c r="I25" s="42"/>
      <c r="J25" s="41">
        <f>Pricing!F21*(1+Summary!$C$10)</f>
        <v>0</v>
      </c>
      <c r="K25" s="42"/>
      <c r="L25" s="41">
        <f>Pricing!G21*(1+Summary!$C$10)</f>
        <v>0</v>
      </c>
      <c r="M25" s="42"/>
      <c r="N25" s="41">
        <f>Pricing!H21*(1+Summary!$C$10)</f>
        <v>0</v>
      </c>
      <c r="O25" s="42"/>
      <c r="P25" s="41">
        <f>Pricing!I21*(1+Summary!$C$10)</f>
        <v>0</v>
      </c>
      <c r="Q25" s="42"/>
      <c r="R25" s="41"/>
      <c r="S25" s="42"/>
      <c r="T25" s="41"/>
      <c r="U25" s="42"/>
      <c r="V25" s="41"/>
      <c r="W25" s="42"/>
      <c r="X25" s="41"/>
      <c r="Y25" s="42"/>
      <c r="Z25" s="41"/>
      <c r="AA25" s="42"/>
    </row>
    <row r="26" spans="1:27" x14ac:dyDescent="0.25">
      <c r="A26" s="136" t="s">
        <v>96</v>
      </c>
      <c r="B26" s="44" t="s">
        <v>43</v>
      </c>
      <c r="C26" s="45" t="s">
        <v>42</v>
      </c>
      <c r="D26" s="73"/>
      <c r="E26" s="42"/>
      <c r="F26" s="41"/>
      <c r="G26" s="42"/>
      <c r="H26" s="41"/>
      <c r="I26" s="42">
        <f>(Pricing!C5*0.01*((Pricing!T5+5000)*1.1017)*(1+Summary!$C$10))</f>
        <v>3181.4068528400003</v>
      </c>
      <c r="J26" s="41"/>
      <c r="K26" s="42">
        <f>((Pricing!C5+Pricing!D5)*0.01*((((Pricing!T5+5000)*1.1017)*1.025)*(1+Summary!$C$10)))</f>
        <v>6521.8840483219992</v>
      </c>
      <c r="L26" s="41"/>
      <c r="M26" s="42">
        <f>((Pricing!C5+Pricing!D5+Pricing!E5)*0.01*(((Pricing!T3+5000)*1.1017)*1.025*1.025)*(1+Summary!$C$10))</f>
        <v>10320.740388422066</v>
      </c>
      <c r="N26" s="41"/>
      <c r="O26" s="42">
        <f>((Pricing!C5+Pricing!D5+Pricing!E5+Pricing!F5)*0.01*(((Pricing!T3+5000)*1.1017)*1.025*1.025*1.025)*(1+Summary!$C$10))</f>
        <v>10578.758898132615</v>
      </c>
      <c r="P26" s="41"/>
      <c r="Q26" s="42">
        <f>((Pricing!C5+Pricing!D5+Pricing!E5+Pricing!F5+Pricing!G5)*0.01*(((Pricing!T3+5000)*1.1017)*1.025*1.025*1.025*1.025)*(1+Summary!$C$10))</f>
        <v>10843.22787058593</v>
      </c>
      <c r="R26" s="41"/>
      <c r="S26" s="42">
        <f>((Pricing!C5+Pricing!D5+Pricing!E5+Pricing!F5+Pricing!G5+Pricing!H5)*0.01*(((Pricing!T3+5000)*1.1017)*1.025*1.025*1.025*1.025*1.025)*(1+Summary!$C$10))</f>
        <v>11114.308567350578</v>
      </c>
      <c r="T26" s="41"/>
      <c r="U26" s="42">
        <f>((Pricing!C5+Pricing!D5+Pricing!E5+Pricing!F5+Pricing!G5+Pricing!H5+Pricing!I5)*0.01*(((Pricing!T3+5000)*1.1017)*1.025*1.025*1.025*1.025*1.025*1.025)*(1+Summary!$C$10))</f>
        <v>11392.166281534342</v>
      </c>
      <c r="V26" s="41"/>
      <c r="W26" s="57">
        <f>U26*1.025</f>
        <v>11676.9704385727</v>
      </c>
      <c r="X26" s="41"/>
      <c r="Y26" s="57">
        <f>W26*1.025</f>
        <v>11968.894699537017</v>
      </c>
      <c r="Z26" s="41"/>
      <c r="AA26" s="57">
        <f>Y26*1.025</f>
        <v>12268.117067025441</v>
      </c>
    </row>
    <row r="27" spans="1:27" x14ac:dyDescent="0.25">
      <c r="A27" s="137" t="s">
        <v>93</v>
      </c>
      <c r="B27" s="44" t="s">
        <v>43</v>
      </c>
      <c r="C27" s="45" t="s">
        <v>42</v>
      </c>
      <c r="D27" s="73">
        <f>Pricing!C14*(1+Summary!$C$10)</f>
        <v>5353.95</v>
      </c>
      <c r="E27" s="42"/>
      <c r="F27" s="41">
        <f>Pricing!D14*(1+Summary!$C$10)</f>
        <v>5487.798749999999</v>
      </c>
      <c r="G27" s="42"/>
      <c r="H27" s="41">
        <f>Pricing!E14*(1+Summary!$C$10)</f>
        <v>0</v>
      </c>
      <c r="I27" s="42"/>
      <c r="J27" s="41">
        <f>Pricing!F14*(1+Summary!$C$10)</f>
        <v>5765.6185617187475</v>
      </c>
      <c r="K27" s="42"/>
      <c r="L27" s="41">
        <f>Pricing!G14*(1+Summary!$C$10)</f>
        <v>5909.7590257617157</v>
      </c>
      <c r="M27" s="42"/>
      <c r="N27" s="41">
        <f>Pricing!H14*(1+Summary!$C$10)</f>
        <v>6057.5030014057584</v>
      </c>
      <c r="O27" s="42"/>
      <c r="P27" s="41">
        <f>Pricing!I14*(1+Summary!$C$10)</f>
        <v>0</v>
      </c>
      <c r="Q27" s="42"/>
      <c r="R27" s="41"/>
      <c r="S27" s="42"/>
      <c r="T27" s="41"/>
      <c r="U27" s="42"/>
      <c r="V27" s="41"/>
      <c r="W27" s="42"/>
      <c r="X27" s="41"/>
      <c r="Y27" s="42"/>
      <c r="Z27" s="41"/>
      <c r="AA27" s="42"/>
    </row>
    <row r="28" spans="1:27" x14ac:dyDescent="0.25">
      <c r="A28" s="136" t="s">
        <v>95</v>
      </c>
      <c r="B28" s="44" t="s">
        <v>44</v>
      </c>
      <c r="C28" s="45" t="s">
        <v>42</v>
      </c>
      <c r="D28" s="73">
        <f>Pricing!C22*(1+Summary!$C$10)</f>
        <v>12000</v>
      </c>
      <c r="E28" s="42"/>
      <c r="F28" s="41">
        <f>Pricing!D22*(1+Summary!$C$10)</f>
        <v>12299.999999999998</v>
      </c>
      <c r="G28" s="42"/>
      <c r="H28" s="41">
        <f>Pricing!E22*(1+Summary!$C$10)</f>
        <v>0</v>
      </c>
      <c r="I28" s="42"/>
      <c r="J28" s="41">
        <f>Pricing!F22*(1+Summary!$C$10)</f>
        <v>12922.687499999995</v>
      </c>
      <c r="K28" s="42"/>
      <c r="L28" s="41">
        <f>Pricing!G22*(1+Summary!$C$10)</f>
        <v>13245.754687499993</v>
      </c>
      <c r="M28" s="42"/>
      <c r="N28" s="41">
        <f>Pricing!H22*(1+Summary!$C$10)</f>
        <v>13576.898554687492</v>
      </c>
      <c r="O28" s="42"/>
      <c r="P28" s="41">
        <f>Pricing!I22*(1+Summary!$C$10)</f>
        <v>0</v>
      </c>
      <c r="Q28" s="42"/>
      <c r="R28" s="41"/>
      <c r="S28" s="42"/>
      <c r="T28" s="41"/>
      <c r="U28" s="42"/>
      <c r="V28" s="41"/>
      <c r="W28" s="42"/>
      <c r="X28" s="41"/>
      <c r="Y28" s="42"/>
      <c r="Z28" s="41"/>
      <c r="AA28" s="42"/>
    </row>
    <row r="29" spans="1:27" x14ac:dyDescent="0.25">
      <c r="A29" s="136" t="s">
        <v>96</v>
      </c>
      <c r="B29" s="44" t="s">
        <v>43</v>
      </c>
      <c r="C29" s="45" t="s">
        <v>42</v>
      </c>
      <c r="D29" s="73"/>
      <c r="E29" s="42"/>
      <c r="F29" s="41"/>
      <c r="G29" s="42"/>
      <c r="H29" s="41"/>
      <c r="I29" s="42">
        <f>(Pricing!C6*0.01*((Pricing!T6+1500)*1.1017)*(1+Summary!$C$10))</f>
        <v>125.08646714999999</v>
      </c>
      <c r="J29" s="41"/>
      <c r="K29" s="42">
        <f>((Pricing!C6+Pricing!D6)*0.01*((((Pricing!T6+1500)*1.1017)*1.025)*(1+Summary!$C$10)))</f>
        <v>256.42725765749992</v>
      </c>
      <c r="L29" s="41"/>
      <c r="M29" s="42">
        <f>((Pricing!C6+Pricing!D6+Pricing!E6)*0.01*(((Pricing!T6+1500)*1.1017)*1.025*1.025)*(1+Summary!$C$10))</f>
        <v>262.83793909893745</v>
      </c>
      <c r="N29" s="41"/>
      <c r="O29" s="42">
        <f>((Pricing!C6+Pricing!D6+Pricing!E6+Pricing!F6)*0.01*(((Pricing!T6+1500)*1.1017)*1.025*1.025*1.025)*(1+Summary!$C$10))</f>
        <v>404.11333136461627</v>
      </c>
      <c r="P29" s="41"/>
      <c r="Q29" s="42">
        <f>((Pricing!C6+Pricing!D6+Pricing!E6+Pricing!F6+Pricing!G6)*0.01*(((Pricing!T6+1500)*1.1017)*1.025*1.025*1.025*1.025)*(1+Summary!$C$10))</f>
        <v>552.2882195316422</v>
      </c>
      <c r="R29" s="41"/>
      <c r="S29" s="42">
        <f>((Pricing!C6+Pricing!D6+Pricing!E6+Pricing!F6+Pricing!G6+Pricing!H6)*0.01*(((Pricing!T6+1500)*1.1017)*1.025*1.025*1.025*1.025*1.025)*(1+Summary!$C$10))</f>
        <v>707.61928127491649</v>
      </c>
      <c r="T29" s="41"/>
      <c r="U29" s="42">
        <f>((Pricing!C6+Pricing!D6+Pricing!E6+Pricing!F6+Pricing!G6+Pricing!H6+Pricing!I6)*0.01*(((Pricing!T6+1500)*1.1017)*1.025*1.025*1.025*1.025*1.025*1.025)*(1+Summary!$C$10))</f>
        <v>725.30976330678936</v>
      </c>
      <c r="V29" s="41"/>
      <c r="W29" s="57">
        <f>U29*1.025</f>
        <v>743.44250738945902</v>
      </c>
      <c r="X29" s="41"/>
      <c r="Y29" s="57">
        <f>W29*1.025</f>
        <v>762.02857007419539</v>
      </c>
      <c r="Z29" s="41"/>
      <c r="AA29" s="57">
        <f>Y29*1.025</f>
        <v>781.07928432605024</v>
      </c>
    </row>
    <row r="30" spans="1:27" x14ac:dyDescent="0.25">
      <c r="A30" s="74" t="s">
        <v>52</v>
      </c>
      <c r="B30" s="44" t="s">
        <v>37</v>
      </c>
      <c r="C30" s="45" t="s">
        <v>78</v>
      </c>
      <c r="D30" s="73"/>
      <c r="E30" s="42">
        <f>((-PMT((Summary!$C$2%/12),(12*Summary!$C$3),(D33-D31)))*(12*Summary!$C$3)-(D33-D31))/Summary!C3</f>
        <v>2637.3700208236737</v>
      </c>
      <c r="F30" s="41"/>
      <c r="G30" s="42">
        <f>(((-PMT((Summary!$C$2%/12),(12*Summary!$C$3),(F33-F31)))*(12*Summary!$C$3)-(F33-F31))/Summary!C3)+E30</f>
        <v>6020.0376678775783</v>
      </c>
      <c r="H30" s="41"/>
      <c r="I30" s="42">
        <f>(((-PMT((Summary!$C$2%/12),(12*Summary!$C$3),(H33-H31)))*(12*Summary!$C$3)-(H33-H31))/Summary!C3)+G30</f>
        <v>9895.2895232977153</v>
      </c>
      <c r="J30" s="41"/>
      <c r="K30" s="42">
        <f>(((-PMT((Summary!$C$2%/12),(12*Summary!$C$3),(J33-J31)))*(12*Summary!$C$3)-(J33-J31))/Summary!C3)+I30</f>
        <v>16151.669856318827</v>
      </c>
      <c r="L30" s="41"/>
      <c r="M30" s="42">
        <f>(((-PMT((Summary!$C$2%/12),(12*Summary!$C$3),(L33-L31)))*(12*Summary!$C$3)-(L33-L31))/Summary!C3)+K30</f>
        <v>23296.059747935527</v>
      </c>
      <c r="N30" s="41"/>
      <c r="O30" s="42">
        <f>(((-PMT((Summary!$C$2%/12),(12*Summary!$C$3),(N33-N31)))*(12*Summary!$C$3)-(N33-N31))/Summary!C3)+M30</f>
        <v>30619.059386842644</v>
      </c>
      <c r="P30" s="41"/>
      <c r="Q30" s="42">
        <f>(((-PMT((Summary!$C$2%/12),(12*Summary!$C$3),(P33-P31)))*(12*Summary!$C$3)-(P33-P31))/Summary!C3)+O30</f>
        <v>30619.059386842644</v>
      </c>
      <c r="R30" s="41"/>
      <c r="S30" s="42">
        <f>Q30</f>
        <v>30619.059386842644</v>
      </c>
      <c r="T30" s="41"/>
      <c r="U30" s="42">
        <f>S30</f>
        <v>30619.059386842644</v>
      </c>
      <c r="V30" s="41"/>
      <c r="W30" s="42">
        <f>U30</f>
        <v>30619.059386842644</v>
      </c>
      <c r="X30" s="41"/>
      <c r="Y30" s="42">
        <f>W30</f>
        <v>30619.059386842644</v>
      </c>
      <c r="Z30" s="41"/>
      <c r="AA30" s="42">
        <f>Y30</f>
        <v>30619.059386842644</v>
      </c>
    </row>
    <row r="31" spans="1:27" x14ac:dyDescent="0.25">
      <c r="A31" s="61">
        <v>0.02</v>
      </c>
      <c r="B31" s="39"/>
      <c r="C31" s="40"/>
      <c r="D31" s="59">
        <f>SUM(D18:D30)*Summary!$C$8</f>
        <v>6897.1629000000003</v>
      </c>
      <c r="E31" s="60">
        <f>SUM(E18:E30)*Summary!$C$8</f>
        <v>131.86850104118369</v>
      </c>
      <c r="F31" s="59">
        <f>SUM(F18:F30)*Summary!$C$8</f>
        <v>8846.2406162499992</v>
      </c>
      <c r="G31" s="60">
        <f>SUM(G18:G30)*Summary!$C$8</f>
        <v>301.00188339387893</v>
      </c>
      <c r="H31" s="59">
        <f>SUM(H18:H30)*Summary!$C$8</f>
        <v>10134.4305555625</v>
      </c>
      <c r="I31" s="60">
        <f>SUM(I18:I30)*Summary!$C$8</f>
        <v>697.87156247618577</v>
      </c>
      <c r="J31" s="59">
        <f>SUM(J18:J30)*Summary!$C$8</f>
        <v>16361.479041809371</v>
      </c>
      <c r="K31" s="60">
        <f>SUM(K18:K30)*Summary!$C$8</f>
        <v>1237.3155241123002</v>
      </c>
      <c r="L31" s="59">
        <f>SUM(L18:L30)*Summary!$C$8</f>
        <v>18683.772286227944</v>
      </c>
      <c r="M31" s="60">
        <f>SUM(M18:M30)*Summary!$C$8</f>
        <v>1854.157070694527</v>
      </c>
      <c r="N31" s="59">
        <f>SUM(N18:N30)*Summary!$C$8</f>
        <v>19150.866593383642</v>
      </c>
      <c r="O31" s="60">
        <f>SUM(O18:O30)*Summary!$C$8</f>
        <v>2353.7291576415651</v>
      </c>
      <c r="P31" s="59">
        <f>SUM(P18:P30)*Summary!$C$8</f>
        <v>0</v>
      </c>
      <c r="Q31" s="60">
        <f>SUM(Q18:Q30)*Summary!$C$8</f>
        <v>2507.7814772611314</v>
      </c>
      <c r="R31" s="59">
        <f>SUM(R18:R30)*Summary!$C$8</f>
        <v>0</v>
      </c>
      <c r="S31" s="60">
        <f>SUM(S18:S30)*Summary!$C$8</f>
        <v>2669.0221777439888</v>
      </c>
      <c r="T31" s="59">
        <f>SUM(T18:T30)*Summary!$C$8</f>
        <v>0</v>
      </c>
      <c r="U31" s="60">
        <f>SUM(U18:U30)*Summary!$C$8</f>
        <v>2697.473907954035</v>
      </c>
      <c r="V31" s="59">
        <f>SUM(V18:V30)*Summary!$C$8</f>
        <v>0</v>
      </c>
      <c r="W31" s="60">
        <f>SUM(W18:W30)*Summary!$C$8</f>
        <v>2726.6369314193325</v>
      </c>
      <c r="X31" s="59">
        <f>SUM(X18:X30)*Summary!$C$8</f>
        <v>0</v>
      </c>
      <c r="Y31" s="60">
        <f>SUM(Y18:Y30)*Summary!$C$8</f>
        <v>2756.5290304712626</v>
      </c>
      <c r="Z31" s="59">
        <f>SUM(Z18:Z30)*Summary!$C$8</f>
        <v>0</v>
      </c>
      <c r="AA31" s="60">
        <f>SUM(AA18:AA30)*Summary!$C$8</f>
        <v>2787.1684319994906</v>
      </c>
    </row>
    <row r="32" spans="1:27" x14ac:dyDescent="0.25">
      <c r="A32" s="52"/>
      <c r="B32" s="39"/>
      <c r="C32" s="40"/>
      <c r="D32" s="59"/>
      <c r="E32" s="60"/>
      <c r="F32" s="59"/>
      <c r="G32" s="60"/>
      <c r="H32" s="59"/>
      <c r="I32" s="60"/>
      <c r="J32" s="59"/>
      <c r="K32" s="60"/>
      <c r="L32" s="59"/>
      <c r="M32" s="60"/>
      <c r="N32" s="59"/>
      <c r="O32" s="60"/>
      <c r="P32" s="59"/>
      <c r="Q32" s="60"/>
      <c r="R32" s="59"/>
      <c r="S32" s="60"/>
      <c r="T32" s="59"/>
      <c r="U32" s="60"/>
      <c r="V32" s="59"/>
      <c r="W32" s="60"/>
      <c r="X32" s="59"/>
      <c r="Y32" s="60"/>
      <c r="Z32" s="59"/>
      <c r="AA32" s="60"/>
    </row>
    <row r="33" spans="1:27" x14ac:dyDescent="0.25">
      <c r="A33" s="62" t="s">
        <v>40</v>
      </c>
      <c r="B33" s="63"/>
      <c r="C33" s="64"/>
      <c r="D33" s="78">
        <f t="shared" ref="D33:AA33" si="1">SUM(D18:D32)</f>
        <v>144840.4209</v>
      </c>
      <c r="E33" s="79">
        <f t="shared" si="1"/>
        <v>2769.2385218648574</v>
      </c>
      <c r="F33" s="78">
        <f t="shared" si="1"/>
        <v>185771.05294124997</v>
      </c>
      <c r="G33" s="79">
        <f t="shared" si="1"/>
        <v>6321.0395512714576</v>
      </c>
      <c r="H33" s="78">
        <f t="shared" si="1"/>
        <v>212823.04166681247</v>
      </c>
      <c r="I33" s="79">
        <f t="shared" si="1"/>
        <v>14655.302811999902</v>
      </c>
      <c r="J33" s="78">
        <f t="shared" si="1"/>
        <v>343591.0598779968</v>
      </c>
      <c r="K33" s="79">
        <f t="shared" si="1"/>
        <v>25983.626006358299</v>
      </c>
      <c r="L33" s="78">
        <f t="shared" si="1"/>
        <v>392359.2180107868</v>
      </c>
      <c r="M33" s="79">
        <f t="shared" si="1"/>
        <v>38937.298484585066</v>
      </c>
      <c r="N33" s="78">
        <f t="shared" si="1"/>
        <v>402168.19846105645</v>
      </c>
      <c r="O33" s="79">
        <f t="shared" si="1"/>
        <v>49428.312310472866</v>
      </c>
      <c r="P33" s="78">
        <f t="shared" si="1"/>
        <v>0</v>
      </c>
      <c r="Q33" s="79">
        <f t="shared" si="1"/>
        <v>52663.411022483757</v>
      </c>
      <c r="R33" s="78">
        <f t="shared" si="1"/>
        <v>0</v>
      </c>
      <c r="S33" s="79">
        <f t="shared" si="1"/>
        <v>56049.465732623758</v>
      </c>
      <c r="T33" s="79">
        <f t="shared" si="1"/>
        <v>0</v>
      </c>
      <c r="U33" s="79">
        <f t="shared" si="1"/>
        <v>56646.952067034734</v>
      </c>
      <c r="V33" s="78">
        <f t="shared" si="1"/>
        <v>0</v>
      </c>
      <c r="W33" s="79">
        <f t="shared" si="1"/>
        <v>57259.37555980598</v>
      </c>
      <c r="X33" s="78">
        <f t="shared" si="1"/>
        <v>0</v>
      </c>
      <c r="Y33" s="79">
        <f t="shared" si="1"/>
        <v>57887.109639896509</v>
      </c>
      <c r="Z33" s="78">
        <f t="shared" si="1"/>
        <v>0</v>
      </c>
      <c r="AA33" s="79">
        <f t="shared" si="1"/>
        <v>58530.537071989296</v>
      </c>
    </row>
    <row r="34" spans="1:27" ht="15.75" x14ac:dyDescent="0.25">
      <c r="A34" s="52"/>
      <c r="B34" s="39"/>
      <c r="C34" s="40"/>
      <c r="D34" s="77"/>
      <c r="E34" s="80"/>
      <c r="F34" s="77"/>
      <c r="G34" s="80"/>
      <c r="H34" s="77"/>
      <c r="I34" s="81"/>
      <c r="J34" s="77"/>
      <c r="K34" s="80"/>
      <c r="L34" s="77"/>
      <c r="M34" s="81"/>
      <c r="N34" s="77"/>
      <c r="O34" s="80"/>
      <c r="P34" s="77"/>
      <c r="Q34" s="81"/>
      <c r="R34" s="77"/>
      <c r="S34" s="80"/>
      <c r="T34" s="77"/>
      <c r="U34" s="81"/>
      <c r="V34" s="77"/>
      <c r="W34" s="80"/>
      <c r="X34" s="77"/>
      <c r="Y34" s="81"/>
      <c r="Z34" s="77"/>
      <c r="AA34" s="80"/>
    </row>
    <row r="35" spans="1:27" ht="15.75" x14ac:dyDescent="0.25">
      <c r="A35" s="67" t="s">
        <v>97</v>
      </c>
      <c r="B35" s="68"/>
      <c r="C35" s="69"/>
      <c r="D35" s="70"/>
      <c r="E35" s="71"/>
      <c r="F35" s="70"/>
      <c r="G35" s="71"/>
      <c r="H35" s="70"/>
      <c r="I35" s="72"/>
      <c r="J35" s="70"/>
      <c r="K35" s="72"/>
      <c r="L35" s="70"/>
      <c r="M35" s="72"/>
      <c r="N35" s="70"/>
      <c r="O35" s="71"/>
      <c r="P35" s="70"/>
      <c r="Q35" s="72"/>
      <c r="R35" s="70"/>
      <c r="S35" s="72"/>
      <c r="T35" s="70"/>
      <c r="U35" s="72"/>
      <c r="V35" s="70"/>
      <c r="W35" s="71"/>
      <c r="X35" s="70"/>
      <c r="Y35" s="72"/>
      <c r="Z35" s="70"/>
      <c r="AA35" s="72"/>
    </row>
    <row r="36" spans="1:27" x14ac:dyDescent="0.25">
      <c r="A36" s="50" t="s">
        <v>97</v>
      </c>
      <c r="B36" s="39"/>
      <c r="C36" s="40"/>
      <c r="D36" s="59"/>
      <c r="E36" s="60"/>
      <c r="F36" s="56"/>
      <c r="G36" s="75"/>
      <c r="H36" s="56"/>
      <c r="I36" s="76"/>
      <c r="J36" s="56"/>
      <c r="K36" s="75"/>
      <c r="L36" s="56"/>
      <c r="M36" s="76"/>
      <c r="N36" s="56"/>
      <c r="O36" s="75"/>
      <c r="P36" s="56"/>
      <c r="Q36" s="76"/>
      <c r="R36" s="56"/>
      <c r="S36" s="75"/>
      <c r="T36" s="56"/>
      <c r="U36" s="76"/>
      <c r="V36" s="56"/>
      <c r="W36" s="75"/>
      <c r="X36" s="56"/>
      <c r="Y36" s="76"/>
      <c r="Z36" s="56"/>
      <c r="AA36" s="75"/>
    </row>
    <row r="37" spans="1:27" x14ac:dyDescent="0.25">
      <c r="A37" s="82" t="s">
        <v>99</v>
      </c>
      <c r="B37" s="44" t="s">
        <v>50</v>
      </c>
      <c r="C37" s="45" t="s">
        <v>47</v>
      </c>
      <c r="D37" s="59"/>
      <c r="E37" s="60"/>
      <c r="F37" s="56"/>
      <c r="G37" s="75">
        <f>(158000)*(1+Summary!$C$10)</f>
        <v>158000</v>
      </c>
      <c r="H37" s="56"/>
      <c r="I37" s="76">
        <f>G37*1.025</f>
        <v>161950</v>
      </c>
      <c r="J37" s="56"/>
      <c r="K37" s="76">
        <f>I37*1.025</f>
        <v>165998.75</v>
      </c>
      <c r="L37" s="56"/>
      <c r="M37" s="76">
        <f>K37*1.025</f>
        <v>170148.71874999997</v>
      </c>
      <c r="N37" s="56"/>
      <c r="O37" s="76">
        <f>M37*1.025</f>
        <v>174402.43671874996</v>
      </c>
      <c r="P37" s="56"/>
      <c r="Q37" s="76">
        <f>O37*1.025</f>
        <v>178762.4976367187</v>
      </c>
      <c r="R37" s="56"/>
      <c r="S37" s="76">
        <f>Q37*1.025</f>
        <v>183231.56007763665</v>
      </c>
      <c r="T37" s="56"/>
      <c r="U37" s="76">
        <f>S37*1.025</f>
        <v>187812.34907957754</v>
      </c>
      <c r="V37" s="56"/>
      <c r="W37" s="76">
        <f>U37*1.025</f>
        <v>192507.65780656697</v>
      </c>
      <c r="X37" s="56"/>
      <c r="Y37" s="76">
        <f>W37*1.025</f>
        <v>197320.34925173112</v>
      </c>
      <c r="Z37" s="56"/>
      <c r="AA37" s="76">
        <f>Y37*1.025</f>
        <v>202253.35798302438</v>
      </c>
    </row>
    <row r="38" spans="1:27" x14ac:dyDescent="0.25">
      <c r="A38" s="82" t="s">
        <v>98</v>
      </c>
      <c r="B38" s="44" t="s">
        <v>50</v>
      </c>
      <c r="C38" s="45" t="s">
        <v>47</v>
      </c>
      <c r="D38" s="59"/>
      <c r="E38" s="60"/>
      <c r="F38" s="56"/>
      <c r="G38" s="75"/>
      <c r="H38" s="56"/>
      <c r="I38" s="76"/>
      <c r="J38" s="56"/>
      <c r="K38" s="75"/>
      <c r="L38" s="56"/>
      <c r="M38" s="76"/>
      <c r="N38" s="56"/>
      <c r="O38" s="75"/>
      <c r="P38" s="56"/>
      <c r="Q38" s="76"/>
      <c r="R38" s="56"/>
      <c r="S38" s="75"/>
      <c r="T38" s="56"/>
      <c r="U38" s="76"/>
      <c r="V38" s="56"/>
      <c r="W38" s="75"/>
      <c r="X38" s="56"/>
      <c r="Y38" s="76"/>
      <c r="Z38" s="56"/>
      <c r="AA38" s="75"/>
    </row>
    <row r="39" spans="1:27" x14ac:dyDescent="0.25">
      <c r="A39" s="82" t="s">
        <v>100</v>
      </c>
      <c r="B39" s="44" t="s">
        <v>50</v>
      </c>
      <c r="C39" s="45" t="s">
        <v>47</v>
      </c>
      <c r="D39" s="59"/>
      <c r="E39" s="60"/>
      <c r="F39" s="56"/>
      <c r="G39" s="75"/>
      <c r="H39" s="56"/>
      <c r="I39" s="76"/>
      <c r="J39" s="56"/>
      <c r="K39" s="75"/>
      <c r="L39" s="56"/>
      <c r="M39" s="76"/>
      <c r="N39" s="56"/>
      <c r="O39" s="75"/>
      <c r="P39" s="56"/>
      <c r="Q39" s="76"/>
      <c r="R39" s="56"/>
      <c r="S39" s="75"/>
      <c r="T39" s="56"/>
      <c r="U39" s="76"/>
      <c r="V39" s="56"/>
      <c r="W39" s="75"/>
      <c r="X39" s="56"/>
      <c r="Y39" s="76"/>
      <c r="Z39" s="56"/>
      <c r="AA39" s="75"/>
    </row>
    <row r="40" spans="1:27" x14ac:dyDescent="0.25">
      <c r="A40" s="82" t="s">
        <v>101</v>
      </c>
      <c r="B40" s="44" t="s">
        <v>50</v>
      </c>
      <c r="C40" s="45" t="s">
        <v>47</v>
      </c>
      <c r="D40" s="59"/>
      <c r="E40" s="60"/>
      <c r="F40" s="56"/>
      <c r="G40" s="75"/>
      <c r="H40" s="56"/>
      <c r="I40" s="76"/>
      <c r="J40" s="56"/>
      <c r="K40" s="75"/>
      <c r="L40" s="56"/>
      <c r="M40" s="76"/>
      <c r="N40" s="56"/>
      <c r="O40" s="75"/>
      <c r="P40" s="56"/>
      <c r="Q40" s="76"/>
      <c r="R40" s="56"/>
      <c r="S40" s="75"/>
      <c r="T40" s="56"/>
      <c r="U40" s="76"/>
      <c r="V40" s="56"/>
      <c r="W40" s="75"/>
      <c r="X40" s="56"/>
      <c r="Y40" s="76"/>
      <c r="Z40" s="56"/>
      <c r="AA40" s="75"/>
    </row>
    <row r="41" spans="1:27" x14ac:dyDescent="0.25">
      <c r="A41" s="83" t="s">
        <v>56</v>
      </c>
      <c r="B41" s="44" t="s">
        <v>50</v>
      </c>
      <c r="C41" s="45" t="s">
        <v>47</v>
      </c>
      <c r="D41" s="59"/>
      <c r="E41" s="60"/>
      <c r="F41" s="56"/>
      <c r="G41" s="75"/>
      <c r="H41" s="56"/>
      <c r="I41" s="76"/>
      <c r="J41" s="56"/>
      <c r="K41" s="75"/>
      <c r="L41" s="56"/>
      <c r="M41" s="76"/>
      <c r="N41" s="56"/>
      <c r="O41" s="75"/>
      <c r="P41" s="56"/>
      <c r="Q41" s="76"/>
      <c r="R41" s="56"/>
      <c r="S41" s="75"/>
      <c r="T41" s="56"/>
      <c r="U41" s="76"/>
      <c r="V41" s="56"/>
      <c r="W41" s="75"/>
      <c r="X41" s="56"/>
      <c r="Y41" s="76"/>
      <c r="Z41" s="56"/>
      <c r="AA41" s="75"/>
    </row>
    <row r="42" spans="1:27" x14ac:dyDescent="0.25">
      <c r="A42" s="61">
        <v>0.02</v>
      </c>
      <c r="B42" s="39"/>
      <c r="C42" s="40"/>
      <c r="D42" s="41">
        <f>SUM(D36:D41)*Summary!$C$8</f>
        <v>0</v>
      </c>
      <c r="E42" s="42">
        <f>SUM(E36:E41)*Summary!$C$8</f>
        <v>0</v>
      </c>
      <c r="F42" s="41">
        <f>SUM(F36:F41)*Summary!$C$8</f>
        <v>0</v>
      </c>
      <c r="G42" s="42">
        <f>SUM(G36:G41)*Summary!$C$8</f>
        <v>7900</v>
      </c>
      <c r="H42" s="41">
        <f>SUM(H36:H41)*Summary!$C$8</f>
        <v>0</v>
      </c>
      <c r="I42" s="42">
        <f>SUM(I36:I41)*Summary!$C$8</f>
        <v>8097.5</v>
      </c>
      <c r="J42" s="41">
        <f>SUM(J36:J41)*Summary!$C$8</f>
        <v>0</v>
      </c>
      <c r="K42" s="42">
        <f>SUM(K36:K41)*Summary!$C$8</f>
        <v>8299.9375</v>
      </c>
      <c r="L42" s="41">
        <f>SUM(L36:L41)*Summary!$C$8</f>
        <v>0</v>
      </c>
      <c r="M42" s="42">
        <f>SUM(M36:M41)*Summary!$C$8</f>
        <v>8507.4359374999985</v>
      </c>
      <c r="N42" s="41">
        <f>SUM(N36:N41)*Summary!$C$8</f>
        <v>0</v>
      </c>
      <c r="O42" s="42">
        <f>SUM(O36:O41)*Summary!$C$8</f>
        <v>8720.121835937498</v>
      </c>
      <c r="P42" s="41">
        <f>SUM(P36:P41)*Summary!$C$8</f>
        <v>0</v>
      </c>
      <c r="Q42" s="42">
        <f>SUM(Q36:Q41)*Summary!$C$8</f>
        <v>8938.1248818359363</v>
      </c>
      <c r="R42" s="41">
        <f>SUM(R36:R41)*Summary!$C$8</f>
        <v>0</v>
      </c>
      <c r="S42" s="42">
        <f>SUM(S36:S41)*Summary!$C$8</f>
        <v>9161.578003881832</v>
      </c>
      <c r="T42" s="41">
        <f>SUM(T36:T41)*Summary!$C$8</f>
        <v>0</v>
      </c>
      <c r="U42" s="42">
        <f>SUM(U36:U41)*Summary!$C$8</f>
        <v>9390.6174539788772</v>
      </c>
      <c r="V42" s="41">
        <f>SUM(V36:V41)*Summary!$C$8</f>
        <v>0</v>
      </c>
      <c r="W42" s="42">
        <f>SUM(W36:W41)*Summary!$C$8</f>
        <v>9625.3828903283484</v>
      </c>
      <c r="X42" s="41">
        <f>SUM(X36:X41)*Summary!$C$8</f>
        <v>0</v>
      </c>
      <c r="Y42" s="42">
        <f>SUM(Y36:Y41)*Summary!$C$8</f>
        <v>9866.0174625865566</v>
      </c>
      <c r="Z42" s="41">
        <f>SUM(Z36:Z41)*Summary!$C$8</f>
        <v>0</v>
      </c>
      <c r="AA42" s="42">
        <f>SUM(AA36:AA41)*Summary!$C$8</f>
        <v>10112.66789915122</v>
      </c>
    </row>
    <row r="43" spans="1:27" x14ac:dyDescent="0.25">
      <c r="A43" s="52"/>
      <c r="B43" s="39"/>
      <c r="C43" s="40"/>
      <c r="D43" s="41"/>
      <c r="E43" s="42"/>
      <c r="F43" s="41"/>
      <c r="G43" s="42"/>
      <c r="H43" s="41"/>
      <c r="I43" s="42"/>
      <c r="J43" s="41"/>
      <c r="K43" s="42"/>
      <c r="L43" s="41"/>
      <c r="M43" s="42"/>
      <c r="N43" s="41"/>
      <c r="O43" s="42"/>
      <c r="P43" s="41"/>
      <c r="Q43" s="42"/>
      <c r="R43" s="41"/>
      <c r="S43" s="42"/>
      <c r="T43" s="41"/>
      <c r="U43" s="42"/>
      <c r="V43" s="41"/>
      <c r="W43" s="42"/>
      <c r="X43" s="41"/>
      <c r="Y43" s="42"/>
      <c r="Z43" s="41"/>
      <c r="AA43" s="42"/>
    </row>
    <row r="44" spans="1:27" x14ac:dyDescent="0.25">
      <c r="A44" s="62" t="s">
        <v>40</v>
      </c>
      <c r="B44" s="63"/>
      <c r="C44" s="64"/>
      <c r="D44" s="65">
        <f t="shared" ref="D44:AA44" si="2">SUM(D36:D43)</f>
        <v>0</v>
      </c>
      <c r="E44" s="66">
        <f t="shared" si="2"/>
        <v>0</v>
      </c>
      <c r="F44" s="65">
        <f t="shared" si="2"/>
        <v>0</v>
      </c>
      <c r="G44" s="66">
        <f t="shared" si="2"/>
        <v>165900</v>
      </c>
      <c r="H44" s="65">
        <f t="shared" si="2"/>
        <v>0</v>
      </c>
      <c r="I44" s="66">
        <f t="shared" si="2"/>
        <v>170047.5</v>
      </c>
      <c r="J44" s="65">
        <f t="shared" si="2"/>
        <v>0</v>
      </c>
      <c r="K44" s="66">
        <f t="shared" si="2"/>
        <v>174298.6875</v>
      </c>
      <c r="L44" s="65">
        <f t="shared" si="2"/>
        <v>0</v>
      </c>
      <c r="M44" s="66">
        <f t="shared" si="2"/>
        <v>178656.15468749998</v>
      </c>
      <c r="N44" s="65">
        <f t="shared" si="2"/>
        <v>0</v>
      </c>
      <c r="O44" s="66">
        <f t="shared" si="2"/>
        <v>183122.55855468745</v>
      </c>
      <c r="P44" s="65">
        <f t="shared" si="2"/>
        <v>0</v>
      </c>
      <c r="Q44" s="66">
        <f t="shared" si="2"/>
        <v>187700.62251855465</v>
      </c>
      <c r="R44" s="65">
        <f t="shared" si="2"/>
        <v>0</v>
      </c>
      <c r="S44" s="66">
        <f t="shared" si="2"/>
        <v>192393.13808151847</v>
      </c>
      <c r="T44" s="65">
        <f t="shared" si="2"/>
        <v>0</v>
      </c>
      <c r="U44" s="66">
        <f t="shared" si="2"/>
        <v>197202.96653355641</v>
      </c>
      <c r="V44" s="65">
        <f t="shared" si="2"/>
        <v>0</v>
      </c>
      <c r="W44" s="66">
        <f t="shared" si="2"/>
        <v>202133.04069689533</v>
      </c>
      <c r="X44" s="65">
        <f t="shared" si="2"/>
        <v>0</v>
      </c>
      <c r="Y44" s="66">
        <f t="shared" si="2"/>
        <v>207186.36671431767</v>
      </c>
      <c r="Z44" s="65">
        <f t="shared" si="2"/>
        <v>0</v>
      </c>
      <c r="AA44" s="66">
        <f t="shared" si="2"/>
        <v>212366.0258821756</v>
      </c>
    </row>
    <row r="45" spans="1:27" ht="16.5" thickBot="1" x14ac:dyDescent="0.3">
      <c r="A45" s="52"/>
      <c r="B45" s="39"/>
      <c r="C45" s="40"/>
      <c r="D45" s="84"/>
      <c r="E45" s="85"/>
      <c r="F45" s="54"/>
      <c r="G45" s="58"/>
      <c r="H45" s="54"/>
      <c r="I45" s="51"/>
      <c r="J45" s="54"/>
      <c r="K45" s="51"/>
      <c r="L45" s="54"/>
      <c r="M45" s="51"/>
      <c r="N45" s="54"/>
      <c r="O45" s="58"/>
      <c r="P45" s="54"/>
      <c r="Q45" s="51"/>
      <c r="R45" s="54"/>
      <c r="S45" s="51"/>
      <c r="T45" s="54"/>
      <c r="U45" s="51"/>
      <c r="V45" s="54"/>
      <c r="W45" s="58"/>
      <c r="X45" s="54"/>
      <c r="Y45" s="51"/>
      <c r="Z45" s="54"/>
      <c r="AA45" s="51"/>
    </row>
    <row r="46" spans="1:27" ht="16.5" customHeight="1" thickTop="1" x14ac:dyDescent="0.25">
      <c r="A46" s="67"/>
      <c r="B46" s="68"/>
      <c r="C46" s="69"/>
      <c r="D46" s="295">
        <f>D3</f>
        <v>2014</v>
      </c>
      <c r="E46" s="296"/>
      <c r="F46" s="295">
        <f>F3</f>
        <v>2015</v>
      </c>
      <c r="G46" s="296"/>
      <c r="H46" s="295">
        <f>H3</f>
        <v>2016</v>
      </c>
      <c r="I46" s="296"/>
      <c r="J46" s="295">
        <f>J3</f>
        <v>2017</v>
      </c>
      <c r="K46" s="296"/>
      <c r="L46" s="295">
        <f>L3</f>
        <v>2018</v>
      </c>
      <c r="M46" s="296"/>
      <c r="N46" s="295">
        <f>N3</f>
        <v>2019</v>
      </c>
      <c r="O46" s="296"/>
      <c r="P46" s="295">
        <f>P3</f>
        <v>2020</v>
      </c>
      <c r="Q46" s="296"/>
      <c r="R46" s="295">
        <f>R3</f>
        <v>2021</v>
      </c>
      <c r="S46" s="296"/>
      <c r="T46" s="295">
        <f>T3</f>
        <v>2022</v>
      </c>
      <c r="U46" s="296"/>
      <c r="V46" s="295">
        <f>V3</f>
        <v>2023</v>
      </c>
      <c r="W46" s="296"/>
      <c r="X46" s="295">
        <f>X3</f>
        <v>2024</v>
      </c>
      <c r="Y46" s="296"/>
      <c r="Z46" s="295">
        <f>Z3</f>
        <v>2025</v>
      </c>
      <c r="AA46" s="296"/>
    </row>
    <row r="47" spans="1:27" ht="15.75" x14ac:dyDescent="0.25">
      <c r="A47" s="86"/>
      <c r="B47" s="68"/>
      <c r="C47" s="69"/>
      <c r="D47" s="36" t="s">
        <v>31</v>
      </c>
      <c r="E47" s="37" t="s">
        <v>32</v>
      </c>
      <c r="F47" s="36" t="s">
        <v>31</v>
      </c>
      <c r="G47" s="37" t="s">
        <v>32</v>
      </c>
      <c r="H47" s="34" t="s">
        <v>31</v>
      </c>
      <c r="I47" s="35" t="s">
        <v>32</v>
      </c>
      <c r="J47" s="34" t="s">
        <v>31</v>
      </c>
      <c r="K47" s="35" t="s">
        <v>32</v>
      </c>
      <c r="L47" s="34" t="s">
        <v>31</v>
      </c>
      <c r="M47" s="35" t="s">
        <v>32</v>
      </c>
      <c r="N47" s="36" t="s">
        <v>31</v>
      </c>
      <c r="O47" s="37" t="s">
        <v>32</v>
      </c>
      <c r="P47" s="34" t="s">
        <v>31</v>
      </c>
      <c r="Q47" s="35" t="s">
        <v>32</v>
      </c>
      <c r="R47" s="34" t="s">
        <v>31</v>
      </c>
      <c r="S47" s="35" t="s">
        <v>32</v>
      </c>
      <c r="T47" s="34" t="s">
        <v>31</v>
      </c>
      <c r="U47" s="35" t="s">
        <v>32</v>
      </c>
      <c r="V47" s="36" t="s">
        <v>31</v>
      </c>
      <c r="W47" s="37" t="s">
        <v>32</v>
      </c>
      <c r="X47" s="34" t="s">
        <v>31</v>
      </c>
      <c r="Y47" s="35" t="s">
        <v>32</v>
      </c>
      <c r="Z47" s="34" t="s">
        <v>31</v>
      </c>
      <c r="AA47" s="35" t="s">
        <v>32</v>
      </c>
    </row>
    <row r="48" spans="1:27" ht="15.75" x14ac:dyDescent="0.25">
      <c r="A48" s="67" t="s">
        <v>0</v>
      </c>
      <c r="B48" s="68"/>
      <c r="C48" s="69"/>
      <c r="D48" s="87">
        <f t="shared" ref="D48:AA48" si="3">D44+D33+D14</f>
        <v>166426.09840709998</v>
      </c>
      <c r="E48" s="87">
        <f t="shared" si="3"/>
        <v>3181.9402338716404</v>
      </c>
      <c r="F48" s="87">
        <f t="shared" si="3"/>
        <v>258496.55266364996</v>
      </c>
      <c r="G48" s="87">
        <f t="shared" si="3"/>
        <v>182470.64942255843</v>
      </c>
      <c r="H48" s="87">
        <f t="shared" si="3"/>
        <v>336909.79538921244</v>
      </c>
      <c r="I48" s="87">
        <f t="shared" si="3"/>
        <v>230362.90349196916</v>
      </c>
      <c r="J48" s="87">
        <f t="shared" si="3"/>
        <v>356143.88916979678</v>
      </c>
      <c r="K48" s="87">
        <f t="shared" si="3"/>
        <v>247479.30576635923</v>
      </c>
      <c r="L48" s="87">
        <f t="shared" si="3"/>
        <v>407004.18551788683</v>
      </c>
      <c r="M48" s="87">
        <f t="shared" si="3"/>
        <v>266371.09407158068</v>
      </c>
      <c r="N48" s="87">
        <f t="shared" si="3"/>
        <v>416813.16596815648</v>
      </c>
      <c r="O48" s="87">
        <f t="shared" si="3"/>
        <v>282882.11925270507</v>
      </c>
      <c r="P48" s="87">
        <f t="shared" si="3"/>
        <v>0</v>
      </c>
      <c r="Q48" s="87">
        <f t="shared" si="3"/>
        <v>292049.60625557759</v>
      </c>
      <c r="R48" s="87">
        <f t="shared" si="3"/>
        <v>0</v>
      </c>
      <c r="S48" s="87">
        <f t="shared" si="3"/>
        <v>301386.57626492227</v>
      </c>
      <c r="T48" s="87">
        <f t="shared" si="3"/>
        <v>0</v>
      </c>
      <c r="U48" s="87">
        <f t="shared" si="3"/>
        <v>307767.038678165</v>
      </c>
      <c r="V48" s="87">
        <f t="shared" si="3"/>
        <v>0</v>
      </c>
      <c r="W48" s="87">
        <f t="shared" si="3"/>
        <v>314302.49141998257</v>
      </c>
      <c r="X48" s="87">
        <f t="shared" si="3"/>
        <v>0</v>
      </c>
      <c r="Y48" s="87">
        <f t="shared" si="3"/>
        <v>320996.71882395417</v>
      </c>
      <c r="Z48" s="87">
        <f t="shared" si="3"/>
        <v>0</v>
      </c>
      <c r="AA48" s="87">
        <f t="shared" si="3"/>
        <v>327853.59802350594</v>
      </c>
    </row>
    <row r="49" spans="1:27" ht="16.5" thickBot="1" x14ac:dyDescent="0.3">
      <c r="A49" s="88"/>
      <c r="B49" s="89"/>
      <c r="C49" s="90"/>
      <c r="D49" s="91"/>
      <c r="E49" s="92"/>
      <c r="F49" s="91"/>
      <c r="G49" s="92"/>
      <c r="H49" s="91"/>
      <c r="I49" s="93"/>
      <c r="J49" s="91"/>
      <c r="K49" s="93"/>
      <c r="L49" s="91"/>
      <c r="M49" s="93"/>
      <c r="N49" s="91"/>
      <c r="O49" s="92"/>
      <c r="P49" s="91"/>
      <c r="Q49" s="93"/>
      <c r="R49" s="91"/>
      <c r="S49" s="93"/>
      <c r="T49" s="91"/>
      <c r="U49" s="93"/>
      <c r="V49" s="91"/>
      <c r="W49" s="92"/>
      <c r="X49" s="91"/>
      <c r="Y49" s="93"/>
      <c r="Z49" s="91"/>
      <c r="AA49" s="93"/>
    </row>
    <row r="50" spans="1:27" ht="16.5" thickTop="1" thickBot="1" x14ac:dyDescent="0.3"/>
    <row r="51" spans="1:27" ht="15.75" thickTop="1" x14ac:dyDescent="0.25">
      <c r="A51" s="95" t="s">
        <v>30</v>
      </c>
      <c r="B51" s="96" t="s">
        <v>73</v>
      </c>
      <c r="C51" s="97">
        <f>D3</f>
        <v>2014</v>
      </c>
      <c r="D51" s="97">
        <f>F3</f>
        <v>2015</v>
      </c>
      <c r="E51" s="97">
        <f>H3</f>
        <v>2016</v>
      </c>
      <c r="F51" s="97">
        <f>J3</f>
        <v>2017</v>
      </c>
      <c r="G51" s="97">
        <f>L3</f>
        <v>2018</v>
      </c>
      <c r="H51" s="97">
        <f>N3</f>
        <v>2019</v>
      </c>
      <c r="I51" s="97">
        <f>P3</f>
        <v>2020</v>
      </c>
      <c r="J51" s="97">
        <f>R3</f>
        <v>2021</v>
      </c>
      <c r="K51" s="97">
        <f>T3</f>
        <v>2022</v>
      </c>
      <c r="L51" s="97">
        <f>V3</f>
        <v>2023</v>
      </c>
      <c r="M51" s="97">
        <f>X3</f>
        <v>2024</v>
      </c>
      <c r="N51" s="97">
        <f>Z3</f>
        <v>2025</v>
      </c>
      <c r="O51" s="98" t="s">
        <v>17</v>
      </c>
      <c r="P51" s="99" t="s">
        <v>18</v>
      </c>
    </row>
    <row r="52" spans="1:27" x14ac:dyDescent="0.25">
      <c r="A52" s="100" t="s">
        <v>106</v>
      </c>
      <c r="B52" s="101"/>
      <c r="C52" s="102"/>
      <c r="D52" s="102"/>
      <c r="E52" s="102"/>
      <c r="F52" s="102"/>
      <c r="G52" s="102"/>
      <c r="H52" s="102"/>
      <c r="I52" s="102"/>
      <c r="J52" s="102"/>
      <c r="K52" s="102"/>
      <c r="L52" s="102"/>
      <c r="M52" s="102"/>
      <c r="N52" s="102"/>
      <c r="O52" s="103"/>
      <c r="P52" s="104"/>
    </row>
    <row r="53" spans="1:27" x14ac:dyDescent="0.25">
      <c r="A53" s="105" t="s">
        <v>121</v>
      </c>
      <c r="B53" s="20" t="s">
        <v>33</v>
      </c>
      <c r="C53" s="106">
        <f>SUMIF($B$5:$B$45,B53,D$5:D$45)*(1+Summary!$C$8)</f>
        <v>14644.967507099998</v>
      </c>
      <c r="D53" s="106">
        <f>SUMIF($B$5:$B$45,B53,F$5:F$45)*(1+Summary!$C$8)</f>
        <v>16737.1057224</v>
      </c>
      <c r="E53" s="106">
        <f>SUMIF($B$5:$B$45,B53,H$5:H$45)*(1+Summary!$C$8)</f>
        <v>16737.1057224</v>
      </c>
      <c r="F53" s="106">
        <f>SUMIF($B$5:$B$45,B53,J$5:J$45)*(1+Summary!$C$8)</f>
        <v>12552.829291799999</v>
      </c>
      <c r="G53" s="106">
        <f>SUMIF($B$5:$B$45,B53,L$5:L$45)*(1+Summary!$C$8)</f>
        <v>14644.967507099998</v>
      </c>
      <c r="H53" s="106">
        <f>SUMIF($B$5:$B$45,B53,N$5:N$45)*(1+Summary!$C$8)</f>
        <v>14644.967507099998</v>
      </c>
      <c r="I53" s="106">
        <f>SUMIF($B$5:$B$45,B53,P$5:P$45)*(1+Summary!$C$8)</f>
        <v>0</v>
      </c>
      <c r="J53" s="106">
        <f>SUMIF($B$5:$B$45,B53,R$5:R$45)*(1+Summary!$C$8)</f>
        <v>0</v>
      </c>
      <c r="K53" s="106">
        <f>SUMIF($B$5:$B$45,B53,T$5:T$45)*(1+Summary!$C$8)</f>
        <v>0</v>
      </c>
      <c r="L53" s="106">
        <f>SUMIF($B$5:$B$45,B53,V$5:V$45)*(1+Summary!$C$8)</f>
        <v>0</v>
      </c>
      <c r="M53" s="106">
        <f>SUMIF($B$5:$B$45,B53,X$5:X$45)*(1+Summary!$C$8)</f>
        <v>0</v>
      </c>
      <c r="N53" s="106">
        <f>SUMIF($B$5:$B$45,B53,Z$5:Z$45)*(1+Summary!$C$8)</f>
        <v>0</v>
      </c>
      <c r="O53" s="107">
        <f>SUM(C53:N53)</f>
        <v>89961.943257899999</v>
      </c>
      <c r="P53" s="108">
        <f>NPV(Summary!$C$6,C53:N53)</f>
        <v>84082.32757242478</v>
      </c>
    </row>
    <row r="54" spans="1:27" x14ac:dyDescent="0.25">
      <c r="A54" s="105" t="s">
        <v>82</v>
      </c>
      <c r="B54" s="20" t="s">
        <v>38</v>
      </c>
      <c r="C54" s="106">
        <f>SUMIF($B$5:$B$45,B54,D$5:D$45)*(1+Summary!$C$8)</f>
        <v>0</v>
      </c>
      <c r="D54" s="106">
        <f>SUMIF($B$5:$B$45,B54,F$5:F$45)*(1+Summary!$C$8)</f>
        <v>0</v>
      </c>
      <c r="E54" s="106">
        <f>SUMIF($B$5:$B$45,B54,H$5:H$45)*(1+Summary!$C$8)</f>
        <v>0</v>
      </c>
      <c r="F54" s="106">
        <f>SUMIF($B$5:$B$45,B54,J$5:J$45)*(1+Summary!$C$8)</f>
        <v>0</v>
      </c>
      <c r="G54" s="106">
        <f>SUMIF($B$5:$B$45,B54,L$5:L$45)*(1+Summary!$C$8)</f>
        <v>0</v>
      </c>
      <c r="H54" s="106">
        <f>SUMIF($B$5:$B$45,B54,N$5:N$45)*(1+Summary!$C$8)</f>
        <v>0</v>
      </c>
      <c r="I54" s="106">
        <f>SUMIF($B$5:$B$45,B54,P$5:P$45)*(1+Summary!$C$8)</f>
        <v>0</v>
      </c>
      <c r="J54" s="106">
        <f>SUMIF($B$5:$B$45,B54,R$5:R$45)*(1+Summary!$C$8)</f>
        <v>0</v>
      </c>
      <c r="K54" s="106">
        <f>SUMIF($B$5:$B$45,B54,T$5:T$45)*(1+Summary!$C$8)</f>
        <v>0</v>
      </c>
      <c r="L54" s="106">
        <f>SUMIF($B$5:$B$45,B54,V$5:V$45)*(1+Summary!$C$8)</f>
        <v>0</v>
      </c>
      <c r="M54" s="106">
        <f>SUMIF($B$5:$B$45,B54,X$5:X$45)*(1+Summary!$C$8)</f>
        <v>0</v>
      </c>
      <c r="N54" s="106">
        <f>SUMIF($B$5:$B$45,B54,Z$5:Z$45)*(1+Summary!$C$8)</f>
        <v>0</v>
      </c>
      <c r="O54" s="107">
        <f t="shared" ref="O54:O57" si="4">SUM(C54:N54)</f>
        <v>0</v>
      </c>
      <c r="P54" s="108">
        <f>NPV(Summary!$C$6,C54:N54)</f>
        <v>0</v>
      </c>
    </row>
    <row r="55" spans="1:27" x14ac:dyDescent="0.25">
      <c r="A55" s="105" t="s">
        <v>447</v>
      </c>
      <c r="B55" s="20" t="s">
        <v>35</v>
      </c>
      <c r="C55" s="106">
        <f>SUMIF($B$5:$B$45,B55,D$5:D$45)*(1+Summary!$C$8)</f>
        <v>6940.71</v>
      </c>
      <c r="D55" s="106">
        <f>SUMIF($B$5:$B$45,B55,F$5:F$45)*(1+Summary!$C$8)</f>
        <v>51361.254000000001</v>
      </c>
      <c r="E55" s="106">
        <f>SUMIF($B$5:$B$45,B55,H$5:H$45)*(1+Summary!$C$8)</f>
        <v>102722.508</v>
      </c>
      <c r="F55" s="106">
        <f>SUMIF($B$5:$B$45,B55,J$5:J$45)*(1+Summary!$C$8)</f>
        <v>0</v>
      </c>
      <c r="G55" s="106">
        <f>SUMIF($B$5:$B$45,B55,L$5:L$45)*(1+Summary!$C$8)</f>
        <v>0</v>
      </c>
      <c r="H55" s="106">
        <f>SUMIF($B$5:$B$45,B55,N$5:N$45)*(1+Summary!$C$8)</f>
        <v>0</v>
      </c>
      <c r="I55" s="106">
        <f>SUMIF($B$5:$B$45,B55,P$5:P$45)*(1+Summary!$C$8)</f>
        <v>0</v>
      </c>
      <c r="J55" s="106">
        <f>SUMIF($B$5:$B$45,B55,R$5:R$45)*(1+Summary!$C$8)</f>
        <v>0</v>
      </c>
      <c r="K55" s="106">
        <f>SUMIF($B$5:$B$45,B55,T$5:T$45)*(1+Summary!$C$8)</f>
        <v>0</v>
      </c>
      <c r="L55" s="106">
        <f>SUMIF($B$5:$B$45,B55,V$5:V$45)*(1+Summary!$C$8)</f>
        <v>0</v>
      </c>
      <c r="M55" s="106">
        <f>SUMIF($B$5:$B$45,B55,X$5:X$45)*(1+Summary!$C$8)</f>
        <v>0</v>
      </c>
      <c r="N55" s="106">
        <f>SUMIF($B$5:$B$45,B55,Z$5:Z$45)*(1+Summary!$C$8)</f>
        <v>0</v>
      </c>
      <c r="O55" s="107">
        <f t="shared" si="4"/>
        <v>161024.47200000001</v>
      </c>
      <c r="P55" s="108">
        <f>NPV(Summary!$C$6,C55:N55)</f>
        <v>152969.16510618088</v>
      </c>
    </row>
    <row r="56" spans="1:27" x14ac:dyDescent="0.25">
      <c r="A56" s="105" t="s">
        <v>58</v>
      </c>
      <c r="B56" s="20" t="s">
        <v>36</v>
      </c>
      <c r="C56" s="106">
        <f>SUMIF($B$5:$B$45,B56,D$5:D$45)*(1+Summary!$C$8)</f>
        <v>0</v>
      </c>
      <c r="D56" s="106">
        <f>SUMIF($B$5:$B$45,B56,F$5:F$45)*(1+Summary!$C$8)</f>
        <v>4627.1399999999994</v>
      </c>
      <c r="E56" s="106">
        <f>SUMIF($B$5:$B$45,B56,H$5:H$45)*(1+Summary!$C$8)</f>
        <v>4627.1399999999994</v>
      </c>
      <c r="F56" s="106">
        <f>SUMIF($B$5:$B$45,B56,J$5:J$45)*(1+Summary!$C$8)</f>
        <v>0</v>
      </c>
      <c r="G56" s="106">
        <f>SUMIF($B$5:$B$45,B56,L$5:L$45)*(1+Summary!$C$8)</f>
        <v>0</v>
      </c>
      <c r="H56" s="106">
        <f>SUMIF($B$5:$B$45,B56,N$5:N$45)*(1+Summary!$C$8)</f>
        <v>0</v>
      </c>
      <c r="I56" s="106">
        <f>SUMIF($B$5:$B$45,B56,P$5:P$45)*(1+Summary!$C$8)</f>
        <v>0</v>
      </c>
      <c r="J56" s="106">
        <f>SUMIF($B$5:$B$45,B56,R$5:R$45)*(1+Summary!$C$8)</f>
        <v>0</v>
      </c>
      <c r="K56" s="106">
        <f>SUMIF($B$5:$B$45,B56,T$5:T$45)*(1+Summary!$C$8)</f>
        <v>0</v>
      </c>
      <c r="L56" s="106">
        <f>SUMIF($B$5:$B$45,B56,V$5:V$45)*(1+Summary!$C$8)</f>
        <v>0</v>
      </c>
      <c r="M56" s="106">
        <f>SUMIF($B$5:$B$45,B56,X$5:X$45)*(1+Summary!$C$8)</f>
        <v>0</v>
      </c>
      <c r="N56" s="106">
        <f>SUMIF($B$5:$B$45,B56,Z$5:Z$45)*(1+Summary!$C$8)</f>
        <v>0</v>
      </c>
      <c r="O56" s="107">
        <f t="shared" si="4"/>
        <v>9254.2799999999988</v>
      </c>
      <c r="P56" s="108">
        <f>NPV(Summary!$C$6,C56:N56)</f>
        <v>8807.7198814935437</v>
      </c>
    </row>
    <row r="57" spans="1:27" x14ac:dyDescent="0.25">
      <c r="A57" s="105" t="s">
        <v>83</v>
      </c>
      <c r="B57" s="20" t="s">
        <v>37</v>
      </c>
      <c r="C57" s="106">
        <f>SUMIF($B$5:$B$45,B57,D$5:D$45)*(1+Summary!$C$8)</f>
        <v>0</v>
      </c>
      <c r="D57" s="106">
        <f>SUMIF($B$5:$B$45,B57,F$5:F$45)*(1+Summary!$C$8)</f>
        <v>0</v>
      </c>
      <c r="E57" s="106">
        <f>SUMIF($B$5:$B$45,B57,H$5:H$45)*(1+Summary!$C$8)</f>
        <v>0</v>
      </c>
      <c r="F57" s="106">
        <f>SUMIF($B$5:$B$45,B57,J$5:J$45)*(1+Summary!$C$8)</f>
        <v>0</v>
      </c>
      <c r="G57" s="106">
        <f>SUMIF($B$5:$B$45,B57,L$5:L$45)*(1+Summary!$C$8)</f>
        <v>0</v>
      </c>
      <c r="H57" s="106">
        <f>SUMIF($B$5:$B$45,B57,N$5:N$45)*(1+Summary!$C$8)</f>
        <v>0</v>
      </c>
      <c r="I57" s="106">
        <f>SUMIF($B$5:$B$45,B57,P$5:P$45)*(1+Summary!$C$8)</f>
        <v>0</v>
      </c>
      <c r="J57" s="106">
        <f>SUMIF($B$5:$B$45,B57,R$5:R$45)*(1+Summary!$C$8)</f>
        <v>0</v>
      </c>
      <c r="K57" s="106">
        <f>SUMIF($B$5:$B$45,B57,T$5:T$45)*(1+Summary!$C$8)</f>
        <v>0</v>
      </c>
      <c r="L57" s="106">
        <f>SUMIF($B$5:$B$45,B57,V$5:V$45)*(1+Summary!$C$8)</f>
        <v>0</v>
      </c>
      <c r="M57" s="106">
        <f>SUMIF($B$5:$B$45,B57,X$5:X$45)*(1+Summary!$C$8)</f>
        <v>0</v>
      </c>
      <c r="N57" s="106">
        <f>SUMIF($B$5:$B$45,B57,Z$5:Z$45)*(1+Summary!$C$8)</f>
        <v>0</v>
      </c>
      <c r="O57" s="107">
        <f t="shared" si="4"/>
        <v>0</v>
      </c>
      <c r="P57" s="108">
        <f>NPV(Summary!$C$6,C57:N57)</f>
        <v>0</v>
      </c>
    </row>
    <row r="58" spans="1:27" x14ac:dyDescent="0.25">
      <c r="A58" s="109" t="s">
        <v>104</v>
      </c>
      <c r="B58" s="110"/>
      <c r="C58" s="111"/>
      <c r="D58" s="111"/>
      <c r="E58" s="111"/>
      <c r="F58" s="111"/>
      <c r="G58" s="111"/>
      <c r="H58" s="111"/>
      <c r="I58" s="111"/>
      <c r="J58" s="111"/>
      <c r="K58" s="111"/>
      <c r="L58" s="111"/>
      <c r="M58" s="111"/>
      <c r="N58" s="111"/>
      <c r="O58" s="112"/>
      <c r="P58" s="113"/>
    </row>
    <row r="59" spans="1:27" x14ac:dyDescent="0.25">
      <c r="A59" s="105" t="s">
        <v>59</v>
      </c>
      <c r="B59" s="20" t="s">
        <v>43</v>
      </c>
      <c r="C59" s="106">
        <f>SUMIF($B$5:$B$45,B59,D$5:D$45)*(1+Summary!$C$8)</f>
        <v>67140.420899999997</v>
      </c>
      <c r="D59" s="106">
        <f>SUMIF($B$5:$B$45,B59,F$5:F$45)*(1+Summary!$C$8)</f>
        <v>89984.802941249989</v>
      </c>
      <c r="E59" s="106">
        <f>SUMIF($B$5:$B$45,B59,H$5:H$45)*(1+Summary!$C$8)</f>
        <v>108023.1979168125</v>
      </c>
      <c r="F59" s="106">
        <f>SUMIF($B$5:$B$45,B59,J$5:J$45)*(1+Summary!$C$8)</f>
        <v>183026.66769049689</v>
      </c>
      <c r="G59" s="106">
        <f>SUMIF($B$5:$B$45,B59,L$5:L$45)*(1+Summary!$C$8)</f>
        <v>210395.66299125561</v>
      </c>
      <c r="H59" s="106">
        <f>SUMIF($B$5:$B$45,B59,N$5:N$45)*(1+Summary!$C$8)</f>
        <v>215655.554566037</v>
      </c>
      <c r="I59" s="106">
        <f>SUMIF($B$5:$B$45,B59,P$5:P$45)*(1+Summary!$C$8)</f>
        <v>0</v>
      </c>
      <c r="J59" s="106">
        <f>SUMIF($B$5:$B$45,B59,R$5:R$45)*(1+Summary!$C$8)</f>
        <v>0</v>
      </c>
      <c r="K59" s="106">
        <f>SUMIF($B$5:$B$45,B59,T$5:T$45)*(1+Summary!$C$8)</f>
        <v>0</v>
      </c>
      <c r="L59" s="106">
        <f>SUMIF($B$5:$B$45,B59,V$5:V$45)*(1+Summary!$C$8)</f>
        <v>0</v>
      </c>
      <c r="M59" s="106">
        <f>SUMIF($B$5:$B$45,B59,X$5:X$45)*(1+Summary!$C$8)</f>
        <v>0</v>
      </c>
      <c r="N59" s="106">
        <f>SUMIF($B$5:$B$45,B59,Z$5:Z$45)*(1+Summary!$C$8)</f>
        <v>0</v>
      </c>
      <c r="O59" s="107">
        <f t="shared" ref="O59:O61" si="5">SUM(C59:N59)</f>
        <v>874226.307005852</v>
      </c>
      <c r="P59" s="108">
        <f>NPV(Summary!$C$6,C59:N59)</f>
        <v>805253.34235465934</v>
      </c>
    </row>
    <row r="60" spans="1:27" x14ac:dyDescent="0.25">
      <c r="A60" s="105" t="s">
        <v>60</v>
      </c>
      <c r="B60" s="20" t="s">
        <v>41</v>
      </c>
      <c r="C60" s="106">
        <f>SUMIF($B$5:$B$45,B60,D$5:D$45)*(1+Summary!$C$8)</f>
        <v>0</v>
      </c>
      <c r="D60" s="106">
        <f>SUMIF($B$5:$B$45,B60,F$5:F$45)*(1+Summary!$C$8)</f>
        <v>0</v>
      </c>
      <c r="E60" s="106">
        <f>SUMIF($B$5:$B$45,B60,H$5:H$45)*(1+Summary!$C$8)</f>
        <v>0</v>
      </c>
      <c r="F60" s="106">
        <f>SUMIF($B$5:$B$45,B60,J$5:J$45)*(1+Summary!$C$8)</f>
        <v>0</v>
      </c>
      <c r="G60" s="106">
        <f>SUMIF($B$5:$B$45,B60,L$5:L$45)*(1+Summary!$C$8)</f>
        <v>0</v>
      </c>
      <c r="H60" s="106">
        <f>SUMIF($B$5:$B$45,B60,N$5:N$45)*(1+Summary!$C$8)</f>
        <v>0</v>
      </c>
      <c r="I60" s="106">
        <f>SUMIF($B$5:$B$45,B60,P$5:P$45)*(1+Summary!$C$8)</f>
        <v>0</v>
      </c>
      <c r="J60" s="106">
        <f>SUMIF($B$5:$B$45,B60,R$5:R$45)*(1+Summary!$C$8)</f>
        <v>0</v>
      </c>
      <c r="K60" s="106">
        <f>SUMIF($B$5:$B$45,B60,T$5:T$45)*(1+Summary!$C$8)</f>
        <v>0</v>
      </c>
      <c r="L60" s="106">
        <f>SUMIF($B$5:$B$45,B60,V$5:V$45)*(1+Summary!$C$8)</f>
        <v>0</v>
      </c>
      <c r="M60" s="106">
        <f>SUMIF($B$5:$B$45,B60,X$5:X$45)*(1+Summary!$C$8)</f>
        <v>0</v>
      </c>
      <c r="N60" s="106">
        <f>SUMIF($B$5:$B$45,B60,Z$5:Z$45)*(1+Summary!$C$8)</f>
        <v>0</v>
      </c>
      <c r="O60" s="107">
        <f t="shared" si="5"/>
        <v>0</v>
      </c>
      <c r="P60" s="108">
        <f>NPV(Summary!$C$6,C60:N60)</f>
        <v>0</v>
      </c>
    </row>
    <row r="61" spans="1:27" x14ac:dyDescent="0.25">
      <c r="A61" s="105" t="s">
        <v>61</v>
      </c>
      <c r="B61" s="20" t="s">
        <v>44</v>
      </c>
      <c r="C61" s="106">
        <f>SUMIF($B$5:$B$45,B61,D$5:D$45)*(1+Summary!$C$8)</f>
        <v>77700</v>
      </c>
      <c r="D61" s="106">
        <f>SUMIF($B$5:$B$45,B61,F$5:F$45)*(1+Summary!$C$8)</f>
        <v>95786.249999999985</v>
      </c>
      <c r="E61" s="106">
        <f>SUMIF($B$5:$B$45,B61,H$5:H$45)*(1+Summary!$C$8)</f>
        <v>104799.84374999997</v>
      </c>
      <c r="F61" s="106">
        <f>SUMIF($B$5:$B$45,B61,J$5:J$45)*(1+Summary!$C$8)</f>
        <v>160564.39218749994</v>
      </c>
      <c r="G61" s="106">
        <f>SUMIF($B$5:$B$45,B61,L$5:L$45)*(1+Summary!$C$8)</f>
        <v>181963.55501953114</v>
      </c>
      <c r="H61" s="106">
        <f>SUMIF($B$5:$B$45,B61,N$5:N$45)*(1+Summary!$C$8)</f>
        <v>186512.64389501943</v>
      </c>
      <c r="I61" s="106">
        <f>SUMIF($B$5:$B$45,B61,P$5:P$45)*(1+Summary!$C$8)</f>
        <v>0</v>
      </c>
      <c r="J61" s="106">
        <f>SUMIF($B$5:$B$45,B61,R$5:R$45)*(1+Summary!$C$8)</f>
        <v>0</v>
      </c>
      <c r="K61" s="106">
        <f>SUMIF($B$5:$B$45,B61,T$5:T$45)*(1+Summary!$C$8)</f>
        <v>0</v>
      </c>
      <c r="L61" s="106">
        <f>SUMIF($B$5:$B$45,B61,V$5:V$45)*(1+Summary!$C$8)</f>
        <v>0</v>
      </c>
      <c r="M61" s="106">
        <f>SUMIF($B$5:$B$45,B61,X$5:X$45)*(1+Summary!$C$8)</f>
        <v>0</v>
      </c>
      <c r="N61" s="106">
        <f>SUMIF($B$5:$B$45,B61,Z$5:Z$45)*(1+Summary!$C$8)</f>
        <v>0</v>
      </c>
      <c r="O61" s="107">
        <f t="shared" si="5"/>
        <v>807326.6848520505</v>
      </c>
      <c r="P61" s="108">
        <f>NPV(Summary!$C$6,C61:N61)</f>
        <v>745763.02472993883</v>
      </c>
    </row>
    <row r="62" spans="1:27" x14ac:dyDescent="0.25">
      <c r="A62" s="109" t="s">
        <v>105</v>
      </c>
      <c r="B62" s="110"/>
      <c r="C62" s="111"/>
      <c r="D62" s="111"/>
      <c r="E62" s="111"/>
      <c r="F62" s="111"/>
      <c r="G62" s="111"/>
      <c r="H62" s="111"/>
      <c r="I62" s="111"/>
      <c r="J62" s="111"/>
      <c r="K62" s="111"/>
      <c r="L62" s="111"/>
      <c r="M62" s="111"/>
      <c r="N62" s="111"/>
      <c r="O62" s="112"/>
      <c r="P62" s="113"/>
    </row>
    <row r="63" spans="1:27" x14ac:dyDescent="0.25">
      <c r="A63" s="105" t="s">
        <v>62</v>
      </c>
      <c r="B63" s="20" t="s">
        <v>48</v>
      </c>
      <c r="C63" s="106">
        <f>SUMIF($B$5:$B$45,B63,D$5:D$45)*(1+Summary!$C$8)</f>
        <v>0</v>
      </c>
      <c r="D63" s="106">
        <f>SUMIF($B$5:$B$45,B63,F$5:F$45)*(1+Summary!$C$8)</f>
        <v>0</v>
      </c>
      <c r="E63" s="106">
        <f>SUMIF($B$5:$B$45,B63,H$5:H$45)*(1+Summary!$C$8)</f>
        <v>0</v>
      </c>
      <c r="F63" s="106">
        <f>SUMIF($B$5:$B$45,B63,J$5:J$45)*(1+Summary!$C$8)</f>
        <v>0</v>
      </c>
      <c r="G63" s="106">
        <f>SUMIF($B$5:$B$45,B63,L$5:L$45)*(1+Summary!$C$8)</f>
        <v>0</v>
      </c>
      <c r="H63" s="106">
        <f>SUMIF($B$5:$B$45,B63,N$5:N$45)*(1+Summary!$C$8)</f>
        <v>0</v>
      </c>
      <c r="I63" s="106">
        <f>SUMIF($B$5:$B$45,B63,P$5:P$45)*(1+Summary!$C$8)</f>
        <v>0</v>
      </c>
      <c r="J63" s="106">
        <f>SUMIF($B$5:$B$45,B63,R$5:R$45)*(1+Summary!$C$8)</f>
        <v>0</v>
      </c>
      <c r="K63" s="106">
        <f>SUMIF($B$5:$B$45,B63,T$5:T$45)*(1+Summary!$C$8)</f>
        <v>0</v>
      </c>
      <c r="L63" s="106">
        <f>SUMIF($B$5:$B$45,B63,V$5:V$45)*(1+Summary!$C$8)</f>
        <v>0</v>
      </c>
      <c r="M63" s="106">
        <f>SUMIF($B$5:$B$45,B63,X$5:X$45)*(1+Summary!$C$8)</f>
        <v>0</v>
      </c>
      <c r="N63" s="106">
        <f>SUMIF($B$5:$B$45,B63,Z$5:Z$45)*(1+Summary!$C$8)</f>
        <v>0</v>
      </c>
      <c r="O63" s="107">
        <f t="shared" ref="O63:O65" si="6">SUM(C63:N63)</f>
        <v>0</v>
      </c>
      <c r="P63" s="108">
        <f>NPV(Summary!$C$6,C63:N63)</f>
        <v>0</v>
      </c>
    </row>
    <row r="64" spans="1:27" x14ac:dyDescent="0.25">
      <c r="A64" s="105" t="s">
        <v>63</v>
      </c>
      <c r="B64" s="20" t="s">
        <v>46</v>
      </c>
      <c r="C64" s="106">
        <f>SUMIF($B$5:$B$45,B64,D$5:D$45)*(1+Summary!$C$8)</f>
        <v>0</v>
      </c>
      <c r="D64" s="106">
        <f>SUMIF($B$5:$B$45,B64,F$5:F$45)*(1+Summary!$C$8)</f>
        <v>0</v>
      </c>
      <c r="E64" s="106">
        <f>SUMIF($B$5:$B$45,B64,H$5:H$45)*(1+Summary!$C$8)</f>
        <v>0</v>
      </c>
      <c r="F64" s="106">
        <f>SUMIF($B$5:$B$45,B64,J$5:J$45)*(1+Summary!$C$8)</f>
        <v>0</v>
      </c>
      <c r="G64" s="106">
        <f>SUMIF($B$5:$B$45,B64,L$5:L$45)*(1+Summary!$C$8)</f>
        <v>0</v>
      </c>
      <c r="H64" s="106">
        <f>SUMIF($B$5:$B$45,B64,N$5:N$45)*(1+Summary!$C$8)</f>
        <v>0</v>
      </c>
      <c r="I64" s="106">
        <f>SUMIF($B$5:$B$45,B64,P$5:P$45)*(1+Summary!$C$8)</f>
        <v>0</v>
      </c>
      <c r="J64" s="106">
        <f>SUMIF($B$5:$B$45,B64,R$5:R$45)*(1+Summary!$C$8)</f>
        <v>0</v>
      </c>
      <c r="K64" s="106">
        <f>SUMIF($B$5:$B$45,B64,T$5:T$45)*(1+Summary!$C$8)</f>
        <v>0</v>
      </c>
      <c r="L64" s="106">
        <f>SUMIF($B$5:$B$45,B64,V$5:V$45)*(1+Summary!$C$8)</f>
        <v>0</v>
      </c>
      <c r="M64" s="106">
        <f>SUMIF($B$5:$B$45,B64,X$5:X$45)*(1+Summary!$C$8)</f>
        <v>0</v>
      </c>
      <c r="N64" s="106">
        <f>SUMIF($B$5:$B$45,B64,Z$5:Z$45)*(1+Summary!$C$8)</f>
        <v>0</v>
      </c>
      <c r="O64" s="107">
        <f t="shared" si="6"/>
        <v>0</v>
      </c>
      <c r="P64" s="108">
        <f>NPV(Summary!$C$6,C64:N64)</f>
        <v>0</v>
      </c>
    </row>
    <row r="65" spans="1:16" x14ac:dyDescent="0.25">
      <c r="A65" s="105" t="s">
        <v>64</v>
      </c>
      <c r="B65" s="20" t="s">
        <v>50</v>
      </c>
      <c r="C65" s="106">
        <f>SUMIF($B$5:$B$45,B65,D$5:D$45)*(1+Summary!$C$8)</f>
        <v>0</v>
      </c>
      <c r="D65" s="106">
        <f>SUMIF($B$5:$B$45,B65,F$5:F$45)*(1+Summary!$C$8)</f>
        <v>0</v>
      </c>
      <c r="E65" s="106">
        <f>SUMIF($B$5:$B$45,B65,H$5:H$45)*(1+Summary!$C$8)</f>
        <v>0</v>
      </c>
      <c r="F65" s="106">
        <f>SUMIF($B$5:$B$45,B65,J$5:J$45)*(1+Summary!$C$8)</f>
        <v>0</v>
      </c>
      <c r="G65" s="106">
        <f>SUMIF($B$5:$B$45,B65,L$5:L$45)*(1+Summary!$C$8)</f>
        <v>0</v>
      </c>
      <c r="H65" s="106">
        <f>SUMIF($B$5:$B$45,B65,N$5:N$45)*(1+Summary!$C$8)</f>
        <v>0</v>
      </c>
      <c r="I65" s="106">
        <f>SUMIF($B$5:$B$45,B65,P$5:P$45)*(1+Summary!$C$8)</f>
        <v>0</v>
      </c>
      <c r="J65" s="106">
        <f>SUMIF($B$5:$B$45,B65,R$5:R$45)*(1+Summary!$C$8)</f>
        <v>0</v>
      </c>
      <c r="K65" s="106">
        <f>SUMIF($B$5:$B$45,B65,T$5:T$45)*(1+Summary!$C$8)</f>
        <v>0</v>
      </c>
      <c r="L65" s="106">
        <f>SUMIF($B$5:$B$45,B65,V$5:V$45)*(1+Summary!$C$8)</f>
        <v>0</v>
      </c>
      <c r="M65" s="106">
        <f>SUMIF($B$5:$B$45,B65,X$5:X$45)*(1+Summary!$C$8)</f>
        <v>0</v>
      </c>
      <c r="N65" s="106">
        <f>SUMIF($B$5:$B$45,B65,Z$5:Z$45)*(1+Summary!$C$8)</f>
        <v>0</v>
      </c>
      <c r="O65" s="107">
        <f t="shared" si="6"/>
        <v>0</v>
      </c>
      <c r="P65" s="108">
        <f>NPV(Summary!$C$6,C65:N65)</f>
        <v>0</v>
      </c>
    </row>
    <row r="66" spans="1:16" x14ac:dyDescent="0.25">
      <c r="A66" s="100" t="s">
        <v>107</v>
      </c>
      <c r="B66" s="110"/>
      <c r="C66" s="111"/>
      <c r="D66" s="111"/>
      <c r="E66" s="111"/>
      <c r="F66" s="111"/>
      <c r="G66" s="111"/>
      <c r="H66" s="111"/>
      <c r="I66" s="111"/>
      <c r="J66" s="111"/>
      <c r="K66" s="111"/>
      <c r="L66" s="111"/>
      <c r="M66" s="111"/>
      <c r="N66" s="111"/>
      <c r="O66" s="112"/>
      <c r="P66" s="113"/>
    </row>
    <row r="67" spans="1:16" x14ac:dyDescent="0.25">
      <c r="A67" s="105" t="s">
        <v>65</v>
      </c>
      <c r="B67" s="20" t="s">
        <v>34</v>
      </c>
      <c r="C67" s="106">
        <f>SUMIF($C$5:$C$45,B67,E$5:E$45)*(1+Summary!$C$8)</f>
        <v>0</v>
      </c>
      <c r="D67" s="106">
        <f>SUMIF($C$5:$C$45,B67,G$5:G$45)*(1+Summary!$C$8)</f>
        <v>8328.851999999999</v>
      </c>
      <c r="E67" s="106">
        <f>SUMIF($C$5:$C$45,B67,I$5:I$45)*(1+Summary!$C$8)</f>
        <v>41226.198595070993</v>
      </c>
      <c r="F67" s="106">
        <f>SUMIF($C$5:$C$45,B67,K$5:K$45)*(1+Summary!$C$8)</f>
        <v>42375.428140602373</v>
      </c>
      <c r="G67" s="106">
        <f>SUMIF($C$5:$C$45,B67,M$5:M$45)*(1+Summary!$C$8)</f>
        <v>43557.376544013401</v>
      </c>
      <c r="H67" s="106">
        <f>SUMIF($C$5:$C$45,B67,O$5:O$45)*(1+Summary!$C$8)</f>
        <v>44688.058484728877</v>
      </c>
      <c r="I67" s="106">
        <f>SUMIF($C$5:$C$45,B67,Q$5:Q$45)*(1+Summary!$C$8)</f>
        <v>45892.639554981099</v>
      </c>
      <c r="J67" s="106">
        <f>SUMIF($C$5:$C$45,B67,S$5:S$45)*(1+Summary!$C$8)</f>
        <v>47130.606058897174</v>
      </c>
      <c r="K67" s="106">
        <f>SUMIF($C$5:$C$45,B67,U$5:U$45)*(1+Summary!$C$8)</f>
        <v>48082.809622558052</v>
      </c>
      <c r="L67" s="106">
        <f>SUMIF($C$5:$C$45,B67,W$5:W$45)*(1+Summary!$C$8)</f>
        <v>49054.297043554208</v>
      </c>
      <c r="M67" s="106">
        <f>SUMIF($C$5:$C$45,B67,Y$5:Y$45)*(1+Summary!$C$8)</f>
        <v>50045.459993683922</v>
      </c>
      <c r="N67" s="106">
        <f>SUMIF($C$5:$C$45,B67,AA$5:AA$45)*(1+Summary!$C$8)</f>
        <v>51056.698128047683</v>
      </c>
      <c r="O67" s="107">
        <f t="shared" ref="O67:O68" si="7">SUM(C67:N67)</f>
        <v>471438.42416613776</v>
      </c>
      <c r="P67" s="108">
        <f>NPV(Summary!$C$5,C67:N67)</f>
        <v>406295.66875293769</v>
      </c>
    </row>
    <row r="68" spans="1:16" x14ac:dyDescent="0.25">
      <c r="A68" s="105" t="s">
        <v>66</v>
      </c>
      <c r="B68" s="20" t="s">
        <v>39</v>
      </c>
      <c r="C68" s="106">
        <f>SUMIF($C$5:$C$45,B68,E$5:E$45)*(1+Summary!$C$8)</f>
        <v>0</v>
      </c>
      <c r="D68" s="106">
        <f>SUMIF($C$5:$C$45,B68,G$5:G$45)*(1+Summary!$C$8)</f>
        <v>117.60000000000002</v>
      </c>
      <c r="E68" s="106">
        <f>SUMIF($C$5:$C$45,B68,I$5:I$45)*(1+Summary!$C$8)</f>
        <v>258.29999999999995</v>
      </c>
      <c r="F68" s="106">
        <f>SUMIF($C$5:$C$45,B68,K$5:K$45)*(1+Summary!$C$8)</f>
        <v>405.96149999999994</v>
      </c>
      <c r="G68" s="106">
        <f>SUMIF($C$5:$C$45,B68,M$5:M$45)*(1+Summary!$C$8)</f>
        <v>524.66111249999983</v>
      </c>
      <c r="H68" s="106">
        <f>SUMIF($C$5:$C$45,B68,O$5:O$45)*(1+Summary!$C$8)</f>
        <v>667.58603624999967</v>
      </c>
      <c r="I68" s="106">
        <f>SUMIF($C$5:$C$45,B68,Q$5:Q$45)*(1+Summary!$C$8)</f>
        <v>817.32929299218711</v>
      </c>
      <c r="J68" s="106">
        <f>SUMIF($C$5:$C$45,B68,S$5:S$45)*(1+Summary!$C$8)</f>
        <v>837.76252531699174</v>
      </c>
      <c r="K68" s="106">
        <f>SUMIF($C$5:$C$45,B68,U$5:U$45)*(1+Summary!$C$8)</f>
        <v>858.70658844991647</v>
      </c>
      <c r="L68" s="106">
        <f>SUMIF($C$5:$C$45,B68,W$5:W$45)*(1+Summary!$C$8)</f>
        <v>880.17425316116419</v>
      </c>
      <c r="M68" s="106">
        <f>SUMIF($C$5:$C$45,B68,Y$5:Y$45)*(1+Summary!$C$8)</f>
        <v>902.17860949019314</v>
      </c>
      <c r="N68" s="106">
        <f>SUMIF($C$5:$C$45,B68,AA$5:AA$45)*(1+Summary!$C$8)</f>
        <v>924.73307472744796</v>
      </c>
      <c r="O68" s="107">
        <f t="shared" si="7"/>
        <v>7194.992992887901</v>
      </c>
      <c r="P68" s="108">
        <f>NPV(Summary!$C$5,C68:N68)</f>
        <v>6121.3479370790155</v>
      </c>
    </row>
    <row r="69" spans="1:16" x14ac:dyDescent="0.25">
      <c r="A69" s="105" t="s">
        <v>77</v>
      </c>
      <c r="B69" s="20" t="s">
        <v>78</v>
      </c>
      <c r="C69" s="106">
        <f>SUMIF($C$5:$C$45,B69,E$5:E$45)*(1+Summary!$C$8)</f>
        <v>3181.9402338716409</v>
      </c>
      <c r="D69" s="106">
        <f>SUMIF($C$5:$C$45,B69,G$5:G$45)*(1+Summary!$C$8)</f>
        <v>8124.1974225584427</v>
      </c>
      <c r="E69" s="106">
        <f>SUMIF($C$5:$C$45,B69,I$5:I$45)*(1+Summary!$C$8)</f>
        <v>14565.656084360868</v>
      </c>
      <c r="F69" s="106">
        <f>SUMIF($C$5:$C$45,B69,K$5:K$45)*(1+Summary!$C$8)</f>
        <v>21374.85596853332</v>
      </c>
      <c r="G69" s="106">
        <f>SUMIF($C$5:$C$45,B69,M$5:M$45)*(1+Summary!$C$8)</f>
        <v>29156.465978314522</v>
      </c>
      <c r="H69" s="106">
        <f>SUMIF($C$5:$C$45,B69,O$5:O$45)*(1+Summary!$C$8)</f>
        <v>37125.616222750657</v>
      </c>
      <c r="I69" s="106">
        <f>SUMIF($C$5:$C$45,B69,Q$5:Q$45)*(1+Summary!$C$8)</f>
        <v>37125.616222750657</v>
      </c>
      <c r="J69" s="106">
        <f>SUMIF($C$5:$C$45,B69,S$5:S$45)*(1+Summary!$C$8)</f>
        <v>37125.616222750657</v>
      </c>
      <c r="K69" s="106">
        <f>SUMIF($C$5:$C$45,B69,U$5:U$45)*(1+Summary!$C$8)</f>
        <v>37125.616222750657</v>
      </c>
      <c r="L69" s="106">
        <f>SUMIF($C$5:$C$45,B69,W$5:W$45)*(1+Summary!$C$8)</f>
        <v>37125.616222750657</v>
      </c>
      <c r="M69" s="106">
        <f>SUMIF($C$5:$C$45,B69,Y$5:Y$45)*(1+Summary!$C$8)</f>
        <v>37125.616222750657</v>
      </c>
      <c r="N69" s="106">
        <f>SUMIF($C$5:$C$45,B69,AA$5:AA$45)*(1+Summary!$C$8)</f>
        <v>37125.616222750657</v>
      </c>
      <c r="O69" s="107">
        <f t="shared" ref="O69" si="8">SUM(C69:N69)</f>
        <v>336282.42924689339</v>
      </c>
      <c r="P69" s="108">
        <f>NPV(Summary!$C$5,C69:N69)</f>
        <v>288434.76048872218</v>
      </c>
    </row>
    <row r="70" spans="1:16" x14ac:dyDescent="0.25">
      <c r="A70" s="109" t="s">
        <v>108</v>
      </c>
      <c r="B70" s="110"/>
      <c r="C70" s="111"/>
      <c r="D70" s="111"/>
      <c r="E70" s="111"/>
      <c r="F70" s="111"/>
      <c r="G70" s="111"/>
      <c r="H70" s="111"/>
      <c r="I70" s="111"/>
      <c r="J70" s="111"/>
      <c r="K70" s="111"/>
      <c r="L70" s="111"/>
      <c r="M70" s="111"/>
      <c r="N70" s="111"/>
      <c r="O70" s="112"/>
      <c r="P70" s="113"/>
    </row>
    <row r="71" spans="1:16" x14ac:dyDescent="0.25">
      <c r="A71" s="105" t="s">
        <v>67</v>
      </c>
      <c r="B71" s="20" t="s">
        <v>42</v>
      </c>
      <c r="C71" s="106">
        <f>SUMIF($C$5:$C$45,B71,E$5:E$45)*(1+Summary!$C$8)</f>
        <v>0</v>
      </c>
      <c r="D71" s="106">
        <f>SUMIF($C$5:$C$45,B71,G$5:G$45)*(1+Summary!$C$8)</f>
        <v>0</v>
      </c>
      <c r="E71" s="106">
        <f>SUMIF($C$5:$C$45,B71,I$5:I$45)*(1+Summary!$C$8)</f>
        <v>4265.2488125373002</v>
      </c>
      <c r="F71" s="106">
        <f>SUMIF($C$5:$C$45,B71,K$5:K$45)*(1+Summary!$C$8)</f>
        <v>9024.3726572235319</v>
      </c>
      <c r="G71" s="106">
        <f>SUMIF($C$5:$C$45,B71,M$5:M$45)*(1+Summary!$C$8)</f>
        <v>14476.43574925276</v>
      </c>
      <c r="H71" s="106">
        <f>SUMIF($C$5:$C$45,B71,O$5:O$45)*(1+Summary!$C$8)</f>
        <v>17278.299954288093</v>
      </c>
      <c r="I71" s="106">
        <f>SUMIF($C$5:$C$45,B71,Q$5:Q$45)*(1+Summary!$C$8)</f>
        <v>20513.398666298981</v>
      </c>
      <c r="J71" s="106">
        <f>SUMIF($C$5:$C$45,B71,S$5:S$45)*(1+Summary!$C$8)</f>
        <v>23899.453376438982</v>
      </c>
      <c r="K71" s="106">
        <f>SUMIF($C$5:$C$45,B71,U$5:U$45)*(1+Summary!$C$8)</f>
        <v>24496.939710849954</v>
      </c>
      <c r="L71" s="106">
        <f>SUMIF($C$5:$C$45,B71,W$5:W$45)*(1+Summary!$C$8)</f>
        <v>25109.363203621204</v>
      </c>
      <c r="M71" s="106">
        <f>SUMIF($C$5:$C$45,B71,Y$5:Y$45)*(1+Summary!$C$8)</f>
        <v>25737.09728371173</v>
      </c>
      <c r="N71" s="106">
        <f>SUMIF($C$5:$C$45,B71,AA$5:AA$45)*(1+Summary!$C$8)</f>
        <v>26380.524715804524</v>
      </c>
      <c r="O71" s="107">
        <f t="shared" ref="O71:O72" si="9">SUM(C71:N71)</f>
        <v>191181.13413002706</v>
      </c>
      <c r="P71" s="108">
        <f>NPV(Summary!$C$5,C71:N71)</f>
        <v>161663.48222922633</v>
      </c>
    </row>
    <row r="72" spans="1:16" x14ac:dyDescent="0.25">
      <c r="A72" s="105" t="s">
        <v>68</v>
      </c>
      <c r="B72" s="20" t="s">
        <v>45</v>
      </c>
      <c r="C72" s="106">
        <f>SUMIF($C$5:$C$45,B72,E$5:E$45)*(1+Summary!$C$8)</f>
        <v>0</v>
      </c>
      <c r="D72" s="106">
        <f>SUMIF($C$5:$C$45,B72,G$5:G$45)*(1+Summary!$C$8)</f>
        <v>0</v>
      </c>
      <c r="E72" s="106">
        <f>SUMIF($C$5:$C$45,B72,I$5:I$45)*(1+Summary!$C$8)</f>
        <v>0</v>
      </c>
      <c r="F72" s="106">
        <f>SUMIF($C$5:$C$45,B72,K$5:K$45)*(1+Summary!$C$8)</f>
        <v>0</v>
      </c>
      <c r="G72" s="106">
        <f>SUMIF($C$5:$C$45,B72,M$5:M$45)*(1+Summary!$C$8)</f>
        <v>0</v>
      </c>
      <c r="H72" s="106">
        <f>SUMIF($C$5:$C$45,B72,O$5:O$45)*(1+Summary!$C$8)</f>
        <v>0</v>
      </c>
      <c r="I72" s="106">
        <f>SUMIF($C$5:$C$45,B72,Q$5:Q$45)*(1+Summary!$C$8)</f>
        <v>0</v>
      </c>
      <c r="J72" s="106">
        <f>SUMIF($C$5:$C$45,B72,S$5:S$45)*(1+Summary!$C$8)</f>
        <v>0</v>
      </c>
      <c r="K72" s="106">
        <f>SUMIF($C$5:$C$45,B72,U$5:U$45)*(1+Summary!$C$8)</f>
        <v>0</v>
      </c>
      <c r="L72" s="106">
        <f>SUMIF($C$5:$C$45,B72,W$5:W$45)*(1+Summary!$C$8)</f>
        <v>0</v>
      </c>
      <c r="M72" s="106">
        <f>SUMIF($C$5:$C$45,B72,Y$5:Y$45)*(1+Summary!$C$8)</f>
        <v>0</v>
      </c>
      <c r="N72" s="106">
        <f>SUMIF($C$5:$C$45,B72,AA$5:AA$45)*(1+Summary!$C$8)</f>
        <v>0</v>
      </c>
      <c r="O72" s="107">
        <f t="shared" si="9"/>
        <v>0</v>
      </c>
      <c r="P72" s="108">
        <f>NPV(Summary!$C$5,C72:N72)</f>
        <v>0</v>
      </c>
    </row>
    <row r="73" spans="1:16" x14ac:dyDescent="0.25">
      <c r="A73" s="109" t="s">
        <v>109</v>
      </c>
      <c r="B73" s="110"/>
      <c r="C73" s="111"/>
      <c r="D73" s="111"/>
      <c r="E73" s="111"/>
      <c r="F73" s="111"/>
      <c r="G73" s="111"/>
      <c r="H73" s="111"/>
      <c r="I73" s="111"/>
      <c r="J73" s="111"/>
      <c r="K73" s="111"/>
      <c r="L73" s="111"/>
      <c r="M73" s="111"/>
      <c r="N73" s="111"/>
      <c r="O73" s="112"/>
      <c r="P73" s="113"/>
    </row>
    <row r="74" spans="1:16" x14ac:dyDescent="0.25">
      <c r="A74" s="105" t="s">
        <v>69</v>
      </c>
      <c r="B74" s="20" t="s">
        <v>49</v>
      </c>
      <c r="C74" s="106">
        <f>SUMIF($C$5:$C$45,B74,E$5:E$45)*(1+Summary!$C$8)</f>
        <v>0</v>
      </c>
      <c r="D74" s="106">
        <f>SUMIF($C$5:$C$45,B74,G$5:G$45)*(1+Summary!$C$8)</f>
        <v>0</v>
      </c>
      <c r="E74" s="106">
        <f>SUMIF($C$5:$C$45,B74,I$5:I$45)*(1+Summary!$C$8)</f>
        <v>0</v>
      </c>
      <c r="F74" s="106">
        <f>SUMIF($C$5:$C$45,B74,K$5:K$45)*(1+Summary!$C$8)</f>
        <v>0</v>
      </c>
      <c r="G74" s="106">
        <f>SUMIF($C$5:$C$45,B74,M$5:M$45)*(1+Summary!$C$8)</f>
        <v>0</v>
      </c>
      <c r="H74" s="106">
        <f>SUMIF($C$5:$C$45,B74,O$5:O$45)*(1+Summary!$C$8)</f>
        <v>0</v>
      </c>
      <c r="I74" s="106">
        <f>SUMIF($C$5:$C$45,B74,Q$5:Q$45)*(1+Summary!$C$8)</f>
        <v>0</v>
      </c>
      <c r="J74" s="106">
        <f>SUMIF($C$5:$C$45,B74,S$5:S$45)*(1+Summary!$C$8)</f>
        <v>0</v>
      </c>
      <c r="K74" s="106">
        <f>SUMIF($C$5:$C$45,B74,U$5:U$45)*(1+Summary!$C$8)</f>
        <v>0</v>
      </c>
      <c r="L74" s="106">
        <f>SUMIF($C$5:$C$45,B74,W$5:W$45)*(1+Summary!$C$8)</f>
        <v>0</v>
      </c>
      <c r="M74" s="106">
        <f>SUMIF($C$5:$C$45,B74,Y$5:Y$45)*(1+Summary!$C$8)</f>
        <v>0</v>
      </c>
      <c r="N74" s="106">
        <f>SUMIF($C$5:$C$45,B74,AA$5:AA$45)*(1+Summary!$C$8)</f>
        <v>0</v>
      </c>
      <c r="O74" s="107">
        <f t="shared" ref="O74:O76" si="10">SUM(C74:N74)</f>
        <v>0</v>
      </c>
      <c r="P74" s="108">
        <f>NPV(Summary!$C$5,C74:N74)</f>
        <v>0</v>
      </c>
    </row>
    <row r="75" spans="1:16" x14ac:dyDescent="0.25">
      <c r="A75" s="105" t="s">
        <v>70</v>
      </c>
      <c r="B75" s="20" t="s">
        <v>47</v>
      </c>
      <c r="C75" s="106">
        <f>SUMIF($C$5:$C$45,B75,E$5:E$45)*(1+Summary!$C$8)</f>
        <v>0</v>
      </c>
      <c r="D75" s="106">
        <f>SUMIF($C$5:$C$45,B75,G$5:G$45)*(1+Summary!$C$8)</f>
        <v>165900</v>
      </c>
      <c r="E75" s="106">
        <f>SUMIF($C$5:$C$45,B75,I$5:I$45)*(1+Summary!$C$8)</f>
        <v>170047.5</v>
      </c>
      <c r="F75" s="106">
        <f>SUMIF($C$5:$C$45,B75,K$5:K$45)*(1+Summary!$C$8)</f>
        <v>174298.6875</v>
      </c>
      <c r="G75" s="106">
        <f>SUMIF($C$5:$C$45,B75,M$5:M$45)*(1+Summary!$C$8)</f>
        <v>178656.15468749998</v>
      </c>
      <c r="H75" s="106">
        <f>SUMIF($C$5:$C$45,B75,O$5:O$45)*(1+Summary!$C$8)</f>
        <v>183122.55855468748</v>
      </c>
      <c r="I75" s="106">
        <f>SUMIF($C$5:$C$45,B75,Q$5:Q$45)*(1+Summary!$C$8)</f>
        <v>187700.62251855465</v>
      </c>
      <c r="J75" s="106">
        <f>SUMIF($C$5:$C$45,B75,S$5:S$45)*(1+Summary!$C$8)</f>
        <v>192393.1380815185</v>
      </c>
      <c r="K75" s="106">
        <f>SUMIF($C$5:$C$45,B75,U$5:U$45)*(1+Summary!$C$8)</f>
        <v>197202.96653355644</v>
      </c>
      <c r="L75" s="106">
        <f>SUMIF($C$5:$C$45,B75,W$5:W$45)*(1+Summary!$C$8)</f>
        <v>202133.04069689533</v>
      </c>
      <c r="M75" s="106">
        <f>SUMIF($C$5:$C$45,B75,Y$5:Y$45)*(1+Summary!$C$8)</f>
        <v>207186.3667143177</v>
      </c>
      <c r="N75" s="106">
        <f>SUMIF($C$5:$C$45,B75,AA$5:AA$45)*(1+Summary!$C$8)</f>
        <v>212366.0258821756</v>
      </c>
      <c r="O75" s="107">
        <f t="shared" si="10"/>
        <v>2071007.0611692057</v>
      </c>
      <c r="P75" s="108">
        <f>NPV(Summary!$C$5,C75:N75)</f>
        <v>1797666.4726601799</v>
      </c>
    </row>
    <row r="76" spans="1:16" x14ac:dyDescent="0.25">
      <c r="A76" s="105" t="s">
        <v>71</v>
      </c>
      <c r="B76" s="20" t="s">
        <v>72</v>
      </c>
      <c r="C76" s="106">
        <f>SUMIF($C$5:$C$45,B76,E$5:E$45)*(1+Summary!$C$8)</f>
        <v>0</v>
      </c>
      <c r="D76" s="106">
        <f>SUMIF($C$5:$C$45,B76,G$5:G$45)*(1+Summary!$C$8)</f>
        <v>0</v>
      </c>
      <c r="E76" s="106">
        <f>SUMIF($C$5:$C$45,B76,I$5:I$45)*(1+Summary!$C$8)</f>
        <v>0</v>
      </c>
      <c r="F76" s="106">
        <f>SUMIF($C$5:$C$45,B76,K$5:K$45)*(1+Summary!$C$8)</f>
        <v>0</v>
      </c>
      <c r="G76" s="106">
        <f>SUMIF($C$5:$C$45,B76,M$5:M$45)*(1+Summary!$C$8)</f>
        <v>0</v>
      </c>
      <c r="H76" s="106">
        <f>SUMIF($C$5:$C$45,B76,O$5:O$45)*(1+Summary!$C$8)</f>
        <v>0</v>
      </c>
      <c r="I76" s="106">
        <f>SUMIF($C$5:$C$45,B76,Q$5:Q$45)*(1+Summary!$C$8)</f>
        <v>0</v>
      </c>
      <c r="J76" s="106">
        <f>SUMIF($C$5:$C$45,B76,S$5:S$45)*(1+Summary!$C$8)</f>
        <v>0</v>
      </c>
      <c r="K76" s="106">
        <f>SUMIF($C$5:$C$45,B76,U$5:U$45)*(1+Summary!$C$8)</f>
        <v>0</v>
      </c>
      <c r="L76" s="106">
        <f>SUMIF($C$5:$C$45,B76,W$5:W$45)*(1+Summary!$C$8)</f>
        <v>0</v>
      </c>
      <c r="M76" s="106">
        <f>SUMIF($C$5:$C$45,B76,Y$5:Y$45)*(1+Summary!$C$8)</f>
        <v>0</v>
      </c>
      <c r="N76" s="106">
        <f>SUMIF($C$5:$C$45,B76,AA$5:AA$45)*(1+Summary!$C$8)</f>
        <v>0</v>
      </c>
      <c r="O76" s="107">
        <f t="shared" si="10"/>
        <v>0</v>
      </c>
      <c r="P76" s="108">
        <f>NPV(Summary!$C$5,C76:N76)</f>
        <v>0</v>
      </c>
    </row>
    <row r="77" spans="1:16" x14ac:dyDescent="0.25">
      <c r="A77" s="114"/>
      <c r="B77" s="115" t="s">
        <v>74</v>
      </c>
      <c r="C77" s="29">
        <f t="shared" ref="C77:P77" si="11">SUM(C53:C76)</f>
        <v>169608.03864097164</v>
      </c>
      <c r="D77" s="29">
        <f t="shared" si="11"/>
        <v>440967.20208620839</v>
      </c>
      <c r="E77" s="29">
        <f t="shared" si="11"/>
        <v>567272.69888118154</v>
      </c>
      <c r="F77" s="29">
        <f t="shared" si="11"/>
        <v>603623.19493615604</v>
      </c>
      <c r="G77" s="29">
        <f t="shared" si="11"/>
        <v>673375.27958946745</v>
      </c>
      <c r="H77" s="29">
        <f t="shared" si="11"/>
        <v>699695.28522086155</v>
      </c>
      <c r="I77" s="29">
        <f t="shared" si="11"/>
        <v>292049.60625557759</v>
      </c>
      <c r="J77" s="29">
        <f t="shared" si="11"/>
        <v>301386.57626492227</v>
      </c>
      <c r="K77" s="29">
        <f t="shared" si="11"/>
        <v>307767.038678165</v>
      </c>
      <c r="L77" s="29">
        <f t="shared" si="11"/>
        <v>314302.49141998257</v>
      </c>
      <c r="M77" s="29">
        <f t="shared" si="11"/>
        <v>320996.71882395423</v>
      </c>
      <c r="N77" s="29">
        <f t="shared" si="11"/>
        <v>327853.59802350588</v>
      </c>
      <c r="O77" s="29">
        <f t="shared" si="11"/>
        <v>5018897.7288209535</v>
      </c>
      <c r="P77" s="29">
        <f t="shared" si="11"/>
        <v>4457057.3117128424</v>
      </c>
    </row>
    <row r="78" spans="1:16" x14ac:dyDescent="0.25">
      <c r="A78" s="116"/>
      <c r="B78" s="117" t="s">
        <v>75</v>
      </c>
      <c r="C78" s="118">
        <f>D48+E48</f>
        <v>169608.03864097162</v>
      </c>
      <c r="D78" s="118">
        <f>F48+G48</f>
        <v>440967.20208620839</v>
      </c>
      <c r="E78" s="118">
        <f>H48+I48</f>
        <v>567272.69888118166</v>
      </c>
      <c r="F78" s="118">
        <f>J48+K48</f>
        <v>603623.19493615604</v>
      </c>
      <c r="G78" s="118">
        <f>L48+M48</f>
        <v>673375.27958946745</v>
      </c>
      <c r="H78" s="118">
        <f>N48+O48</f>
        <v>699695.28522086155</v>
      </c>
      <c r="I78" s="118">
        <f>P48+Q48</f>
        <v>292049.60625557759</v>
      </c>
      <c r="J78" s="118">
        <f>R48+S48</f>
        <v>301386.57626492227</v>
      </c>
      <c r="K78" s="118">
        <f>T48+U48</f>
        <v>307767.038678165</v>
      </c>
      <c r="L78" s="118">
        <f>V48+W48</f>
        <v>314302.49141998257</v>
      </c>
      <c r="M78" s="118">
        <f>X48+Y48</f>
        <v>320996.71882395417</v>
      </c>
      <c r="N78" s="118">
        <f>Z48+AA48</f>
        <v>327853.59802350594</v>
      </c>
      <c r="O78" s="129">
        <f>SUM(D48:AA48)</f>
        <v>5018897.7288209544</v>
      </c>
      <c r="P78" s="53"/>
    </row>
    <row r="79" spans="1:16" ht="15.75" thickBot="1" x14ac:dyDescent="0.3">
      <c r="A79" s="119"/>
      <c r="B79" s="121" t="s">
        <v>76</v>
      </c>
      <c r="C79" s="122">
        <f t="shared" ref="C79:O79" si="12">C77-C78</f>
        <v>0</v>
      </c>
      <c r="D79" s="122">
        <f t="shared" si="12"/>
        <v>0</v>
      </c>
      <c r="E79" s="122">
        <f t="shared" si="12"/>
        <v>0</v>
      </c>
      <c r="F79" s="122">
        <f t="shared" si="12"/>
        <v>0</v>
      </c>
      <c r="G79" s="122">
        <f t="shared" si="12"/>
        <v>0</v>
      </c>
      <c r="H79" s="122">
        <f t="shared" si="12"/>
        <v>0</v>
      </c>
      <c r="I79" s="122">
        <f t="shared" si="12"/>
        <v>0</v>
      </c>
      <c r="J79" s="122">
        <f t="shared" si="12"/>
        <v>0</v>
      </c>
      <c r="K79" s="122">
        <f t="shared" si="12"/>
        <v>0</v>
      </c>
      <c r="L79" s="122">
        <f t="shared" si="12"/>
        <v>0</v>
      </c>
      <c r="M79" s="122">
        <f t="shared" si="12"/>
        <v>0</v>
      </c>
      <c r="N79" s="122">
        <f t="shared" si="12"/>
        <v>0</v>
      </c>
      <c r="O79" s="122">
        <f t="shared" si="12"/>
        <v>0</v>
      </c>
      <c r="P79" s="120"/>
    </row>
    <row r="80" spans="1:16" ht="15.75" thickTop="1" x14ac:dyDescent="0.25"/>
  </sheetData>
  <mergeCells count="29">
    <mergeCell ref="D2:E2"/>
    <mergeCell ref="F2:G2"/>
    <mergeCell ref="H2:O2"/>
    <mergeCell ref="A3:A4"/>
    <mergeCell ref="B3:C3"/>
    <mergeCell ref="D3:E3"/>
    <mergeCell ref="F3:G3"/>
    <mergeCell ref="V3:W3"/>
    <mergeCell ref="X3:Y3"/>
    <mergeCell ref="Z3:AA3"/>
    <mergeCell ref="H3:I3"/>
    <mergeCell ref="J3:K3"/>
    <mergeCell ref="L3:M3"/>
    <mergeCell ref="N3:O3"/>
    <mergeCell ref="P3:Q3"/>
    <mergeCell ref="R3:S3"/>
    <mergeCell ref="D46:E46"/>
    <mergeCell ref="F46:G46"/>
    <mergeCell ref="H46:I46"/>
    <mergeCell ref="J46:K46"/>
    <mergeCell ref="T3:U3"/>
    <mergeCell ref="X46:Y46"/>
    <mergeCell ref="Z46:AA46"/>
    <mergeCell ref="L46:M46"/>
    <mergeCell ref="N46:O46"/>
    <mergeCell ref="P46:Q46"/>
    <mergeCell ref="R46:S46"/>
    <mergeCell ref="T46:U46"/>
    <mergeCell ref="V46:W46"/>
  </mergeCells>
  <pageMargins left="0.7" right="0.7" top="0.75" bottom="0.75" header="0.3" footer="0.3"/>
  <pageSetup orientation="portrait" horizontalDpi="90" verticalDpi="9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25"/>
  <sheetViews>
    <sheetView workbookViewId="0">
      <selection activeCell="M13" sqref="M13"/>
    </sheetView>
  </sheetViews>
  <sheetFormatPr defaultRowHeight="15" x14ac:dyDescent="0.25"/>
  <cols>
    <col min="1" max="1" width="3.85546875" style="1" customWidth="1"/>
    <col min="2" max="2" width="22.140625" style="1" customWidth="1"/>
    <col min="3" max="3" width="11.5703125" style="1" bestFit="1" customWidth="1"/>
    <col min="4" max="9" width="11.140625" style="1" bestFit="1" customWidth="1"/>
    <col min="10" max="10" width="12.7109375" style="1" bestFit="1" customWidth="1"/>
    <col min="11" max="11" width="4.85546875" style="1" customWidth="1"/>
    <col min="12" max="12" width="24.5703125" style="1" customWidth="1"/>
    <col min="13" max="13" width="10.7109375" style="1" customWidth="1"/>
    <col min="14" max="14" width="11.85546875" style="1" customWidth="1"/>
    <col min="15" max="15" width="12.7109375" style="1" bestFit="1" customWidth="1"/>
    <col min="16" max="18" width="12.7109375" style="1" customWidth="1"/>
    <col min="19" max="19" width="11.140625" style="1" bestFit="1" customWidth="1"/>
    <col min="20" max="20" width="10.140625" style="1" bestFit="1" customWidth="1"/>
    <col min="21" max="16384" width="9.140625" style="1"/>
  </cols>
  <sheetData>
    <row r="1" spans="2:20" ht="15.75" thickBot="1" x14ac:dyDescent="0.3">
      <c r="B1" s="306" t="s">
        <v>53</v>
      </c>
      <c r="C1" s="307"/>
      <c r="D1" s="307"/>
      <c r="E1" s="307"/>
      <c r="F1" s="307"/>
      <c r="G1" s="307"/>
      <c r="H1" s="307"/>
      <c r="I1" s="307"/>
      <c r="J1" s="307"/>
    </row>
    <row r="2" spans="2:20" ht="30.75" thickBot="1" x14ac:dyDescent="0.3">
      <c r="B2" s="2" t="s">
        <v>1</v>
      </c>
      <c r="C2" s="2">
        <v>2014</v>
      </c>
      <c r="D2" s="2">
        <v>2015</v>
      </c>
      <c r="E2" s="2">
        <v>2016</v>
      </c>
      <c r="F2" s="2">
        <v>2017</v>
      </c>
      <c r="G2" s="2">
        <v>2018</v>
      </c>
      <c r="H2" s="2">
        <v>2019</v>
      </c>
      <c r="I2" s="2">
        <v>2020</v>
      </c>
      <c r="J2" s="2" t="s">
        <v>4</v>
      </c>
      <c r="L2" s="2" t="s">
        <v>88</v>
      </c>
      <c r="M2" s="2" t="s">
        <v>89</v>
      </c>
      <c r="N2" s="2" t="s">
        <v>90</v>
      </c>
      <c r="O2" s="2" t="s">
        <v>117</v>
      </c>
      <c r="P2" s="2" t="s">
        <v>115</v>
      </c>
      <c r="Q2" s="2" t="s">
        <v>448</v>
      </c>
      <c r="R2" s="2" t="s">
        <v>91</v>
      </c>
      <c r="S2" s="2" t="s">
        <v>116</v>
      </c>
      <c r="T2" s="2" t="s">
        <v>51</v>
      </c>
    </row>
    <row r="3" spans="2:20" ht="16.5" thickTop="1" thickBot="1" x14ac:dyDescent="0.3">
      <c r="B3" s="3" t="s">
        <v>87</v>
      </c>
      <c r="C3" s="4">
        <v>2</v>
      </c>
      <c r="D3" s="4">
        <v>2</v>
      </c>
      <c r="E3" s="4">
        <v>2</v>
      </c>
      <c r="F3" s="4">
        <v>4</v>
      </c>
      <c r="G3" s="4">
        <v>4</v>
      </c>
      <c r="H3" s="4">
        <v>4</v>
      </c>
      <c r="I3" s="3">
        <v>0</v>
      </c>
      <c r="J3" s="3">
        <f>SUM(C3:I3)</f>
        <v>18</v>
      </c>
      <c r="L3" s="3" t="s">
        <v>87</v>
      </c>
      <c r="M3" s="10">
        <f>24666.27</f>
        <v>24666.27</v>
      </c>
      <c r="N3" s="10">
        <f>31225+4025</f>
        <v>35250</v>
      </c>
      <c r="O3" s="10">
        <f>23700+900</f>
        <v>24600</v>
      </c>
      <c r="P3" s="10"/>
      <c r="Q3" s="10">
        <f>23500</f>
        <v>23500</v>
      </c>
      <c r="R3" s="10">
        <f>37345+62+1050</f>
        <v>38457</v>
      </c>
      <c r="S3" s="10"/>
      <c r="T3" s="10">
        <f>AVERAGE(M3:S3)</f>
        <v>29294.654000000002</v>
      </c>
    </row>
    <row r="4" spans="2:20" ht="15.75" thickBot="1" x14ac:dyDescent="0.3">
      <c r="B4" s="5" t="s">
        <v>92</v>
      </c>
      <c r="C4" s="6">
        <v>0</v>
      </c>
      <c r="D4" s="5">
        <v>2</v>
      </c>
      <c r="E4" s="5">
        <v>4</v>
      </c>
      <c r="F4" s="5">
        <v>4</v>
      </c>
      <c r="G4" s="5">
        <v>6</v>
      </c>
      <c r="H4" s="5">
        <v>6</v>
      </c>
      <c r="I4" s="6">
        <v>0</v>
      </c>
      <c r="J4" s="5">
        <f>SUM(C4:I4)</f>
        <v>22</v>
      </c>
      <c r="L4" s="5" t="s">
        <v>92</v>
      </c>
      <c r="M4" s="12">
        <f>5532.63</f>
        <v>5532.63</v>
      </c>
      <c r="N4" s="12">
        <f>9010+4025</f>
        <v>13035</v>
      </c>
      <c r="O4" s="12">
        <f>8000+900</f>
        <v>8900</v>
      </c>
      <c r="P4" s="12"/>
      <c r="Q4" s="12">
        <f>11865</f>
        <v>11865</v>
      </c>
      <c r="R4" s="12"/>
      <c r="S4" s="12"/>
      <c r="T4" s="12">
        <f>AVERAGE(M4:S4)</f>
        <v>9833.1575000000012</v>
      </c>
    </row>
    <row r="5" spans="2:20" ht="16.5" thickTop="1" thickBot="1" x14ac:dyDescent="0.3">
      <c r="B5" s="7" t="s">
        <v>429</v>
      </c>
      <c r="C5" s="8">
        <v>8</v>
      </c>
      <c r="D5" s="7">
        <v>8</v>
      </c>
      <c r="E5" s="7">
        <v>10</v>
      </c>
      <c r="F5" s="7">
        <v>0</v>
      </c>
      <c r="G5" s="7">
        <v>0</v>
      </c>
      <c r="H5" s="7">
        <v>0</v>
      </c>
      <c r="I5" s="7">
        <v>0</v>
      </c>
      <c r="J5" s="3">
        <f>SUM(C5:I5)</f>
        <v>26</v>
      </c>
      <c r="L5" s="7" t="s">
        <v>429</v>
      </c>
      <c r="M5" s="8"/>
      <c r="N5" s="94">
        <f>31225+4025</f>
        <v>35250</v>
      </c>
      <c r="O5" s="8"/>
      <c r="P5" s="8"/>
      <c r="Q5" s="94">
        <f>16900+1115</f>
        <v>18015</v>
      </c>
      <c r="R5" s="94">
        <f>33510+672</f>
        <v>34182</v>
      </c>
      <c r="S5" s="14">
        <f>36939.26</f>
        <v>36939.26</v>
      </c>
      <c r="T5" s="10">
        <f>AVERAGE(M5:S5)</f>
        <v>31096.565000000002</v>
      </c>
    </row>
    <row r="6" spans="2:20" ht="15.75" thickBot="1" x14ac:dyDescent="0.3">
      <c r="B6" s="5" t="s">
        <v>93</v>
      </c>
      <c r="C6" s="6">
        <v>4</v>
      </c>
      <c r="D6" s="6">
        <v>4</v>
      </c>
      <c r="E6" s="6">
        <v>0</v>
      </c>
      <c r="F6" s="6">
        <v>4</v>
      </c>
      <c r="G6" s="6">
        <v>4</v>
      </c>
      <c r="H6" s="6">
        <v>4</v>
      </c>
      <c r="I6" s="5">
        <v>0</v>
      </c>
      <c r="J6" s="5">
        <f>SUM(C6:I6)</f>
        <v>20</v>
      </c>
      <c r="L6" s="5" t="s">
        <v>93</v>
      </c>
      <c r="M6" s="12">
        <f>850+50</f>
        <v>900</v>
      </c>
      <c r="N6" s="12"/>
      <c r="O6" s="12">
        <f>1100</f>
        <v>1100</v>
      </c>
      <c r="P6" s="12">
        <f>776+55</f>
        <v>831</v>
      </c>
      <c r="Q6" s="12">
        <v>2522.9499999999998</v>
      </c>
      <c r="R6" s="12"/>
      <c r="S6" s="12"/>
      <c r="T6" s="12">
        <f>AVERAGE(M6:S6)</f>
        <v>1338.4875</v>
      </c>
    </row>
    <row r="7" spans="2:20" ht="15.75" thickBot="1" x14ac:dyDescent="0.3">
      <c r="B7" s="5" t="s">
        <v>3</v>
      </c>
      <c r="C7" s="6">
        <f t="shared" ref="C7:J7" si="0">SUM(C3:C6)</f>
        <v>14</v>
      </c>
      <c r="D7" s="6">
        <f t="shared" si="0"/>
        <v>16</v>
      </c>
      <c r="E7" s="6">
        <f t="shared" si="0"/>
        <v>16</v>
      </c>
      <c r="F7" s="6">
        <f t="shared" si="0"/>
        <v>12</v>
      </c>
      <c r="G7" s="6">
        <f t="shared" si="0"/>
        <v>14</v>
      </c>
      <c r="H7" s="6">
        <f t="shared" si="0"/>
        <v>14</v>
      </c>
      <c r="I7" s="6">
        <f t="shared" si="0"/>
        <v>0</v>
      </c>
      <c r="J7" s="6">
        <f t="shared" si="0"/>
        <v>86</v>
      </c>
      <c r="L7" s="308" t="s">
        <v>55</v>
      </c>
      <c r="M7" s="309"/>
      <c r="N7" s="94">
        <f>(J15+J23)/J7</f>
        <v>18621.849300751965</v>
      </c>
    </row>
    <row r="9" spans="2:20" ht="15.75" thickBot="1" x14ac:dyDescent="0.3">
      <c r="B9" s="306" t="s">
        <v>113</v>
      </c>
      <c r="C9" s="307"/>
      <c r="D9" s="307"/>
      <c r="E9" s="307"/>
      <c r="F9" s="307"/>
      <c r="G9" s="307"/>
      <c r="H9" s="307"/>
      <c r="I9" s="307"/>
      <c r="J9" s="307"/>
      <c r="L9" s="306" t="s">
        <v>114</v>
      </c>
      <c r="M9" s="307"/>
      <c r="N9" s="307"/>
      <c r="O9" s="307"/>
    </row>
    <row r="10" spans="2:20" ht="15.75" thickBot="1" x14ac:dyDescent="0.3">
      <c r="B10" s="2" t="s">
        <v>2</v>
      </c>
      <c r="C10" s="2">
        <v>2014</v>
      </c>
      <c r="D10" s="2">
        <v>2015</v>
      </c>
      <c r="E10" s="2">
        <v>2016</v>
      </c>
      <c r="F10" s="2">
        <v>2017</v>
      </c>
      <c r="G10" s="2">
        <v>2018</v>
      </c>
      <c r="H10" s="2">
        <v>2019</v>
      </c>
      <c r="I10" s="2">
        <v>2020</v>
      </c>
      <c r="J10" s="2" t="s">
        <v>4</v>
      </c>
      <c r="L10" s="2" t="s">
        <v>1</v>
      </c>
      <c r="M10" s="2" t="s">
        <v>5</v>
      </c>
      <c r="N10" s="2" t="s">
        <v>6</v>
      </c>
      <c r="O10" s="2" t="s">
        <v>7</v>
      </c>
    </row>
    <row r="11" spans="2:20" ht="16.5" thickTop="1" thickBot="1" x14ac:dyDescent="0.3">
      <c r="B11" s="3" t="s">
        <v>87</v>
      </c>
      <c r="C11" s="9">
        <f>C3*$M$11</f>
        <v>58589.308000000005</v>
      </c>
      <c r="D11" s="9">
        <f>D3*$M$11*1.025</f>
        <v>60054.040699999998</v>
      </c>
      <c r="E11" s="9">
        <f>E3*$M$11*1.025*1.025</f>
        <v>61555.391717499995</v>
      </c>
      <c r="F11" s="9">
        <f>F3*$M$11*1.025*1.025*1.025</f>
        <v>126188.55302087498</v>
      </c>
      <c r="G11" s="9">
        <f>G3*$M$11*1.025*1.025*1.025*1.025</f>
        <v>129343.26684639684</v>
      </c>
      <c r="H11" s="9">
        <f>H3*$M$11*1.025*1.025*1.025*1.025*1.025</f>
        <v>132576.84851755676</v>
      </c>
      <c r="I11" s="9">
        <f>I3*$M$11*1.025*1.025*1.025*1.025*1.025*1.025</f>
        <v>0</v>
      </c>
      <c r="J11" s="10">
        <f>SUM(C11:I11)</f>
        <v>568307.40880232863</v>
      </c>
      <c r="L11" s="3" t="s">
        <v>87</v>
      </c>
      <c r="M11" s="10">
        <f>T3</f>
        <v>29294.654000000002</v>
      </c>
      <c r="N11" s="3">
        <f>J3</f>
        <v>18</v>
      </c>
      <c r="O11" s="10">
        <f>N11*M11</f>
        <v>527303.772</v>
      </c>
    </row>
    <row r="12" spans="2:20" ht="15.75" thickBot="1" x14ac:dyDescent="0.3">
      <c r="B12" s="5" t="s">
        <v>92</v>
      </c>
      <c r="C12" s="11">
        <f>C4*$M$12</f>
        <v>0</v>
      </c>
      <c r="D12" s="11">
        <f>D4*$M$12*1.025</f>
        <v>20157.972874999999</v>
      </c>
      <c r="E12" s="11">
        <f>E4*$M$12*1.025*1.025</f>
        <v>41323.844393749998</v>
      </c>
      <c r="F12" s="11">
        <f>F4*$M$12*1.025*1.025*1.025</f>
        <v>42356.940503593745</v>
      </c>
      <c r="G12" s="11">
        <f>G4*$M$12*1.025*1.025*1.025*1.025</f>
        <v>65123.796024275369</v>
      </c>
      <c r="H12" s="11">
        <f>H4*$M$12*1.025*1.025*1.025*1.025*1.025</f>
        <v>66751.890924882246</v>
      </c>
      <c r="I12" s="11">
        <f>I4*$M$12*1.025*1.025*1.025*1.025*1.025*1.025</f>
        <v>0</v>
      </c>
      <c r="J12" s="11">
        <f>SUM(C12:I12)</f>
        <v>235714.44472150138</v>
      </c>
      <c r="L12" s="5" t="s">
        <v>92</v>
      </c>
      <c r="M12" s="12">
        <f>T4</f>
        <v>9833.1575000000012</v>
      </c>
      <c r="N12" s="5">
        <f>J4</f>
        <v>22</v>
      </c>
      <c r="O12" s="12">
        <f>N12*M12</f>
        <v>216329.46500000003</v>
      </c>
    </row>
    <row r="13" spans="2:20" ht="16.5" thickTop="1" thickBot="1" x14ac:dyDescent="0.3">
      <c r="B13" s="7" t="s">
        <v>429</v>
      </c>
      <c r="C13" s="13">
        <f>C5*$M$13</f>
        <v>0</v>
      </c>
      <c r="D13" s="13">
        <f>D5*$M$13*1.025</f>
        <v>0</v>
      </c>
      <c r="E13" s="13">
        <f>E5*$M$13*1.025*1.025</f>
        <v>0</v>
      </c>
      <c r="F13" s="13">
        <f>F5*$M$13*1.025*1.025*1.025</f>
        <v>0</v>
      </c>
      <c r="G13" s="13">
        <f>G5*$M$13*1.025*1.025*1.025*1.025</f>
        <v>0</v>
      </c>
      <c r="H13" s="13">
        <f>H5*$M$13*1.025*1.025*1.025*1.025*1.025</f>
        <v>0</v>
      </c>
      <c r="I13" s="13">
        <f>I5*$M$13*1.025*1.025*1.025*1.025*1.025*1.025</f>
        <v>0</v>
      </c>
      <c r="J13" s="10">
        <f>SUM(C13:I13)</f>
        <v>0</v>
      </c>
      <c r="L13" s="7" t="s">
        <v>429</v>
      </c>
      <c r="M13" s="14">
        <v>0</v>
      </c>
      <c r="N13" s="3">
        <f>J5</f>
        <v>26</v>
      </c>
      <c r="O13" s="10">
        <f>N13*M13</f>
        <v>0</v>
      </c>
    </row>
    <row r="14" spans="2:20" ht="15.75" thickBot="1" x14ac:dyDescent="0.3">
      <c r="B14" s="5" t="s">
        <v>93</v>
      </c>
      <c r="C14" s="11">
        <f>C6*$M$14</f>
        <v>5353.95</v>
      </c>
      <c r="D14" s="11">
        <f>D6*$M$14*1.025</f>
        <v>5487.798749999999</v>
      </c>
      <c r="E14" s="11">
        <f>E6*$M$14*1.025*1.025</f>
        <v>0</v>
      </c>
      <c r="F14" s="11">
        <f>F6*$M$14*1.025*1.025*1.025</f>
        <v>5765.6185617187475</v>
      </c>
      <c r="G14" s="11">
        <f>G6*$M$14*1.025*1.025*1.025*1.025</f>
        <v>5909.7590257617157</v>
      </c>
      <c r="H14" s="11">
        <f>H6*$M$14*1.025*1.025*1.025*1.025*1.025</f>
        <v>6057.5030014057584</v>
      </c>
      <c r="I14" s="11">
        <f>I6*$M$14*1.025*1.025*1.025*1.025*1.025*1.025</f>
        <v>0</v>
      </c>
      <c r="J14" s="11">
        <f>SUM(C14:I14)</f>
        <v>28574.629338886221</v>
      </c>
      <c r="L14" s="5" t="s">
        <v>93</v>
      </c>
      <c r="M14" s="12">
        <f>T6</f>
        <v>1338.4875</v>
      </c>
      <c r="N14" s="5">
        <f>J6</f>
        <v>20</v>
      </c>
      <c r="O14" s="12">
        <f>N14*M14</f>
        <v>26769.75</v>
      </c>
    </row>
    <row r="15" spans="2:20" ht="15.75" thickBot="1" x14ac:dyDescent="0.3">
      <c r="B15" s="5" t="s">
        <v>3</v>
      </c>
      <c r="C15" s="11">
        <f t="shared" ref="C15:J15" si="1">SUM(C11:C14)</f>
        <v>63943.258000000002</v>
      </c>
      <c r="D15" s="11">
        <f t="shared" si="1"/>
        <v>85699.812324999992</v>
      </c>
      <c r="E15" s="11">
        <f t="shared" si="1"/>
        <v>102879.23611124999</v>
      </c>
      <c r="F15" s="11">
        <f t="shared" si="1"/>
        <v>174311.1120861875</v>
      </c>
      <c r="G15" s="11">
        <f t="shared" si="1"/>
        <v>200376.82189643392</v>
      </c>
      <c r="H15" s="11">
        <f t="shared" si="1"/>
        <v>205386.24244384476</v>
      </c>
      <c r="I15" s="11">
        <f t="shared" si="1"/>
        <v>0</v>
      </c>
      <c r="J15" s="11">
        <f t="shared" si="1"/>
        <v>832596.48286271619</v>
      </c>
      <c r="L15" s="304" t="s">
        <v>8</v>
      </c>
      <c r="M15" s="305"/>
      <c r="N15" s="5">
        <f>SUM(N11:N14)</f>
        <v>86</v>
      </c>
      <c r="O15" s="11">
        <f>SUM(O11:O14)</f>
        <v>770402.98699999996</v>
      </c>
    </row>
    <row r="17" spans="2:18" ht="15.75" thickBot="1" x14ac:dyDescent="0.3">
      <c r="B17" s="306" t="s">
        <v>54</v>
      </c>
      <c r="C17" s="307"/>
      <c r="D17" s="307"/>
      <c r="E17" s="307"/>
      <c r="F17" s="307"/>
      <c r="G17" s="307"/>
      <c r="H17" s="307"/>
      <c r="I17" s="307"/>
      <c r="J17" s="307"/>
      <c r="L17" s="306" t="s">
        <v>19</v>
      </c>
      <c r="M17" s="307"/>
      <c r="N17" s="307"/>
      <c r="O17" s="307"/>
    </row>
    <row r="18" spans="2:18" ht="15.75" thickBot="1" x14ac:dyDescent="0.3">
      <c r="B18" s="2" t="s">
        <v>2</v>
      </c>
      <c r="C18" s="2">
        <v>2014</v>
      </c>
      <c r="D18" s="2">
        <v>2015</v>
      </c>
      <c r="E18" s="2">
        <v>2016</v>
      </c>
      <c r="F18" s="2">
        <v>2017</v>
      </c>
      <c r="G18" s="2">
        <v>2018</v>
      </c>
      <c r="H18" s="2">
        <v>2019</v>
      </c>
      <c r="I18" s="2">
        <v>2020</v>
      </c>
      <c r="J18" s="2" t="s">
        <v>4</v>
      </c>
      <c r="L18" s="2" t="s">
        <v>1</v>
      </c>
      <c r="M18" s="2" t="s">
        <v>5</v>
      </c>
      <c r="N18" s="2" t="s">
        <v>6</v>
      </c>
      <c r="O18" s="2" t="s">
        <v>7</v>
      </c>
    </row>
    <row r="19" spans="2:18" ht="16.5" thickTop="1" thickBot="1" x14ac:dyDescent="0.3">
      <c r="B19" s="3" t="s">
        <v>87</v>
      </c>
      <c r="C19" s="9">
        <f>C3*$M$19</f>
        <v>50000</v>
      </c>
      <c r="D19" s="9">
        <f>D3*$M$19*1.025</f>
        <v>51249.999999999993</v>
      </c>
      <c r="E19" s="9">
        <f>E3*$M$19*1.025*1.025</f>
        <v>52531.249999999985</v>
      </c>
      <c r="F19" s="9">
        <f>F3*$M$19*1.025*1.025*1.025</f>
        <v>107689.06249999996</v>
      </c>
      <c r="G19" s="9">
        <f>G3*$M$19*1.025*1.025*1.025*1.025</f>
        <v>110381.28906249994</v>
      </c>
      <c r="H19" s="9">
        <f>H3*$M$19*1.025*1.025*1.025*1.025*1.025</f>
        <v>113140.82128906243</v>
      </c>
      <c r="I19" s="9">
        <f>I3*$M$19*1.025*1.025*1.025*1.025*1.025*1.025</f>
        <v>0</v>
      </c>
      <c r="J19" s="10">
        <f>SUM(C19:I19)</f>
        <v>484992.42285156233</v>
      </c>
      <c r="L19" s="3" t="s">
        <v>87</v>
      </c>
      <c r="M19" s="10">
        <v>25000</v>
      </c>
      <c r="N19" s="3">
        <f>J3</f>
        <v>18</v>
      </c>
      <c r="O19" s="10">
        <f>N19*M19</f>
        <v>450000</v>
      </c>
    </row>
    <row r="20" spans="2:18" ht="15.75" thickBot="1" x14ac:dyDescent="0.3">
      <c r="B20" s="5" t="s">
        <v>92</v>
      </c>
      <c r="C20" s="11">
        <f>C4*$M$20</f>
        <v>0</v>
      </c>
      <c r="D20" s="11">
        <f>D4*$M$20*1.025</f>
        <v>15374.999999999998</v>
      </c>
      <c r="E20" s="11">
        <f>E4*$M$20*1.025*1.025</f>
        <v>31518.749999999993</v>
      </c>
      <c r="F20" s="11">
        <f>F4*$M$20*1.025*1.025*1.025</f>
        <v>32306.718749999989</v>
      </c>
      <c r="G20" s="11">
        <f>G4*$M$20*1.025*1.025*1.025*1.025</f>
        <v>49671.580078124971</v>
      </c>
      <c r="H20" s="11">
        <f>H4*$M$20*1.025*1.025*1.025*1.025*1.025</f>
        <v>50913.369580078092</v>
      </c>
      <c r="I20" s="11">
        <f>I4*$M$20*1.025*1.025*1.025*1.025*1.025*1.025</f>
        <v>0</v>
      </c>
      <c r="J20" s="11">
        <f>SUM(C20:I20)</f>
        <v>179785.41840820306</v>
      </c>
      <c r="L20" s="5" t="s">
        <v>92</v>
      </c>
      <c r="M20" s="12">
        <v>7500</v>
      </c>
      <c r="N20" s="5">
        <f>J4</f>
        <v>22</v>
      </c>
      <c r="O20" s="12">
        <f>N20*M20</f>
        <v>165000</v>
      </c>
    </row>
    <row r="21" spans="2:18" ht="16.5" thickTop="1" thickBot="1" x14ac:dyDescent="0.3">
      <c r="B21" s="7" t="s">
        <v>429</v>
      </c>
      <c r="C21" s="13">
        <f>C5*$M$21</f>
        <v>12000</v>
      </c>
      <c r="D21" s="13">
        <f>D5*$M$21*1.025</f>
        <v>12299.999999999998</v>
      </c>
      <c r="E21" s="13">
        <f>E5*$M$21*1.025*1.025</f>
        <v>15759.374999999996</v>
      </c>
      <c r="F21" s="13">
        <f>F5*$M$21*1.025*1.025*1.025</f>
        <v>0</v>
      </c>
      <c r="G21" s="13">
        <f>G5*$M$21*1.025*1.025*1.025*1.025</f>
        <v>0</v>
      </c>
      <c r="H21" s="13">
        <f>H5*$M$21*1.025*1.025*1.025*1.025*1.025</f>
        <v>0</v>
      </c>
      <c r="I21" s="13">
        <f>I5*$M$21*1.025*1.025*1.025*1.025*1.025*1.025</f>
        <v>0</v>
      </c>
      <c r="J21" s="10">
        <f>SUM(C21:I21)</f>
        <v>40059.375</v>
      </c>
      <c r="L21" s="7" t="s">
        <v>429</v>
      </c>
      <c r="M21" s="14">
        <v>1500</v>
      </c>
      <c r="N21" s="7">
        <f>J5</f>
        <v>26</v>
      </c>
      <c r="O21" s="10">
        <f>N21*M21</f>
        <v>39000</v>
      </c>
    </row>
    <row r="22" spans="2:18" ht="15.75" thickBot="1" x14ac:dyDescent="0.3">
      <c r="B22" s="5" t="s">
        <v>93</v>
      </c>
      <c r="C22" s="11">
        <f>C6*$M$22</f>
        <v>12000</v>
      </c>
      <c r="D22" s="11">
        <f>D6*$M$22*1.025</f>
        <v>12299.999999999998</v>
      </c>
      <c r="E22" s="11">
        <f>E6*$M$22*1.025*1.025</f>
        <v>0</v>
      </c>
      <c r="F22" s="11">
        <f>F6*$M$22*1.025*1.025*1.025</f>
        <v>12922.687499999995</v>
      </c>
      <c r="G22" s="11">
        <f>G6*$M$22*1.025*1.025*1.025*1.025</f>
        <v>13245.754687499993</v>
      </c>
      <c r="H22" s="11">
        <f>H6*$M$22*1.025*1.025*1.025*1.025*1.025</f>
        <v>13576.898554687492</v>
      </c>
      <c r="I22" s="11">
        <f>I6*$M$22*1.025*1.025*1.025*1.025*1.025*1.025</f>
        <v>0</v>
      </c>
      <c r="J22" s="11">
        <f>SUM(C22:I22)</f>
        <v>64045.340742187473</v>
      </c>
      <c r="L22" s="5" t="s">
        <v>93</v>
      </c>
      <c r="M22" s="12">
        <v>3000</v>
      </c>
      <c r="N22" s="5">
        <f>J6</f>
        <v>20</v>
      </c>
      <c r="O22" s="12">
        <f>N22*M22</f>
        <v>60000</v>
      </c>
    </row>
    <row r="23" spans="2:18" ht="15.75" thickBot="1" x14ac:dyDescent="0.3">
      <c r="B23" s="5" t="s">
        <v>3</v>
      </c>
      <c r="C23" s="11">
        <f t="shared" ref="C23:J23" si="2">SUM(C19:C22)</f>
        <v>74000</v>
      </c>
      <c r="D23" s="11">
        <f t="shared" si="2"/>
        <v>91224.999999999985</v>
      </c>
      <c r="E23" s="11">
        <f t="shared" si="2"/>
        <v>99809.374999999971</v>
      </c>
      <c r="F23" s="11">
        <f t="shared" si="2"/>
        <v>152918.46874999994</v>
      </c>
      <c r="G23" s="11">
        <f t="shared" si="2"/>
        <v>173298.6238281249</v>
      </c>
      <c r="H23" s="11">
        <f t="shared" si="2"/>
        <v>177631.08942382803</v>
      </c>
      <c r="I23" s="11">
        <f t="shared" si="2"/>
        <v>0</v>
      </c>
      <c r="J23" s="11">
        <f t="shared" si="2"/>
        <v>768882.5570019529</v>
      </c>
      <c r="L23" s="304" t="s">
        <v>8</v>
      </c>
      <c r="M23" s="305"/>
      <c r="N23" s="5">
        <f>SUM(N19:N22)</f>
        <v>86</v>
      </c>
      <c r="O23" s="11">
        <f>SUM(O19:O22)</f>
        <v>714000</v>
      </c>
    </row>
    <row r="25" spans="2:18" x14ac:dyDescent="0.25">
      <c r="P25" s="134"/>
      <c r="Q25" s="134"/>
      <c r="R25" s="134"/>
    </row>
  </sheetData>
  <mergeCells count="8">
    <mergeCell ref="L23:M23"/>
    <mergeCell ref="B9:J9"/>
    <mergeCell ref="B17:J17"/>
    <mergeCell ref="B1:J1"/>
    <mergeCell ref="L7:M7"/>
    <mergeCell ref="L15:M15"/>
    <mergeCell ref="L9:O9"/>
    <mergeCell ref="L17:O17"/>
  </mergeCells>
  <pageMargins left="0.7" right="0.7" top="0.75" bottom="0.75" header="0.3" footer="0.3"/>
  <pageSetup orientation="portrait" horizontalDpi="90" verticalDpi="9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6"/>
  <sheetViews>
    <sheetView topLeftCell="C1" workbookViewId="0">
      <selection activeCell="C27" sqref="C27:E31"/>
    </sheetView>
  </sheetViews>
  <sheetFormatPr defaultColWidth="9.140625" defaultRowHeight="12.75" x14ac:dyDescent="0.2"/>
  <cols>
    <col min="1" max="1" width="5.7109375" style="235" customWidth="1"/>
    <col min="2" max="2" width="12.85546875" style="235" customWidth="1"/>
    <col min="3" max="3" width="8" style="235" bestFit="1" customWidth="1"/>
    <col min="4" max="4" width="13.85546875" style="235" bestFit="1" customWidth="1"/>
    <col min="5" max="5" width="14.85546875" style="235" bestFit="1" customWidth="1"/>
    <col min="6" max="15" width="15" style="235" bestFit="1" customWidth="1"/>
    <col min="16" max="16384" width="9.140625" style="235"/>
  </cols>
  <sheetData>
    <row r="2" spans="2:15" x14ac:dyDescent="0.2">
      <c r="B2" s="310" t="s">
        <v>413</v>
      </c>
      <c r="C2" s="236" t="s">
        <v>391</v>
      </c>
      <c r="D2" s="236">
        <v>2014</v>
      </c>
      <c r="E2" s="236">
        <f t="shared" ref="E2:O2" si="0">D2+1</f>
        <v>2015</v>
      </c>
      <c r="F2" s="236">
        <f t="shared" si="0"/>
        <v>2016</v>
      </c>
      <c r="G2" s="236">
        <f t="shared" si="0"/>
        <v>2017</v>
      </c>
      <c r="H2" s="236">
        <f t="shared" si="0"/>
        <v>2018</v>
      </c>
      <c r="I2" s="236">
        <f t="shared" si="0"/>
        <v>2019</v>
      </c>
      <c r="J2" s="236">
        <f t="shared" si="0"/>
        <v>2020</v>
      </c>
      <c r="K2" s="236">
        <f t="shared" si="0"/>
        <v>2021</v>
      </c>
      <c r="L2" s="236">
        <f t="shared" si="0"/>
        <v>2022</v>
      </c>
      <c r="M2" s="236">
        <f t="shared" si="0"/>
        <v>2023</v>
      </c>
      <c r="N2" s="236">
        <f t="shared" si="0"/>
        <v>2024</v>
      </c>
      <c r="O2" s="236">
        <f t="shared" si="0"/>
        <v>2025</v>
      </c>
    </row>
    <row r="3" spans="2:15" x14ac:dyDescent="0.2">
      <c r="B3" s="311"/>
      <c r="C3" s="237" t="s">
        <v>234</v>
      </c>
      <c r="D3" s="239">
        <f>666018</f>
        <v>666018</v>
      </c>
      <c r="E3" s="239">
        <f t="shared" ref="E3:O3" si="1">D3*1.02</f>
        <v>679338.36</v>
      </c>
      <c r="F3" s="239">
        <f t="shared" si="1"/>
        <v>692925.12719999999</v>
      </c>
      <c r="G3" s="239">
        <f t="shared" si="1"/>
        <v>706783.62974400003</v>
      </c>
      <c r="H3" s="239">
        <f t="shared" si="1"/>
        <v>720919.30233888002</v>
      </c>
      <c r="I3" s="239">
        <f t="shared" si="1"/>
        <v>735337.68838565762</v>
      </c>
      <c r="J3" s="239">
        <f t="shared" si="1"/>
        <v>750044.44215337082</v>
      </c>
      <c r="K3" s="239">
        <f t="shared" si="1"/>
        <v>765045.33099643828</v>
      </c>
      <c r="L3" s="239">
        <f t="shared" si="1"/>
        <v>780346.23761636706</v>
      </c>
      <c r="M3" s="239">
        <f t="shared" si="1"/>
        <v>795953.16236869444</v>
      </c>
      <c r="N3" s="239">
        <f t="shared" si="1"/>
        <v>811872.22561606835</v>
      </c>
      <c r="O3" s="239">
        <f t="shared" si="1"/>
        <v>828109.67012838973</v>
      </c>
    </row>
    <row r="4" spans="2:15" ht="15" x14ac:dyDescent="0.25">
      <c r="B4" s="311"/>
      <c r="C4" s="240" t="s">
        <v>162</v>
      </c>
      <c r="D4" s="241">
        <v>0</v>
      </c>
      <c r="E4" s="242">
        <f>Pricing!C7/Pricing!J7</f>
        <v>0.16279069767441862</v>
      </c>
      <c r="F4" s="242">
        <f>(Pricing!C7+Pricing!D7)/Pricing!J7</f>
        <v>0.34883720930232559</v>
      </c>
      <c r="G4" s="242">
        <f>(Pricing!C7+Pricing!D7+Pricing!E7)/Pricing!J7</f>
        <v>0.53488372093023251</v>
      </c>
      <c r="H4" s="242">
        <f>(Pricing!C7+Pricing!D7+Pricing!E7+Pricing!F7)/Pricing!J7</f>
        <v>0.67441860465116277</v>
      </c>
      <c r="I4" s="242">
        <f>(Pricing!C7+Pricing!D7+Pricing!E7+Pricing!F7+Pricing!G7)/Pricing!J7</f>
        <v>0.83720930232558144</v>
      </c>
      <c r="J4" s="242">
        <f>(Pricing!C7+Pricing!D7+Pricing!E7+Pricing!F7+Pricing!G7+Pricing!H7)/Pricing!J7</f>
        <v>1</v>
      </c>
      <c r="K4" s="242">
        <f>J4</f>
        <v>1</v>
      </c>
      <c r="L4" s="242">
        <f>K4</f>
        <v>1</v>
      </c>
      <c r="M4" s="242">
        <f>L4</f>
        <v>1</v>
      </c>
      <c r="N4" s="242">
        <f>M4</f>
        <v>1</v>
      </c>
      <c r="O4" s="242">
        <f>N4</f>
        <v>1</v>
      </c>
    </row>
    <row r="5" spans="2:15" x14ac:dyDescent="0.2">
      <c r="B5" s="311"/>
      <c r="C5" s="244" t="s">
        <v>392</v>
      </c>
      <c r="D5" s="239">
        <f t="shared" ref="D5:O5" si="2">D3*D4</f>
        <v>0</v>
      </c>
      <c r="E5" s="239">
        <f t="shared" si="2"/>
        <v>110589.96558139536</v>
      </c>
      <c r="F5" s="239">
        <f t="shared" si="2"/>
        <v>241718.06762790697</v>
      </c>
      <c r="G5" s="239">
        <f t="shared" si="2"/>
        <v>378047.05777004652</v>
      </c>
      <c r="H5" s="239">
        <f t="shared" si="2"/>
        <v>486201.38994947722</v>
      </c>
      <c r="I5" s="239">
        <f t="shared" si="2"/>
        <v>615631.55306706217</v>
      </c>
      <c r="J5" s="239">
        <f t="shared" si="2"/>
        <v>750044.44215337082</v>
      </c>
      <c r="K5" s="239">
        <f t="shared" si="2"/>
        <v>765045.33099643828</v>
      </c>
      <c r="L5" s="239">
        <f t="shared" si="2"/>
        <v>780346.23761636706</v>
      </c>
      <c r="M5" s="239">
        <f t="shared" si="2"/>
        <v>795953.16236869444</v>
      </c>
      <c r="N5" s="239">
        <f t="shared" si="2"/>
        <v>811872.22561606835</v>
      </c>
      <c r="O5" s="239">
        <f t="shared" si="2"/>
        <v>828109.67012838973</v>
      </c>
    </row>
    <row r="6" spans="2:15" x14ac:dyDescent="0.2">
      <c r="B6" s="312"/>
      <c r="C6" s="240" t="s">
        <v>393</v>
      </c>
      <c r="D6" s="245">
        <f>NPV(Summary!$C$5,Benefits!D5:O5)</f>
        <v>5588112.7222982217</v>
      </c>
      <c r="E6" s="246" t="s">
        <v>394</v>
      </c>
      <c r="F6" s="247">
        <f>SUM(D5:O5)</f>
        <v>6563559.1028752178</v>
      </c>
      <c r="G6" s="248"/>
      <c r="H6" s="248"/>
      <c r="I6" s="248"/>
      <c r="J6" s="248"/>
      <c r="K6" s="248"/>
      <c r="L6" s="248"/>
      <c r="M6" s="248"/>
      <c r="N6" s="248"/>
      <c r="O6" s="248"/>
    </row>
    <row r="7" spans="2:15" x14ac:dyDescent="0.2">
      <c r="B7" s="310" t="s">
        <v>436</v>
      </c>
      <c r="C7" s="236" t="s">
        <v>391</v>
      </c>
      <c r="D7" s="236">
        <v>2014</v>
      </c>
      <c r="E7" s="236">
        <f t="shared" ref="E7:O7" si="3">D7+1</f>
        <v>2015</v>
      </c>
      <c r="F7" s="236">
        <f t="shared" si="3"/>
        <v>2016</v>
      </c>
      <c r="G7" s="236">
        <f t="shared" si="3"/>
        <v>2017</v>
      </c>
      <c r="H7" s="236">
        <f t="shared" si="3"/>
        <v>2018</v>
      </c>
      <c r="I7" s="236">
        <f t="shared" si="3"/>
        <v>2019</v>
      </c>
      <c r="J7" s="236">
        <f t="shared" si="3"/>
        <v>2020</v>
      </c>
      <c r="K7" s="236">
        <f t="shared" si="3"/>
        <v>2021</v>
      </c>
      <c r="L7" s="236">
        <f t="shared" si="3"/>
        <v>2022</v>
      </c>
      <c r="M7" s="236">
        <f t="shared" si="3"/>
        <v>2023</v>
      </c>
      <c r="N7" s="236">
        <f t="shared" si="3"/>
        <v>2024</v>
      </c>
      <c r="O7" s="236">
        <f t="shared" si="3"/>
        <v>2025</v>
      </c>
    </row>
    <row r="8" spans="2:15" x14ac:dyDescent="0.2">
      <c r="B8" s="311"/>
      <c r="C8" s="237" t="s">
        <v>234</v>
      </c>
      <c r="D8" s="239">
        <v>178606</v>
      </c>
      <c r="E8" s="239">
        <f t="shared" ref="E8" si="4">D8*1.02</f>
        <v>182178.12</v>
      </c>
      <c r="F8" s="239">
        <f t="shared" ref="F8" si="5">E8*1.02</f>
        <v>185821.68239999999</v>
      </c>
      <c r="G8" s="239">
        <f t="shared" ref="G8" si="6">F8*1.02</f>
        <v>189538.116048</v>
      </c>
      <c r="H8" s="239">
        <f t="shared" ref="H8" si="7">G8*1.02</f>
        <v>193328.87836895999</v>
      </c>
      <c r="I8" s="239">
        <f t="shared" ref="I8" si="8">H8*1.02</f>
        <v>197195.45593633919</v>
      </c>
      <c r="J8" s="239">
        <f t="shared" ref="J8" si="9">I8*1.02</f>
        <v>201139.36505506598</v>
      </c>
      <c r="K8" s="239">
        <f t="shared" ref="K8" si="10">J8*1.02</f>
        <v>205162.15235616729</v>
      </c>
      <c r="L8" s="239">
        <f t="shared" ref="L8" si="11">K8*1.02</f>
        <v>209265.39540329063</v>
      </c>
      <c r="M8" s="239">
        <f t="shared" ref="M8" si="12">L8*1.02</f>
        <v>213450.70331135645</v>
      </c>
      <c r="N8" s="239">
        <f t="shared" ref="N8" si="13">M8*1.02</f>
        <v>217719.71737758358</v>
      </c>
      <c r="O8" s="239">
        <f t="shared" ref="O8" si="14">N8*1.02</f>
        <v>222074.11172513527</v>
      </c>
    </row>
    <row r="9" spans="2:15" ht="15" x14ac:dyDescent="0.25">
      <c r="B9" s="311"/>
      <c r="C9" s="240" t="s">
        <v>162</v>
      </c>
      <c r="D9" s="243">
        <f>D4</f>
        <v>0</v>
      </c>
      <c r="E9" s="243">
        <v>0</v>
      </c>
      <c r="F9" s="243">
        <v>0</v>
      </c>
      <c r="G9" s="270">
        <f t="shared" ref="G9:O9" si="15">E4</f>
        <v>0.16279069767441862</v>
      </c>
      <c r="H9" s="270">
        <f t="shared" si="15"/>
        <v>0.34883720930232559</v>
      </c>
      <c r="I9" s="270">
        <f t="shared" si="15"/>
        <v>0.53488372093023251</v>
      </c>
      <c r="J9" s="270">
        <f t="shared" si="15"/>
        <v>0.67441860465116277</v>
      </c>
      <c r="K9" s="270">
        <f t="shared" si="15"/>
        <v>0.83720930232558144</v>
      </c>
      <c r="L9" s="270">
        <f t="shared" si="15"/>
        <v>1</v>
      </c>
      <c r="M9" s="270">
        <f t="shared" si="15"/>
        <v>1</v>
      </c>
      <c r="N9" s="270">
        <f t="shared" si="15"/>
        <v>1</v>
      </c>
      <c r="O9" s="270">
        <f t="shared" si="15"/>
        <v>1</v>
      </c>
    </row>
    <row r="10" spans="2:15" x14ac:dyDescent="0.2">
      <c r="B10" s="311"/>
      <c r="C10" s="244" t="s">
        <v>392</v>
      </c>
      <c r="D10" s="239">
        <f t="shared" ref="D10:O10" si="16">D8*D9</f>
        <v>0</v>
      </c>
      <c r="E10" s="239">
        <f t="shared" si="16"/>
        <v>0</v>
      </c>
      <c r="F10" s="239">
        <f t="shared" si="16"/>
        <v>0</v>
      </c>
      <c r="G10" s="239">
        <f t="shared" si="16"/>
        <v>30855.042147348839</v>
      </c>
      <c r="H10" s="239">
        <f t="shared" si="16"/>
        <v>67440.306407776749</v>
      </c>
      <c r="I10" s="239">
        <f t="shared" si="16"/>
        <v>105476.63922176282</v>
      </c>
      <c r="J10" s="239">
        <f t="shared" si="16"/>
        <v>135652.12992085845</v>
      </c>
      <c r="K10" s="239">
        <f t="shared" si="16"/>
        <v>171763.66243772148</v>
      </c>
      <c r="L10" s="239">
        <f t="shared" si="16"/>
        <v>209265.39540329063</v>
      </c>
      <c r="M10" s="239">
        <f t="shared" si="16"/>
        <v>213450.70331135645</v>
      </c>
      <c r="N10" s="239">
        <f t="shared" si="16"/>
        <v>217719.71737758358</v>
      </c>
      <c r="O10" s="239">
        <f t="shared" si="16"/>
        <v>222074.11172513527</v>
      </c>
    </row>
    <row r="11" spans="2:15" x14ac:dyDescent="0.2">
      <c r="B11" s="312"/>
      <c r="C11" s="240" t="s">
        <v>393</v>
      </c>
      <c r="D11" s="245">
        <f>NPV(Summary!$C$5,Benefits!D10:O10)</f>
        <v>1148355.950752394</v>
      </c>
      <c r="E11" s="246" t="s">
        <v>394</v>
      </c>
      <c r="F11" s="247">
        <f>SUM(D10:O10)</f>
        <v>1373697.7079528342</v>
      </c>
      <c r="G11" s="248"/>
      <c r="H11" s="248"/>
      <c r="I11" s="248"/>
      <c r="J11" s="248"/>
      <c r="K11" s="248"/>
      <c r="L11" s="248"/>
      <c r="M11" s="248"/>
      <c r="N11" s="248"/>
      <c r="O11" s="248"/>
    </row>
    <row r="12" spans="2:15" ht="12.75" customHeight="1" x14ac:dyDescent="0.2">
      <c r="B12" s="310" t="s">
        <v>414</v>
      </c>
      <c r="C12" s="236" t="s">
        <v>391</v>
      </c>
      <c r="D12" s="236">
        <v>2014</v>
      </c>
      <c r="E12" s="236">
        <f t="shared" ref="E12:O12" si="17">D12+1</f>
        <v>2015</v>
      </c>
      <c r="F12" s="236">
        <f t="shared" si="17"/>
        <v>2016</v>
      </c>
      <c r="G12" s="236">
        <f t="shared" si="17"/>
        <v>2017</v>
      </c>
      <c r="H12" s="236">
        <f t="shared" si="17"/>
        <v>2018</v>
      </c>
      <c r="I12" s="236">
        <f t="shared" si="17"/>
        <v>2019</v>
      </c>
      <c r="J12" s="236">
        <f t="shared" si="17"/>
        <v>2020</v>
      </c>
      <c r="K12" s="236">
        <f t="shared" si="17"/>
        <v>2021</v>
      </c>
      <c r="L12" s="236">
        <f t="shared" si="17"/>
        <v>2022</v>
      </c>
      <c r="M12" s="236">
        <f t="shared" si="17"/>
        <v>2023</v>
      </c>
      <c r="N12" s="236">
        <f t="shared" si="17"/>
        <v>2024</v>
      </c>
      <c r="O12" s="236">
        <f t="shared" si="17"/>
        <v>2025</v>
      </c>
    </row>
    <row r="13" spans="2:15" x14ac:dyDescent="0.2">
      <c r="B13" s="311"/>
      <c r="C13" s="237" t="s">
        <v>395</v>
      </c>
      <c r="D13" s="238">
        <v>0</v>
      </c>
      <c r="E13" s="239">
        <f t="shared" ref="E13:O13" si="18">D13</f>
        <v>0</v>
      </c>
      <c r="F13" s="239">
        <f t="shared" si="18"/>
        <v>0</v>
      </c>
      <c r="G13" s="239">
        <f t="shared" si="18"/>
        <v>0</v>
      </c>
      <c r="H13" s="239">
        <f t="shared" si="18"/>
        <v>0</v>
      </c>
      <c r="I13" s="239">
        <f t="shared" si="18"/>
        <v>0</v>
      </c>
      <c r="J13" s="239">
        <f t="shared" si="18"/>
        <v>0</v>
      </c>
      <c r="K13" s="239">
        <f t="shared" si="18"/>
        <v>0</v>
      </c>
      <c r="L13" s="239">
        <f t="shared" si="18"/>
        <v>0</v>
      </c>
      <c r="M13" s="239">
        <f t="shared" si="18"/>
        <v>0</v>
      </c>
      <c r="N13" s="239">
        <f t="shared" si="18"/>
        <v>0</v>
      </c>
      <c r="O13" s="239">
        <f t="shared" si="18"/>
        <v>0</v>
      </c>
    </row>
    <row r="14" spans="2:15" ht="15" x14ac:dyDescent="0.25">
      <c r="B14" s="311"/>
      <c r="C14" s="240" t="s">
        <v>162</v>
      </c>
      <c r="D14" s="249"/>
      <c r="E14" s="243"/>
      <c r="F14" s="243"/>
      <c r="G14" s="243"/>
      <c r="H14" s="243"/>
      <c r="I14" s="243"/>
      <c r="J14" s="243"/>
      <c r="K14" s="243"/>
      <c r="L14" s="243"/>
      <c r="M14" s="243"/>
      <c r="N14" s="243"/>
      <c r="O14" s="243"/>
    </row>
    <row r="15" spans="2:15" x14ac:dyDescent="0.2">
      <c r="B15" s="311"/>
      <c r="C15" s="244" t="s">
        <v>392</v>
      </c>
      <c r="D15" s="239">
        <f t="shared" ref="D15:O15" si="19">D13*D14</f>
        <v>0</v>
      </c>
      <c r="E15" s="239">
        <f t="shared" si="19"/>
        <v>0</v>
      </c>
      <c r="F15" s="239">
        <f t="shared" si="19"/>
        <v>0</v>
      </c>
      <c r="G15" s="239">
        <f t="shared" si="19"/>
        <v>0</v>
      </c>
      <c r="H15" s="239">
        <f t="shared" si="19"/>
        <v>0</v>
      </c>
      <c r="I15" s="239">
        <f t="shared" si="19"/>
        <v>0</v>
      </c>
      <c r="J15" s="239">
        <f t="shared" si="19"/>
        <v>0</v>
      </c>
      <c r="K15" s="239">
        <f t="shared" si="19"/>
        <v>0</v>
      </c>
      <c r="L15" s="239">
        <f t="shared" si="19"/>
        <v>0</v>
      </c>
      <c r="M15" s="239">
        <f t="shared" si="19"/>
        <v>0</v>
      </c>
      <c r="N15" s="239">
        <f t="shared" si="19"/>
        <v>0</v>
      </c>
      <c r="O15" s="239">
        <f t="shared" si="19"/>
        <v>0</v>
      </c>
    </row>
    <row r="16" spans="2:15" x14ac:dyDescent="0.2">
      <c r="B16" s="312"/>
      <c r="C16" s="240" t="s">
        <v>393</v>
      </c>
      <c r="D16" s="245">
        <f>NPV(Summary!$C$5,Benefits!D15:O15)</f>
        <v>0</v>
      </c>
      <c r="E16" s="246" t="s">
        <v>394</v>
      </c>
      <c r="F16" s="247">
        <f>SUM(D15:O15)</f>
        <v>0</v>
      </c>
      <c r="G16" s="248"/>
      <c r="H16" s="248"/>
      <c r="I16" s="248"/>
      <c r="J16" s="248"/>
      <c r="K16" s="248"/>
      <c r="L16" s="248"/>
      <c r="M16" s="248"/>
      <c r="N16" s="248"/>
      <c r="O16" s="248"/>
    </row>
    <row r="19" spans="2:6" x14ac:dyDescent="0.2">
      <c r="D19" s="250"/>
      <c r="F19" s="251"/>
    </row>
    <row r="21" spans="2:6" x14ac:dyDescent="0.2">
      <c r="B21" s="236" t="s">
        <v>159</v>
      </c>
      <c r="C21" s="314" t="s">
        <v>396</v>
      </c>
      <c r="D21" s="314"/>
      <c r="E21" s="314"/>
    </row>
    <row r="22" spans="2:6" ht="12.75" customHeight="1" x14ac:dyDescent="0.2">
      <c r="B22" s="310" t="s">
        <v>413</v>
      </c>
      <c r="C22" s="313" t="s">
        <v>434</v>
      </c>
      <c r="D22" s="313"/>
      <c r="E22" s="313"/>
    </row>
    <row r="23" spans="2:6" x14ac:dyDescent="0.2">
      <c r="B23" s="311"/>
      <c r="C23" s="313"/>
      <c r="D23" s="313"/>
      <c r="E23" s="313"/>
    </row>
    <row r="24" spans="2:6" x14ac:dyDescent="0.2">
      <c r="B24" s="311"/>
      <c r="C24" s="313"/>
      <c r="D24" s="313"/>
      <c r="E24" s="313"/>
    </row>
    <row r="25" spans="2:6" x14ac:dyDescent="0.2">
      <c r="B25" s="311"/>
      <c r="C25" s="313"/>
      <c r="D25" s="313"/>
      <c r="E25" s="313"/>
    </row>
    <row r="26" spans="2:6" x14ac:dyDescent="0.2">
      <c r="B26" s="312"/>
      <c r="C26" s="313"/>
      <c r="D26" s="313"/>
      <c r="E26" s="313"/>
    </row>
    <row r="27" spans="2:6" ht="12.75" customHeight="1" x14ac:dyDescent="0.2">
      <c r="B27" s="310" t="s">
        <v>436</v>
      </c>
      <c r="C27" s="315" t="s">
        <v>435</v>
      </c>
      <c r="D27" s="313"/>
      <c r="E27" s="313"/>
    </row>
    <row r="28" spans="2:6" x14ac:dyDescent="0.2">
      <c r="B28" s="311"/>
      <c r="C28" s="313"/>
      <c r="D28" s="313"/>
      <c r="E28" s="313"/>
    </row>
    <row r="29" spans="2:6" x14ac:dyDescent="0.2">
      <c r="B29" s="311"/>
      <c r="C29" s="313"/>
      <c r="D29" s="313"/>
      <c r="E29" s="313"/>
    </row>
    <row r="30" spans="2:6" x14ac:dyDescent="0.2">
      <c r="B30" s="311"/>
      <c r="C30" s="313"/>
      <c r="D30" s="313"/>
      <c r="E30" s="313"/>
    </row>
    <row r="31" spans="2:6" x14ac:dyDescent="0.2">
      <c r="B31" s="312"/>
      <c r="C31" s="313"/>
      <c r="D31" s="313"/>
      <c r="E31" s="313"/>
    </row>
    <row r="32" spans="2:6" ht="12.75" customHeight="1" x14ac:dyDescent="0.2">
      <c r="B32" s="310" t="s">
        <v>414</v>
      </c>
      <c r="C32" s="313"/>
      <c r="D32" s="313"/>
      <c r="E32" s="313"/>
    </row>
    <row r="33" spans="2:5" x14ac:dyDescent="0.2">
      <c r="B33" s="311"/>
      <c r="C33" s="313"/>
      <c r="D33" s="313"/>
      <c r="E33" s="313"/>
    </row>
    <row r="34" spans="2:5" x14ac:dyDescent="0.2">
      <c r="B34" s="311"/>
      <c r="C34" s="313"/>
      <c r="D34" s="313"/>
      <c r="E34" s="313"/>
    </row>
    <row r="35" spans="2:5" x14ac:dyDescent="0.2">
      <c r="B35" s="311"/>
      <c r="C35" s="313"/>
      <c r="D35" s="313"/>
      <c r="E35" s="313"/>
    </row>
    <row r="36" spans="2:5" x14ac:dyDescent="0.2">
      <c r="B36" s="312"/>
      <c r="C36" s="313"/>
      <c r="D36" s="313"/>
      <c r="E36" s="313"/>
    </row>
  </sheetData>
  <mergeCells count="10">
    <mergeCell ref="B32:B36"/>
    <mergeCell ref="C32:E36"/>
    <mergeCell ref="B2:B6"/>
    <mergeCell ref="B7:B11"/>
    <mergeCell ref="B12:B16"/>
    <mergeCell ref="C21:E21"/>
    <mergeCell ref="B22:B26"/>
    <mergeCell ref="C22:E26"/>
    <mergeCell ref="B27:B31"/>
    <mergeCell ref="C27:E3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1"/>
  <sheetViews>
    <sheetView workbookViewId="0">
      <selection activeCell="G21" sqref="G21"/>
    </sheetView>
  </sheetViews>
  <sheetFormatPr defaultColWidth="9.140625" defaultRowHeight="12.75" x14ac:dyDescent="0.2"/>
  <cols>
    <col min="1" max="1" width="1.7109375" style="235" customWidth="1"/>
    <col min="2" max="2" width="3" style="235" bestFit="1" customWidth="1"/>
    <col min="3" max="4" width="13.85546875" style="235" bestFit="1" customWidth="1"/>
    <col min="5" max="6" width="14.42578125" style="235" bestFit="1" customWidth="1"/>
    <col min="7" max="8" width="9.140625" style="235"/>
    <col min="9" max="9" width="3.140625" style="235" customWidth="1"/>
    <col min="10" max="10" width="3" style="235" bestFit="1" customWidth="1"/>
    <col min="11" max="12" width="12.7109375" style="235" bestFit="1" customWidth="1"/>
    <col min="13" max="13" width="12.5703125" style="235" bestFit="1" customWidth="1"/>
    <col min="14" max="14" width="13.42578125" style="235" bestFit="1" customWidth="1"/>
    <col min="15" max="16384" width="9.140625" style="235"/>
  </cols>
  <sheetData>
    <row r="2" spans="1:16" x14ac:dyDescent="0.2">
      <c r="B2" s="321" t="s">
        <v>412</v>
      </c>
      <c r="C2" s="321"/>
      <c r="D2" s="321"/>
      <c r="E2" s="321"/>
      <c r="F2" s="321"/>
      <c r="J2" s="321" t="s">
        <v>412</v>
      </c>
      <c r="K2" s="321"/>
      <c r="L2" s="321"/>
      <c r="M2" s="321"/>
      <c r="N2" s="321"/>
    </row>
    <row r="3" spans="1:16" x14ac:dyDescent="0.2">
      <c r="B3" s="236"/>
      <c r="C3" s="236" t="s">
        <v>397</v>
      </c>
      <c r="D3" s="236" t="s">
        <v>398</v>
      </c>
      <c r="E3" s="236" t="s">
        <v>399</v>
      </c>
      <c r="F3" s="236"/>
      <c r="J3" s="274"/>
      <c r="K3" s="274" t="s">
        <v>397</v>
      </c>
      <c r="L3" s="274" t="s">
        <v>398</v>
      </c>
      <c r="M3" s="274" t="s">
        <v>399</v>
      </c>
      <c r="N3" s="274"/>
    </row>
    <row r="4" spans="1:16" ht="15" x14ac:dyDescent="0.25">
      <c r="A4" s="252"/>
      <c r="B4" s="253">
        <v>1</v>
      </c>
      <c r="C4" s="254">
        <f>Benefits!D5+Benefits!D10+Benefits!D15</f>
        <v>0</v>
      </c>
      <c r="D4" s="254">
        <f>Summary!F48</f>
        <v>169608.03864097164</v>
      </c>
      <c r="E4" s="254">
        <f>C4-D4</f>
        <v>-169608.03864097164</v>
      </c>
      <c r="F4" s="254">
        <f>SUM($E$4:E4)</f>
        <v>-169608.03864097164</v>
      </c>
      <c r="G4" s="235">
        <f t="shared" ref="G4:G15" si="0">IF(F4&lt;0,1,(C4-F4)/C4)</f>
        <v>1</v>
      </c>
      <c r="H4" s="255">
        <f>IF(G4&gt;0,G4,0)</f>
        <v>1</v>
      </c>
      <c r="J4" s="253">
        <v>1</v>
      </c>
      <c r="K4" s="276">
        <f>NPV(Summary!$C$5,C4)</f>
        <v>0</v>
      </c>
      <c r="L4" s="276">
        <f>NPV(Summary!$C$5,D4)</f>
        <v>166282.39082448199</v>
      </c>
      <c r="M4" s="254">
        <f>K4-L4</f>
        <v>-166282.39082448199</v>
      </c>
      <c r="N4" s="254">
        <f>SUM($M$4:M4)</f>
        <v>-166282.39082448199</v>
      </c>
      <c r="O4" s="235">
        <f t="shared" ref="O4:O15" si="1">IF(N4&lt;0,1,(K4-N4)/K4)</f>
        <v>1</v>
      </c>
      <c r="P4" s="255">
        <f>IF(O4&gt;0,O4,0)</f>
        <v>1</v>
      </c>
    </row>
    <row r="5" spans="1:16" ht="15" x14ac:dyDescent="0.25">
      <c r="A5" s="252"/>
      <c r="B5" s="253">
        <v>2</v>
      </c>
      <c r="C5" s="254">
        <f>Benefits!E5+Benefits!E10+Benefits!E15</f>
        <v>110589.96558139536</v>
      </c>
      <c r="D5" s="251">
        <f>Summary!G48</f>
        <v>440967.20208620839</v>
      </c>
      <c r="E5" s="254">
        <f t="shared" ref="E5:E15" si="2">C5-D5</f>
        <v>-330377.23650481302</v>
      </c>
      <c r="F5" s="254">
        <f>SUM($E$4:E5)</f>
        <v>-499985.27514578466</v>
      </c>
      <c r="G5" s="235">
        <f t="shared" si="0"/>
        <v>1</v>
      </c>
      <c r="H5" s="255">
        <f t="shared" ref="H5:H15" si="3">IF(G5&gt;0,G5,0)</f>
        <v>1</v>
      </c>
      <c r="J5" s="253">
        <v>2</v>
      </c>
      <c r="K5" s="276">
        <f>NPV(Summary!$C$5,0,C5)</f>
        <v>106295.62243502052</v>
      </c>
      <c r="L5" s="276">
        <f>NPV(Summary!$C$5,0,D5)</f>
        <v>423843.90819512535</v>
      </c>
      <c r="M5" s="254">
        <f t="shared" ref="M5:M15" si="4">K5-L5</f>
        <v>-317548.28576010483</v>
      </c>
      <c r="N5" s="254">
        <f>SUM($M$4:M5)</f>
        <v>-483830.67658458685</v>
      </c>
      <c r="O5" s="235">
        <f t="shared" si="1"/>
        <v>1</v>
      </c>
      <c r="P5" s="255">
        <f t="shared" ref="P5:P15" si="5">IF(O5&gt;0,O5,0)</f>
        <v>1</v>
      </c>
    </row>
    <row r="6" spans="1:16" ht="15" x14ac:dyDescent="0.25">
      <c r="A6" s="252"/>
      <c r="B6" s="253">
        <v>3</v>
      </c>
      <c r="C6" s="254">
        <f>Benefits!F5+Benefits!F10+Benefits!F15</f>
        <v>241718.06762790697</v>
      </c>
      <c r="D6" s="254">
        <f>Summary!H48</f>
        <v>567272.69888118166</v>
      </c>
      <c r="E6" s="254">
        <f t="shared" si="2"/>
        <v>-325554.63125327468</v>
      </c>
      <c r="F6" s="254">
        <f>SUM($E$4:E6)</f>
        <v>-825539.90639905934</v>
      </c>
      <c r="G6" s="235">
        <f t="shared" si="0"/>
        <v>1</v>
      </c>
      <c r="H6" s="255">
        <f t="shared" si="3"/>
        <v>1</v>
      </c>
      <c r="J6" s="253">
        <v>3</v>
      </c>
      <c r="K6" s="276">
        <f>NPV(Summary!$C$5,0,0,C6)</f>
        <v>227776.33378932968</v>
      </c>
      <c r="L6" s="276">
        <f>NPV(Summary!$C$5,0,0,D6)</f>
        <v>534553.7339345176</v>
      </c>
      <c r="M6" s="254">
        <f t="shared" si="4"/>
        <v>-306777.40014518792</v>
      </c>
      <c r="N6" s="254">
        <f>SUM($M$4:M6)</f>
        <v>-790608.07672977471</v>
      </c>
      <c r="O6" s="235">
        <f t="shared" si="1"/>
        <v>1</v>
      </c>
      <c r="P6" s="255">
        <f t="shared" si="5"/>
        <v>1</v>
      </c>
    </row>
    <row r="7" spans="1:16" ht="15" x14ac:dyDescent="0.25">
      <c r="A7" s="252"/>
      <c r="B7" s="253">
        <v>4</v>
      </c>
      <c r="C7" s="254">
        <f>Benefits!G5+Benefits!G10+Benefits!G15</f>
        <v>408902.09991739539</v>
      </c>
      <c r="D7" s="254">
        <f>Summary!I48</f>
        <v>603623.19493615604</v>
      </c>
      <c r="E7" s="254">
        <f t="shared" si="2"/>
        <v>-194721.09501876065</v>
      </c>
      <c r="F7" s="254">
        <f>SUM($E$4:E7)</f>
        <v>-1020261.00141782</v>
      </c>
      <c r="G7" s="235">
        <f t="shared" si="0"/>
        <v>1</v>
      </c>
      <c r="H7" s="255">
        <f t="shared" si="3"/>
        <v>1</v>
      </c>
      <c r="J7" s="253">
        <v>4</v>
      </c>
      <c r="K7" s="276">
        <f>NPV(Summary!$C$5,0,0,0,C7)</f>
        <v>377762.33470132243</v>
      </c>
      <c r="L7" s="276">
        <f>NPV(Summary!$C$5,0,0,0,D7)</f>
        <v>557654.52768527879</v>
      </c>
      <c r="M7" s="254">
        <f t="shared" si="4"/>
        <v>-179892.19298395637</v>
      </c>
      <c r="N7" s="254">
        <f>SUM($M$4:M7)</f>
        <v>-970500.26971373102</v>
      </c>
      <c r="O7" s="235">
        <f t="shared" si="1"/>
        <v>1</v>
      </c>
      <c r="P7" s="255">
        <f t="shared" si="5"/>
        <v>1</v>
      </c>
    </row>
    <row r="8" spans="1:16" ht="15" x14ac:dyDescent="0.25">
      <c r="A8" s="252"/>
      <c r="B8" s="253">
        <v>5</v>
      </c>
      <c r="C8" s="254">
        <f>Benefits!H5+Benefits!H10+Benefits!H15</f>
        <v>553641.69635725394</v>
      </c>
      <c r="D8" s="254">
        <f>Summary!J48</f>
        <v>673375.27958946745</v>
      </c>
      <c r="E8" s="254">
        <f t="shared" si="2"/>
        <v>-119733.58323221351</v>
      </c>
      <c r="F8" s="254">
        <f>SUM($E$4:E8)</f>
        <v>-1139994.5846500336</v>
      </c>
      <c r="G8" s="235">
        <f t="shared" si="0"/>
        <v>1</v>
      </c>
      <c r="H8" s="255">
        <f t="shared" si="3"/>
        <v>1</v>
      </c>
      <c r="J8" s="253">
        <v>5</v>
      </c>
      <c r="K8" s="276">
        <f>NPV(Summary!$C$5,0,0,0,0,C8)</f>
        <v>501450.34199726401</v>
      </c>
      <c r="L8" s="276">
        <f>NPV(Summary!$C$5,0,0,0,0,D8)</f>
        <v>609896.73730201437</v>
      </c>
      <c r="M8" s="254">
        <f t="shared" si="4"/>
        <v>-108446.39530475036</v>
      </c>
      <c r="N8" s="254">
        <f>SUM($M$4:M8)</f>
        <v>-1078946.6650184814</v>
      </c>
      <c r="O8" s="235">
        <f t="shared" si="1"/>
        <v>1</v>
      </c>
      <c r="P8" s="255">
        <f t="shared" si="5"/>
        <v>1</v>
      </c>
    </row>
    <row r="9" spans="1:16" ht="15" x14ac:dyDescent="0.25">
      <c r="A9" s="252"/>
      <c r="B9" s="253">
        <v>6</v>
      </c>
      <c r="C9" s="254">
        <f>Benefits!I5+Benefits!I10+Benefits!I15</f>
        <v>721108.19228882494</v>
      </c>
      <c r="D9" s="254">
        <f>Summary!K48</f>
        <v>699695.28522086155</v>
      </c>
      <c r="E9" s="254">
        <f t="shared" si="2"/>
        <v>21412.907067963388</v>
      </c>
      <c r="F9" s="254">
        <f>SUM($E$4:E9)</f>
        <v>-1118581.6775820702</v>
      </c>
      <c r="G9" s="235">
        <f t="shared" si="0"/>
        <v>1</v>
      </c>
      <c r="H9" s="255">
        <f t="shared" si="3"/>
        <v>1</v>
      </c>
      <c r="J9" s="253">
        <v>6</v>
      </c>
      <c r="K9" s="276">
        <f>NPV(Summary!$C$5,0,0,0,0,0,C9)</f>
        <v>640323.43821249413</v>
      </c>
      <c r="L9" s="276">
        <f>NPV(Summary!$C$5,0,0,0,0,0,D9)</f>
        <v>621309.38952673029</v>
      </c>
      <c r="M9" s="254">
        <f t="shared" si="4"/>
        <v>19014.048685763846</v>
      </c>
      <c r="N9" s="254">
        <f>SUM($M$4:M9)</f>
        <v>-1059932.6163327177</v>
      </c>
      <c r="O9" s="235">
        <f t="shared" si="1"/>
        <v>1</v>
      </c>
      <c r="P9" s="255">
        <f t="shared" si="5"/>
        <v>1</v>
      </c>
    </row>
    <row r="10" spans="1:16" ht="15" x14ac:dyDescent="0.25">
      <c r="A10" s="252"/>
      <c r="B10" s="253">
        <v>7</v>
      </c>
      <c r="C10" s="254">
        <f>Benefits!J5+Benefits!J10+Benefits!J15</f>
        <v>885696.57207422925</v>
      </c>
      <c r="D10" s="254">
        <f>Summary!L48</f>
        <v>292049.60625557753</v>
      </c>
      <c r="E10" s="254">
        <f t="shared" si="2"/>
        <v>593646.96581865172</v>
      </c>
      <c r="F10" s="254">
        <f>SUM($E$4:E10)</f>
        <v>-524934.71176341851</v>
      </c>
      <c r="G10" s="235">
        <f t="shared" si="0"/>
        <v>1</v>
      </c>
      <c r="H10" s="255">
        <f t="shared" si="3"/>
        <v>1</v>
      </c>
      <c r="J10" s="253">
        <v>7</v>
      </c>
      <c r="K10" s="276">
        <f>NPV(Summary!$C$5,0,0,0,0,0,0,C10)</f>
        <v>771052.16598267213</v>
      </c>
      <c r="L10" s="276">
        <f>NPV(Summary!$C$5,0,0,0,0,0,0,D10)</f>
        <v>254246.75738597874</v>
      </c>
      <c r="M10" s="254">
        <f t="shared" si="4"/>
        <v>516805.40859669342</v>
      </c>
      <c r="N10" s="254">
        <f>SUM($M$4:M10)</f>
        <v>-543127.20773602428</v>
      </c>
      <c r="O10" s="235">
        <f t="shared" si="1"/>
        <v>1</v>
      </c>
      <c r="P10" s="255">
        <f t="shared" si="5"/>
        <v>1</v>
      </c>
    </row>
    <row r="11" spans="1:16" ht="15" x14ac:dyDescent="0.25">
      <c r="A11" s="252"/>
      <c r="B11" s="253">
        <v>8</v>
      </c>
      <c r="C11" s="254">
        <f>Benefits!K5+Benefits!K10+Benefits!K15</f>
        <v>936808.99343415978</v>
      </c>
      <c r="D11" s="254">
        <f>Summary!M48</f>
        <v>301386.57626492227</v>
      </c>
      <c r="E11" s="254">
        <f t="shared" si="2"/>
        <v>635422.41716923751</v>
      </c>
      <c r="F11" s="254">
        <f>SUM($E$4:E11)</f>
        <v>110487.705405819</v>
      </c>
      <c r="G11" s="235">
        <f t="shared" si="0"/>
        <v>0.88205951674226302</v>
      </c>
      <c r="H11" s="255">
        <f t="shared" si="3"/>
        <v>0.88205951674226302</v>
      </c>
      <c r="J11" s="253">
        <v>8</v>
      </c>
      <c r="K11" s="276">
        <f>NPV(Summary!$C$5,0,0,0,0,0,0,0,C11)</f>
        <v>799557.45554035576</v>
      </c>
      <c r="L11" s="276">
        <f>NPV(Summary!$C$5,0,0,0,0,0,0,0,D11)</f>
        <v>257230.54084806537</v>
      </c>
      <c r="M11" s="254">
        <f t="shared" si="4"/>
        <v>542326.91469229036</v>
      </c>
      <c r="N11" s="254">
        <f>SUM($M$4:M11)</f>
        <v>-800.2930437339237</v>
      </c>
      <c r="O11" s="235">
        <f t="shared" si="1"/>
        <v>1</v>
      </c>
      <c r="P11" s="255">
        <f t="shared" si="5"/>
        <v>1</v>
      </c>
    </row>
    <row r="12" spans="1:16" ht="15" x14ac:dyDescent="0.25">
      <c r="A12" s="252"/>
      <c r="B12" s="253">
        <v>9</v>
      </c>
      <c r="C12" s="254">
        <f>Benefits!L5+Benefits!L10+Benefits!L15</f>
        <v>989611.63301965769</v>
      </c>
      <c r="D12" s="254">
        <f>Summary!N48</f>
        <v>307767.03867816506</v>
      </c>
      <c r="E12" s="254">
        <f t="shared" si="2"/>
        <v>681844.59434149263</v>
      </c>
      <c r="F12" s="254">
        <f>SUM($E$4:E12)</f>
        <v>792332.29974731163</v>
      </c>
      <c r="G12" s="235">
        <f t="shared" si="0"/>
        <v>0.19935025689863459</v>
      </c>
      <c r="H12" s="255">
        <f t="shared" si="3"/>
        <v>0.19935025689863459</v>
      </c>
      <c r="J12" s="253">
        <v>9</v>
      </c>
      <c r="K12" s="276">
        <f>NPV(Summary!$C$5,0,0,0,0,0,0,0,0,C12)</f>
        <v>828062.74509803916</v>
      </c>
      <c r="L12" s="276">
        <f>NPV(Summary!$C$5,0,0,0,0,0,0,0,0,D12)</f>
        <v>257525.69027598872</v>
      </c>
      <c r="M12" s="254">
        <f t="shared" si="4"/>
        <v>570537.0548220505</v>
      </c>
      <c r="N12" s="254">
        <f>SUM($M$4:M12)</f>
        <v>569736.76177831658</v>
      </c>
      <c r="O12" s="235">
        <f t="shared" si="1"/>
        <v>0.31196426218781026</v>
      </c>
      <c r="P12" s="255">
        <f t="shared" si="5"/>
        <v>0.31196426218781026</v>
      </c>
    </row>
    <row r="13" spans="1:16" ht="15" x14ac:dyDescent="0.25">
      <c r="A13" s="252"/>
      <c r="B13" s="253">
        <v>10</v>
      </c>
      <c r="C13" s="254">
        <f>Benefits!M5+Benefits!M10+Benefits!M15</f>
        <v>1009403.8656800509</v>
      </c>
      <c r="D13" s="254">
        <f>Summary!O48</f>
        <v>314302.49141998251</v>
      </c>
      <c r="E13" s="254">
        <f t="shared" si="2"/>
        <v>695101.37426006841</v>
      </c>
      <c r="F13" s="254">
        <f>SUM($E$4:E13)</f>
        <v>1487433.6740073799</v>
      </c>
      <c r="G13" s="235">
        <f t="shared" si="0"/>
        <v>-0.47357635985005164</v>
      </c>
      <c r="H13" s="255">
        <f t="shared" si="3"/>
        <v>0</v>
      </c>
      <c r="J13" s="253">
        <v>10</v>
      </c>
      <c r="K13" s="276">
        <f>NPV(Summary!$C$5,0,0,0,0,0,0,0,0,0,C13)</f>
        <v>828062.74509803916</v>
      </c>
      <c r="L13" s="276">
        <f>NPV(Summary!$C$5,0,0,0,0,0,0,0,0,0,D13)</f>
        <v>257837.51448290821</v>
      </c>
      <c r="M13" s="254">
        <f t="shared" si="4"/>
        <v>570225.23061513097</v>
      </c>
      <c r="N13" s="254">
        <f>SUM($M$4:M13)</f>
        <v>1139961.9923934476</v>
      </c>
      <c r="O13" s="235">
        <f t="shared" si="1"/>
        <v>-0.37666136913149117</v>
      </c>
      <c r="P13" s="255">
        <f t="shared" si="5"/>
        <v>0</v>
      </c>
    </row>
    <row r="14" spans="1:16" ht="15" x14ac:dyDescent="0.25">
      <c r="A14" s="252"/>
      <c r="B14" s="253">
        <v>11</v>
      </c>
      <c r="C14" s="254">
        <f>Benefits!N5+Benefits!N10+Benefits!N15</f>
        <v>1029591.942993652</v>
      </c>
      <c r="D14" s="254">
        <f>Summary!P48</f>
        <v>320996.71882395423</v>
      </c>
      <c r="E14" s="254">
        <f t="shared" si="2"/>
        <v>708595.22416969773</v>
      </c>
      <c r="F14" s="254">
        <f>SUM($E$4:E14)</f>
        <v>2196028.8981770775</v>
      </c>
      <c r="G14" s="235">
        <f t="shared" si="0"/>
        <v>-1.1329118910855902</v>
      </c>
      <c r="H14" s="255">
        <f t="shared" si="3"/>
        <v>0</v>
      </c>
      <c r="J14" s="253">
        <v>11</v>
      </c>
      <c r="K14" s="276">
        <f>NPV(Summary!$C$5,0,0,0,0,0,0,0,0,0,0,C14)</f>
        <v>828062.74509803916</v>
      </c>
      <c r="L14" s="276">
        <f>NPV(Summary!$C$5,0,0,0,0,0,0,0,0,0,0,D14)</f>
        <v>258165.79662032754</v>
      </c>
      <c r="M14" s="254">
        <f t="shared" si="4"/>
        <v>569896.94847771164</v>
      </c>
      <c r="N14" s="254">
        <f>SUM($M$4:M14)</f>
        <v>1709858.9408711591</v>
      </c>
      <c r="O14" s="235">
        <f t="shared" si="1"/>
        <v>-1.0648905544817366</v>
      </c>
      <c r="P14" s="255">
        <f t="shared" si="5"/>
        <v>0</v>
      </c>
    </row>
    <row r="15" spans="1:16" ht="15" x14ac:dyDescent="0.25">
      <c r="A15" s="252"/>
      <c r="B15" s="253">
        <v>12</v>
      </c>
      <c r="C15" s="254">
        <f>Benefits!O5+Benefits!O10+Benefits!O15</f>
        <v>1050183.781853525</v>
      </c>
      <c r="D15" s="254">
        <f>Summary!Q48</f>
        <v>327853.59802350588</v>
      </c>
      <c r="E15" s="254">
        <f t="shared" si="2"/>
        <v>722330.18383001909</v>
      </c>
      <c r="F15" s="254">
        <f>SUM($E$4:E15)</f>
        <v>2918359.0820070966</v>
      </c>
      <c r="G15" s="235">
        <f t="shared" si="0"/>
        <v>-1.7789032095471233</v>
      </c>
      <c r="H15" s="255">
        <f t="shared" si="3"/>
        <v>0</v>
      </c>
      <c r="J15" s="253">
        <v>12</v>
      </c>
      <c r="K15" s="276">
        <f>NPV(Summary!$C$5,0,0,0,0,0,0,0,0,0,0,0,C15)</f>
        <v>828062.74509803916</v>
      </c>
      <c r="L15" s="276">
        <f>NPV(Summary!$C$5,0,0,0,0,0,0,0,0,0,0,0,D15)</f>
        <v>258510.32463142599</v>
      </c>
      <c r="M15" s="254">
        <f t="shared" si="4"/>
        <v>569552.42046661314</v>
      </c>
      <c r="N15" s="254">
        <f>SUM($M$4:M15)</f>
        <v>2279411.3613377721</v>
      </c>
      <c r="O15" s="235">
        <f t="shared" si="1"/>
        <v>-1.7527036747292615</v>
      </c>
      <c r="P15" s="255">
        <f t="shared" si="5"/>
        <v>0</v>
      </c>
    </row>
    <row r="16" spans="1:16" x14ac:dyDescent="0.2">
      <c r="A16" s="256"/>
      <c r="B16" s="253"/>
      <c r="C16" s="254">
        <f>SUM(C4:C15)</f>
        <v>7937256.8108280515</v>
      </c>
      <c r="D16" s="254">
        <f>SUM(D4:D15)</f>
        <v>5018897.7288209544</v>
      </c>
      <c r="E16" s="253"/>
      <c r="F16" s="253"/>
      <c r="J16" s="253"/>
      <c r="K16" s="254">
        <f>SUM(K4:K15)</f>
        <v>6736468.6730506169</v>
      </c>
      <c r="L16" s="254">
        <f>SUM(L4:L15)</f>
        <v>4457057.3117128434</v>
      </c>
      <c r="M16" s="253"/>
      <c r="N16" s="253"/>
    </row>
    <row r="17" spans="2:14" x14ac:dyDescent="0.2">
      <c r="B17" s="316" t="s">
        <v>400</v>
      </c>
      <c r="C17" s="317"/>
      <c r="D17" s="318"/>
      <c r="E17" s="322">
        <f>IRR(E4:E15, )</f>
        <v>0.21032034376739239</v>
      </c>
      <c r="F17" s="323"/>
      <c r="J17" s="316" t="s">
        <v>400</v>
      </c>
      <c r="K17" s="317"/>
      <c r="L17" s="318"/>
      <c r="M17" s="322">
        <f>IRR(M4:M15, )</f>
        <v>0.18658857232096793</v>
      </c>
      <c r="N17" s="323"/>
    </row>
    <row r="18" spans="2:14" ht="15" x14ac:dyDescent="0.25">
      <c r="B18" s="316" t="s">
        <v>401</v>
      </c>
      <c r="C18" s="317"/>
      <c r="D18" s="318"/>
      <c r="E18" s="319">
        <f>SUM(H4:H15)</f>
        <v>8.0814097736408979</v>
      </c>
      <c r="F18" s="320"/>
      <c r="J18" s="316" t="s">
        <v>401</v>
      </c>
      <c r="K18" s="317"/>
      <c r="L18" s="318"/>
      <c r="M18" s="319">
        <f>SUM(P4:P15)</f>
        <v>8.3119642621878107</v>
      </c>
      <c r="N18" s="320"/>
    </row>
    <row r="20" spans="2:14" x14ac:dyDescent="0.2">
      <c r="C20" s="275"/>
      <c r="D20" s="275"/>
      <c r="E20" s="251"/>
    </row>
    <row r="21" spans="2:14" x14ac:dyDescent="0.2">
      <c r="E21" s="251"/>
    </row>
  </sheetData>
  <mergeCells count="10">
    <mergeCell ref="J2:N2"/>
    <mergeCell ref="J17:L17"/>
    <mergeCell ref="M17:N17"/>
    <mergeCell ref="J18:L18"/>
    <mergeCell ref="M18:N18"/>
    <mergeCell ref="B18:D18"/>
    <mergeCell ref="E18:F18"/>
    <mergeCell ref="B2:F2"/>
    <mergeCell ref="B17:D17"/>
    <mergeCell ref="E17:F17"/>
  </mergeCell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12"/>
  <sheetViews>
    <sheetView topLeftCell="B1" workbookViewId="0">
      <selection activeCell="B8" sqref="B8"/>
    </sheetView>
  </sheetViews>
  <sheetFormatPr defaultRowHeight="15" x14ac:dyDescent="0.25"/>
  <cols>
    <col min="1" max="1" width="13.42578125" bestFit="1" customWidth="1"/>
    <col min="2" max="2" width="212" bestFit="1" customWidth="1"/>
  </cols>
  <sheetData>
    <row r="1" spans="1:2" x14ac:dyDescent="0.25">
      <c r="A1" s="272" t="s">
        <v>423</v>
      </c>
      <c r="B1" s="272" t="s">
        <v>424</v>
      </c>
    </row>
    <row r="2" spans="1:2" x14ac:dyDescent="0.25">
      <c r="A2" t="s">
        <v>425</v>
      </c>
      <c r="B2" t="s">
        <v>426</v>
      </c>
    </row>
    <row r="3" spans="1:2" x14ac:dyDescent="0.25">
      <c r="A3" t="s">
        <v>425</v>
      </c>
      <c r="B3" t="s">
        <v>427</v>
      </c>
    </row>
    <row r="4" spans="1:2" x14ac:dyDescent="0.25">
      <c r="A4" t="s">
        <v>425</v>
      </c>
      <c r="B4" t="s">
        <v>449</v>
      </c>
    </row>
    <row r="5" spans="1:2" x14ac:dyDescent="0.25">
      <c r="A5" t="s">
        <v>425</v>
      </c>
      <c r="B5" t="s">
        <v>428</v>
      </c>
    </row>
    <row r="6" spans="1:2" x14ac:dyDescent="0.25">
      <c r="A6" t="s">
        <v>430</v>
      </c>
      <c r="B6" t="s">
        <v>431</v>
      </c>
    </row>
    <row r="7" spans="1:2" x14ac:dyDescent="0.25">
      <c r="A7" t="s">
        <v>430</v>
      </c>
      <c r="B7" t="s">
        <v>441</v>
      </c>
    </row>
    <row r="8" spans="1:2" x14ac:dyDescent="0.25">
      <c r="A8" t="s">
        <v>430</v>
      </c>
      <c r="B8" t="s">
        <v>450</v>
      </c>
    </row>
    <row r="9" spans="1:2" x14ac:dyDescent="0.25">
      <c r="A9" t="s">
        <v>430</v>
      </c>
      <c r="B9" t="s">
        <v>433</v>
      </c>
    </row>
    <row r="10" spans="1:2" x14ac:dyDescent="0.25">
      <c r="A10" t="s">
        <v>432</v>
      </c>
      <c r="B10" t="s">
        <v>440</v>
      </c>
    </row>
    <row r="11" spans="1:2" x14ac:dyDescent="0.25">
      <c r="A11" t="s">
        <v>437</v>
      </c>
      <c r="B11" t="s">
        <v>438</v>
      </c>
    </row>
    <row r="12" spans="1:2" x14ac:dyDescent="0.25">
      <c r="A12" t="s">
        <v>437</v>
      </c>
      <c r="B12" t="s">
        <v>439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80" zoomScaleNormal="80" workbookViewId="0">
      <selection activeCell="B3" sqref="B3"/>
    </sheetView>
  </sheetViews>
  <sheetFormatPr defaultColWidth="12.5703125" defaultRowHeight="15.75" x14ac:dyDescent="0.25"/>
  <cols>
    <col min="1" max="1" width="40.42578125" style="138" customWidth="1"/>
    <col min="2" max="2" width="12.5703125" style="138"/>
    <col min="3" max="3" width="17.42578125" style="138" customWidth="1"/>
    <col min="4" max="4" width="15.5703125" style="138" bestFit="1" customWidth="1"/>
    <col min="5" max="5" width="17.5703125" style="138" customWidth="1"/>
    <col min="6" max="6" width="20" style="138" customWidth="1"/>
    <col min="7" max="16384" width="12.5703125" style="138"/>
  </cols>
  <sheetData>
    <row r="1" spans="1:6" x14ac:dyDescent="0.25">
      <c r="A1" s="138" t="s">
        <v>130</v>
      </c>
    </row>
    <row r="3" spans="1:6" ht="33" customHeight="1" x14ac:dyDescent="0.25">
      <c r="A3" s="139"/>
      <c r="B3" s="139" t="s">
        <v>131</v>
      </c>
      <c r="C3" s="140" t="s">
        <v>132</v>
      </c>
      <c r="D3" s="141" t="s">
        <v>133</v>
      </c>
      <c r="E3" s="140" t="s">
        <v>134</v>
      </c>
      <c r="F3" s="141" t="s">
        <v>135</v>
      </c>
    </row>
    <row r="4" spans="1:6" x14ac:dyDescent="0.25">
      <c r="A4" s="139" t="s">
        <v>136</v>
      </c>
      <c r="B4" s="139"/>
      <c r="C4" s="139"/>
      <c r="D4" s="142"/>
      <c r="E4" s="139"/>
      <c r="F4" s="142"/>
    </row>
    <row r="5" spans="1:6" x14ac:dyDescent="0.25">
      <c r="A5" s="139" t="s">
        <v>137</v>
      </c>
      <c r="B5" s="139">
        <v>4</v>
      </c>
      <c r="C5" s="143">
        <v>904.29</v>
      </c>
      <c r="D5" s="144">
        <f>B5*C5</f>
        <v>3617.16</v>
      </c>
      <c r="E5" s="143">
        <v>904.29</v>
      </c>
      <c r="F5" s="144">
        <f>B5*E5</f>
        <v>3617.16</v>
      </c>
    </row>
    <row r="6" spans="1:6" x14ac:dyDescent="0.25">
      <c r="A6" s="139" t="s">
        <v>138</v>
      </c>
      <c r="B6" s="139">
        <v>2</v>
      </c>
      <c r="C6" s="143">
        <v>22200</v>
      </c>
      <c r="D6" s="144">
        <f t="shared" ref="D6:D22" si="0">B6*C6</f>
        <v>44400</v>
      </c>
      <c r="E6" s="143">
        <v>3000</v>
      </c>
      <c r="F6" s="144">
        <f t="shared" ref="F6:F23" si="1">B6*E6</f>
        <v>6000</v>
      </c>
    </row>
    <row r="7" spans="1:6" x14ac:dyDescent="0.25">
      <c r="A7" s="139" t="s">
        <v>139</v>
      </c>
      <c r="B7" s="139">
        <v>2</v>
      </c>
      <c r="C7" s="143" t="s">
        <v>9</v>
      </c>
      <c r="D7" s="144">
        <v>8400</v>
      </c>
      <c r="E7" s="143"/>
      <c r="F7" s="144"/>
    </row>
    <row r="8" spans="1:6" x14ac:dyDescent="0.25">
      <c r="A8" s="139" t="s">
        <v>140</v>
      </c>
      <c r="B8" s="139">
        <v>1</v>
      </c>
      <c r="C8" s="143">
        <v>14400</v>
      </c>
      <c r="D8" s="144">
        <f t="shared" si="0"/>
        <v>14400</v>
      </c>
      <c r="E8" s="143">
        <v>0</v>
      </c>
      <c r="F8" s="144">
        <f t="shared" si="1"/>
        <v>0</v>
      </c>
    </row>
    <row r="9" spans="1:6" x14ac:dyDescent="0.25">
      <c r="A9" s="139" t="s">
        <v>141</v>
      </c>
      <c r="B9" s="139">
        <v>1</v>
      </c>
      <c r="C9" s="143">
        <v>8000</v>
      </c>
      <c r="D9" s="144">
        <f t="shared" si="0"/>
        <v>8000</v>
      </c>
      <c r="E9" s="143">
        <v>0</v>
      </c>
      <c r="F9" s="144">
        <f t="shared" si="1"/>
        <v>0</v>
      </c>
    </row>
    <row r="10" spans="1:6" x14ac:dyDescent="0.25">
      <c r="A10" s="139"/>
      <c r="B10" s="139"/>
      <c r="C10" s="143"/>
      <c r="D10" s="144"/>
      <c r="E10" s="143"/>
      <c r="F10" s="144"/>
    </row>
    <row r="11" spans="1:6" x14ac:dyDescent="0.25">
      <c r="A11" s="139" t="s">
        <v>142</v>
      </c>
      <c r="B11" s="139"/>
      <c r="C11" s="143"/>
      <c r="D11" s="144"/>
      <c r="E11" s="143"/>
      <c r="F11" s="144"/>
    </row>
    <row r="12" spans="1:6" x14ac:dyDescent="0.25">
      <c r="A12" s="139" t="s">
        <v>137</v>
      </c>
      <c r="B12" s="139">
        <v>10</v>
      </c>
      <c r="C12" s="143">
        <v>904.29</v>
      </c>
      <c r="D12" s="144">
        <f t="shared" si="0"/>
        <v>9042.9</v>
      </c>
      <c r="E12" s="143">
        <v>904.29</v>
      </c>
      <c r="F12" s="144">
        <f t="shared" si="1"/>
        <v>9042.9</v>
      </c>
    </row>
    <row r="13" spans="1:6" x14ac:dyDescent="0.25">
      <c r="A13" s="139" t="s">
        <v>138</v>
      </c>
      <c r="B13" s="139">
        <v>0</v>
      </c>
      <c r="C13" s="143">
        <v>22200</v>
      </c>
      <c r="D13" s="144">
        <f t="shared" si="0"/>
        <v>0</v>
      </c>
      <c r="E13" s="143">
        <v>0</v>
      </c>
      <c r="F13" s="144">
        <f t="shared" si="1"/>
        <v>0</v>
      </c>
    </row>
    <row r="14" spans="1:6" x14ac:dyDescent="0.25">
      <c r="A14" s="139" t="s">
        <v>139</v>
      </c>
      <c r="B14" s="139">
        <v>2</v>
      </c>
      <c r="C14" s="143" t="s">
        <v>9</v>
      </c>
      <c r="D14" s="144">
        <v>8400</v>
      </c>
      <c r="E14" s="143"/>
      <c r="F14" s="144"/>
    </row>
    <row r="15" spans="1:6" x14ac:dyDescent="0.25">
      <c r="A15" s="139" t="s">
        <v>140</v>
      </c>
      <c r="B15" s="139">
        <v>1</v>
      </c>
      <c r="C15" s="143">
        <v>14400</v>
      </c>
      <c r="D15" s="144">
        <v>14400</v>
      </c>
      <c r="E15" s="143">
        <v>7200</v>
      </c>
      <c r="F15" s="144">
        <f t="shared" si="1"/>
        <v>7200</v>
      </c>
    </row>
    <row r="16" spans="1:6" x14ac:dyDescent="0.25">
      <c r="A16" s="139" t="s">
        <v>141</v>
      </c>
      <c r="B16" s="139">
        <v>1</v>
      </c>
      <c r="C16" s="143">
        <v>8000</v>
      </c>
      <c r="D16" s="144">
        <f t="shared" si="0"/>
        <v>8000</v>
      </c>
      <c r="E16" s="143">
        <v>4000</v>
      </c>
      <c r="F16" s="144">
        <f t="shared" si="1"/>
        <v>4000</v>
      </c>
    </row>
    <row r="17" spans="1:6" x14ac:dyDescent="0.25">
      <c r="A17" s="139"/>
      <c r="B17" s="139"/>
      <c r="C17" s="143"/>
      <c r="D17" s="144"/>
      <c r="E17" s="143"/>
      <c r="F17" s="144"/>
    </row>
    <row r="18" spans="1:6" x14ac:dyDescent="0.25">
      <c r="A18" s="139" t="s">
        <v>143</v>
      </c>
      <c r="B18" s="139"/>
      <c r="C18" s="143"/>
      <c r="D18" s="144"/>
      <c r="E18" s="143"/>
      <c r="F18" s="144"/>
    </row>
    <row r="19" spans="1:6" x14ac:dyDescent="0.25">
      <c r="A19" s="139" t="s">
        <v>137</v>
      </c>
      <c r="B19" s="139">
        <v>40</v>
      </c>
      <c r="C19" s="143">
        <v>904.29</v>
      </c>
      <c r="D19" s="144">
        <f t="shared" si="0"/>
        <v>36171.599999999999</v>
      </c>
      <c r="E19" s="143">
        <v>904.29</v>
      </c>
      <c r="F19" s="144">
        <f t="shared" si="1"/>
        <v>36171.599999999999</v>
      </c>
    </row>
    <row r="20" spans="1:6" x14ac:dyDescent="0.25">
      <c r="A20" s="139" t="s">
        <v>138</v>
      </c>
      <c r="B20" s="139">
        <v>5</v>
      </c>
      <c r="C20" s="143">
        <v>22200</v>
      </c>
      <c r="D20" s="144">
        <f t="shared" si="0"/>
        <v>111000</v>
      </c>
      <c r="E20" s="143">
        <v>22200</v>
      </c>
      <c r="F20" s="144">
        <f t="shared" si="1"/>
        <v>111000</v>
      </c>
    </row>
    <row r="21" spans="1:6" x14ac:dyDescent="0.25">
      <c r="A21" s="139" t="s">
        <v>139</v>
      </c>
      <c r="B21" s="139">
        <v>5</v>
      </c>
      <c r="C21" s="143" t="s">
        <v>9</v>
      </c>
      <c r="D21" s="144">
        <f>5*4200</f>
        <v>21000</v>
      </c>
      <c r="E21" s="143"/>
      <c r="F21" s="144">
        <f>D21</f>
        <v>21000</v>
      </c>
    </row>
    <row r="22" spans="1:6" x14ac:dyDescent="0.25">
      <c r="A22" s="139" t="s">
        <v>140</v>
      </c>
      <c r="B22" s="139">
        <v>1</v>
      </c>
      <c r="C22" s="143">
        <v>14400</v>
      </c>
      <c r="D22" s="144">
        <f t="shared" si="0"/>
        <v>14400</v>
      </c>
      <c r="E22" s="145">
        <v>14400</v>
      </c>
      <c r="F22" s="144">
        <f>D22</f>
        <v>14400</v>
      </c>
    </row>
    <row r="23" spans="1:6" x14ac:dyDescent="0.25">
      <c r="A23" s="139" t="s">
        <v>144</v>
      </c>
      <c r="B23" s="139">
        <v>1</v>
      </c>
      <c r="C23" s="143">
        <v>8000</v>
      </c>
      <c r="D23" s="144">
        <v>0</v>
      </c>
      <c r="E23" s="143">
        <v>4000</v>
      </c>
      <c r="F23" s="144">
        <f t="shared" si="1"/>
        <v>4000</v>
      </c>
    </row>
    <row r="25" spans="1:6" x14ac:dyDescent="0.25">
      <c r="A25" s="138" t="s">
        <v>145</v>
      </c>
    </row>
    <row r="26" spans="1:6" x14ac:dyDescent="0.25">
      <c r="A26" s="138" t="s">
        <v>146</v>
      </c>
    </row>
    <row r="27" spans="1:6" x14ac:dyDescent="0.25">
      <c r="A27" s="138" t="s">
        <v>147</v>
      </c>
    </row>
    <row r="28" spans="1:6" x14ac:dyDescent="0.25">
      <c r="A28" s="138" t="s">
        <v>451</v>
      </c>
    </row>
    <row r="29" spans="1:6" x14ac:dyDescent="0.25">
      <c r="A29" s="138" t="s">
        <v>452</v>
      </c>
    </row>
    <row r="30" spans="1:6" x14ac:dyDescent="0.25">
      <c r="A30" s="138" t="s">
        <v>148</v>
      </c>
    </row>
  </sheetData>
  <pageMargins left="0.75" right="0.75" top="1" bottom="1" header="0.5" footer="0.5"/>
  <pageSetup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zoomScaleNormal="100" workbookViewId="0">
      <selection activeCell="G12" sqref="G12"/>
    </sheetView>
  </sheetViews>
  <sheetFormatPr defaultRowHeight="15" x14ac:dyDescent="0.25"/>
  <cols>
    <col min="1" max="1" width="12.7109375" style="146" customWidth="1"/>
    <col min="2" max="2" width="36" style="146" customWidth="1"/>
    <col min="3" max="3" width="29.140625" style="172" customWidth="1"/>
    <col min="4" max="4" width="10" style="146" customWidth="1"/>
    <col min="5" max="5" width="9.28515625" style="146" customWidth="1"/>
    <col min="6" max="6" width="9.140625" style="146" customWidth="1"/>
    <col min="7" max="7" width="27.42578125" style="172" customWidth="1"/>
    <col min="8" max="16384" width="9.140625" style="146"/>
  </cols>
  <sheetData>
    <row r="1" spans="1:7" ht="18.75" x14ac:dyDescent="0.3">
      <c r="A1" s="325" t="s">
        <v>149</v>
      </c>
      <c r="B1" s="325"/>
      <c r="C1" s="325"/>
      <c r="D1" s="325"/>
      <c r="E1" s="325"/>
      <c r="F1" s="325"/>
      <c r="G1" s="325"/>
    </row>
    <row r="2" spans="1:7" ht="18.75" x14ac:dyDescent="0.3">
      <c r="A2" s="325" t="s">
        <v>150</v>
      </c>
      <c r="B2" s="325"/>
      <c r="C2" s="325"/>
      <c r="D2" s="325"/>
      <c r="E2" s="325"/>
      <c r="F2" s="325"/>
      <c r="G2" s="325"/>
    </row>
    <row r="3" spans="1:7" ht="18.75" x14ac:dyDescent="0.3">
      <c r="A3" s="325" t="s">
        <v>151</v>
      </c>
      <c r="B3" s="325"/>
      <c r="C3" s="325"/>
      <c r="D3" s="325"/>
      <c r="E3" s="325"/>
      <c r="F3" s="325"/>
      <c r="G3" s="325"/>
    </row>
    <row r="5" spans="1:7" s="150" customFormat="1" ht="15.75" x14ac:dyDescent="0.25">
      <c r="A5" s="147" t="s">
        <v>152</v>
      </c>
      <c r="B5" s="148"/>
      <c r="C5" s="149"/>
      <c r="D5" s="148"/>
      <c r="E5" s="148"/>
      <c r="F5" s="148"/>
      <c r="G5" s="149"/>
    </row>
    <row r="6" spans="1:7" s="151" customFormat="1" ht="12.75" x14ac:dyDescent="0.2">
      <c r="A6" s="326" t="s">
        <v>153</v>
      </c>
      <c r="B6" s="326"/>
      <c r="C6" s="326"/>
      <c r="D6" s="326"/>
      <c r="E6" s="326"/>
      <c r="F6" s="326"/>
      <c r="G6" s="326"/>
    </row>
    <row r="7" spans="1:7" s="151" customFormat="1" ht="12.75" x14ac:dyDescent="0.2">
      <c r="A7" s="152" t="s">
        <v>154</v>
      </c>
      <c r="B7" s="152" t="s">
        <v>155</v>
      </c>
      <c r="C7" s="153"/>
      <c r="D7" s="152"/>
      <c r="E7" s="152"/>
      <c r="F7" s="152"/>
      <c r="G7" s="153"/>
    </row>
    <row r="8" spans="1:7" s="151" customFormat="1" ht="12.75" x14ac:dyDescent="0.2">
      <c r="A8" s="152" t="s">
        <v>156</v>
      </c>
      <c r="B8" s="152" t="s">
        <v>157</v>
      </c>
      <c r="C8" s="153"/>
      <c r="D8" s="152"/>
      <c r="E8" s="152"/>
      <c r="F8" s="152"/>
      <c r="G8" s="153"/>
    </row>
    <row r="9" spans="1:7" s="151" customFormat="1" ht="12.75" x14ac:dyDescent="0.2">
      <c r="A9" s="152"/>
      <c r="B9" s="152"/>
      <c r="C9" s="153"/>
      <c r="D9" s="152"/>
      <c r="E9" s="327" t="s">
        <v>158</v>
      </c>
      <c r="F9" s="327"/>
      <c r="G9" s="153"/>
    </row>
    <row r="10" spans="1:7" s="151" customFormat="1" ht="12.75" x14ac:dyDescent="0.2">
      <c r="A10" s="152"/>
      <c r="B10" s="154" t="s">
        <v>159</v>
      </c>
      <c r="C10" s="155" t="s">
        <v>160</v>
      </c>
      <c r="D10" s="154" t="s">
        <v>161</v>
      </c>
      <c r="E10" s="154" t="s">
        <v>162</v>
      </c>
      <c r="F10" s="155" t="s">
        <v>163</v>
      </c>
      <c r="G10" s="155" t="s">
        <v>164</v>
      </c>
    </row>
    <row r="11" spans="1:7" s="151" customFormat="1" ht="12.75" x14ac:dyDescent="0.2">
      <c r="A11" s="152"/>
      <c r="B11" s="156" t="s">
        <v>165</v>
      </c>
      <c r="C11" s="157" t="s">
        <v>166</v>
      </c>
      <c r="D11" s="158">
        <v>37345</v>
      </c>
      <c r="E11" s="159">
        <v>0</v>
      </c>
      <c r="F11" s="160">
        <v>0</v>
      </c>
      <c r="G11" s="153"/>
    </row>
    <row r="12" spans="1:7" s="151" customFormat="1" ht="114.75" x14ac:dyDescent="0.2">
      <c r="A12" s="152"/>
      <c r="B12" s="152" t="s">
        <v>167</v>
      </c>
      <c r="C12" s="153"/>
      <c r="D12" s="158">
        <v>62</v>
      </c>
      <c r="E12" s="159">
        <v>0</v>
      </c>
      <c r="F12" s="160">
        <v>0</v>
      </c>
      <c r="G12" s="153" t="s">
        <v>168</v>
      </c>
    </row>
    <row r="13" spans="1:7" s="151" customFormat="1" ht="51" x14ac:dyDescent="0.2">
      <c r="A13" s="152"/>
      <c r="B13" s="152" t="s">
        <v>169</v>
      </c>
      <c r="C13" s="153"/>
      <c r="D13" s="161" t="s">
        <v>170</v>
      </c>
      <c r="E13" s="159">
        <v>0</v>
      </c>
      <c r="F13" s="160">
        <v>0</v>
      </c>
      <c r="G13" s="153" t="s">
        <v>171</v>
      </c>
    </row>
    <row r="14" spans="1:7" s="151" customFormat="1" ht="51" x14ac:dyDescent="0.2">
      <c r="A14" s="152"/>
      <c r="B14" s="153" t="s">
        <v>172</v>
      </c>
      <c r="C14" s="153"/>
      <c r="D14" s="161" t="s">
        <v>170</v>
      </c>
      <c r="E14" s="159">
        <v>0</v>
      </c>
      <c r="F14" s="160">
        <v>0</v>
      </c>
      <c r="G14" s="153" t="s">
        <v>171</v>
      </c>
    </row>
    <row r="15" spans="1:7" s="151" customFormat="1" ht="51" x14ac:dyDescent="0.2">
      <c r="A15" s="152"/>
      <c r="B15" s="153" t="s">
        <v>173</v>
      </c>
      <c r="C15" s="153"/>
      <c r="D15" s="158">
        <v>0</v>
      </c>
      <c r="E15" s="159">
        <v>0</v>
      </c>
      <c r="F15" s="160">
        <v>0</v>
      </c>
      <c r="G15" s="153" t="s">
        <v>171</v>
      </c>
    </row>
    <row r="16" spans="1:7" s="151" customFormat="1" ht="51" x14ac:dyDescent="0.2">
      <c r="A16" s="152"/>
      <c r="B16" s="153" t="s">
        <v>174</v>
      </c>
      <c r="C16" s="153" t="s">
        <v>175</v>
      </c>
      <c r="D16" s="161" t="s">
        <v>170</v>
      </c>
      <c r="E16" s="159">
        <v>0</v>
      </c>
      <c r="F16" s="160">
        <v>0</v>
      </c>
      <c r="G16" s="153" t="s">
        <v>171</v>
      </c>
    </row>
    <row r="17" spans="1:7" s="151" customFormat="1" ht="12.75" x14ac:dyDescent="0.2">
      <c r="A17" s="152"/>
      <c r="B17" s="152" t="s">
        <v>176</v>
      </c>
      <c r="C17" s="153"/>
      <c r="D17" s="158">
        <v>1050</v>
      </c>
      <c r="E17" s="159">
        <v>0</v>
      </c>
      <c r="F17" s="160">
        <v>0</v>
      </c>
      <c r="G17" s="153" t="s">
        <v>177</v>
      </c>
    </row>
    <row r="18" spans="1:7" s="151" customFormat="1" ht="63.75" x14ac:dyDescent="0.2">
      <c r="A18" s="152"/>
      <c r="B18" s="152" t="s">
        <v>178</v>
      </c>
      <c r="C18" s="153" t="s">
        <v>179</v>
      </c>
      <c r="D18" s="158">
        <v>1050</v>
      </c>
      <c r="E18" s="159">
        <v>0</v>
      </c>
      <c r="F18" s="160">
        <v>0</v>
      </c>
      <c r="G18" s="153" t="s">
        <v>180</v>
      </c>
    </row>
    <row r="19" spans="1:7" s="151" customFormat="1" ht="63.75" x14ac:dyDescent="0.2">
      <c r="A19" s="152"/>
      <c r="B19" s="152" t="s">
        <v>181</v>
      </c>
      <c r="C19" s="153" t="s">
        <v>182</v>
      </c>
      <c r="D19" s="161" t="s">
        <v>170</v>
      </c>
      <c r="E19" s="159">
        <v>0</v>
      </c>
      <c r="F19" s="160">
        <v>0</v>
      </c>
      <c r="G19" s="153" t="s">
        <v>183</v>
      </c>
    </row>
    <row r="20" spans="1:7" s="151" customFormat="1" ht="38.25" x14ac:dyDescent="0.2">
      <c r="A20" s="152"/>
      <c r="B20" s="162" t="s">
        <v>184</v>
      </c>
      <c r="C20" s="153"/>
      <c r="D20" s="158">
        <v>0</v>
      </c>
      <c r="E20" s="159">
        <v>0</v>
      </c>
      <c r="F20" s="160">
        <v>0</v>
      </c>
      <c r="G20" s="153" t="s">
        <v>185</v>
      </c>
    </row>
    <row r="21" spans="1:7" s="151" customFormat="1" ht="25.5" x14ac:dyDescent="0.2">
      <c r="A21" s="152"/>
      <c r="B21" s="163" t="s">
        <v>186</v>
      </c>
      <c r="C21" s="153"/>
      <c r="D21" s="158">
        <v>2810</v>
      </c>
      <c r="E21" s="159">
        <v>0</v>
      </c>
      <c r="F21" s="160">
        <v>0</v>
      </c>
      <c r="G21" s="153" t="s">
        <v>187</v>
      </c>
    </row>
    <row r="22" spans="1:7" s="151" customFormat="1" ht="25.5" x14ac:dyDescent="0.2">
      <c r="A22" s="152"/>
      <c r="B22" s="153" t="s">
        <v>188</v>
      </c>
      <c r="C22" s="153"/>
      <c r="D22" s="158">
        <v>0</v>
      </c>
      <c r="E22" s="159">
        <v>0</v>
      </c>
      <c r="F22" s="160">
        <v>0</v>
      </c>
      <c r="G22" s="153"/>
    </row>
    <row r="23" spans="1:7" s="151" customFormat="1" ht="114.75" x14ac:dyDescent="0.2">
      <c r="A23" s="152"/>
      <c r="B23" s="152" t="s">
        <v>189</v>
      </c>
      <c r="C23" s="153" t="s">
        <v>190</v>
      </c>
      <c r="D23" s="158">
        <v>321</v>
      </c>
      <c r="E23" s="159">
        <v>0</v>
      </c>
      <c r="F23" s="160">
        <v>0</v>
      </c>
      <c r="G23" s="153"/>
    </row>
    <row r="24" spans="1:7" s="151" customFormat="1" ht="38.25" x14ac:dyDescent="0.2">
      <c r="A24" s="152"/>
      <c r="B24" s="152" t="s">
        <v>191</v>
      </c>
      <c r="C24" s="153" t="s">
        <v>192</v>
      </c>
      <c r="D24" s="158">
        <v>1930</v>
      </c>
      <c r="E24" s="159">
        <v>0</v>
      </c>
      <c r="F24" s="160">
        <v>0</v>
      </c>
      <c r="G24" s="153" t="s">
        <v>193</v>
      </c>
    </row>
    <row r="25" spans="1:7" s="151" customFormat="1" ht="76.5" x14ac:dyDescent="0.2">
      <c r="A25" s="152"/>
      <c r="B25" s="152" t="s">
        <v>194</v>
      </c>
      <c r="C25" s="153" t="s">
        <v>195</v>
      </c>
      <c r="D25" s="164">
        <v>1911</v>
      </c>
      <c r="E25" s="159">
        <v>0</v>
      </c>
      <c r="F25" s="160">
        <v>0</v>
      </c>
      <c r="G25" s="153"/>
    </row>
    <row r="26" spans="1:7" s="151" customFormat="1" ht="38.25" x14ac:dyDescent="0.2">
      <c r="A26" s="152"/>
      <c r="B26" s="152" t="s">
        <v>196</v>
      </c>
      <c r="C26" s="153" t="s">
        <v>197</v>
      </c>
      <c r="D26" s="158">
        <v>673</v>
      </c>
      <c r="E26" s="159">
        <v>0</v>
      </c>
      <c r="F26" s="160">
        <v>0</v>
      </c>
      <c r="G26" s="153"/>
    </row>
    <row r="27" spans="1:7" s="151" customFormat="1" ht="25.5" x14ac:dyDescent="0.2">
      <c r="A27" s="152"/>
      <c r="B27" s="152" t="s">
        <v>198</v>
      </c>
      <c r="C27" s="153" t="s">
        <v>199</v>
      </c>
      <c r="D27" s="158">
        <v>7975</v>
      </c>
      <c r="E27" s="159">
        <v>0</v>
      </c>
      <c r="F27" s="160">
        <v>0</v>
      </c>
      <c r="G27" s="153"/>
    </row>
    <row r="28" spans="1:7" s="151" customFormat="1" ht="102" x14ac:dyDescent="0.2">
      <c r="A28" s="152"/>
      <c r="B28" s="152" t="s">
        <v>200</v>
      </c>
      <c r="C28" s="153" t="s">
        <v>201</v>
      </c>
      <c r="D28" s="158">
        <v>3213</v>
      </c>
      <c r="E28" s="159">
        <v>0</v>
      </c>
      <c r="F28" s="160">
        <v>0</v>
      </c>
      <c r="G28" s="153"/>
    </row>
    <row r="29" spans="1:7" s="151" customFormat="1" ht="12.75" x14ac:dyDescent="0.2">
      <c r="A29" s="152"/>
      <c r="B29" s="152"/>
      <c r="C29" s="153"/>
      <c r="D29" s="158"/>
      <c r="E29" s="159"/>
      <c r="F29" s="160"/>
      <c r="G29" s="153"/>
    </row>
    <row r="30" spans="1:7" s="150" customFormat="1" ht="15.75" x14ac:dyDescent="0.25">
      <c r="A30" s="165" t="s">
        <v>202</v>
      </c>
      <c r="B30" s="166"/>
      <c r="C30" s="167"/>
      <c r="D30" s="166"/>
      <c r="E30" s="166"/>
      <c r="F30" s="166"/>
      <c r="G30" s="167"/>
    </row>
    <row r="31" spans="1:7" s="151" customFormat="1" ht="12.75" x14ac:dyDescent="0.2">
      <c r="A31" s="326" t="s">
        <v>203</v>
      </c>
      <c r="B31" s="326"/>
      <c r="C31" s="326"/>
      <c r="D31" s="326"/>
      <c r="E31" s="326"/>
      <c r="F31" s="326"/>
      <c r="G31" s="326"/>
    </row>
    <row r="32" spans="1:7" s="151" customFormat="1" ht="12.75" x14ac:dyDescent="0.2">
      <c r="A32" s="152" t="s">
        <v>154</v>
      </c>
      <c r="B32" s="152" t="s">
        <v>204</v>
      </c>
      <c r="C32" s="153"/>
      <c r="D32" s="152"/>
      <c r="E32" s="152"/>
      <c r="F32" s="152"/>
      <c r="G32" s="153"/>
    </row>
    <row r="33" spans="1:7" s="151" customFormat="1" ht="12.75" x14ac:dyDescent="0.2">
      <c r="A33" s="152" t="s">
        <v>156</v>
      </c>
      <c r="B33" s="152" t="s">
        <v>205</v>
      </c>
      <c r="C33" s="153"/>
      <c r="D33" s="152"/>
      <c r="E33" s="152"/>
      <c r="F33" s="152"/>
      <c r="G33" s="153"/>
    </row>
    <row r="34" spans="1:7" s="151" customFormat="1" ht="12.75" x14ac:dyDescent="0.2">
      <c r="A34" s="152"/>
      <c r="B34" s="152"/>
      <c r="C34" s="153"/>
      <c r="D34" s="152"/>
      <c r="E34" s="327" t="s">
        <v>158</v>
      </c>
      <c r="F34" s="327"/>
      <c r="G34" s="153"/>
    </row>
    <row r="35" spans="1:7" s="151" customFormat="1" ht="12.75" x14ac:dyDescent="0.2">
      <c r="A35" s="152"/>
      <c r="B35" s="154" t="s">
        <v>159</v>
      </c>
      <c r="C35" s="155" t="s">
        <v>160</v>
      </c>
      <c r="D35" s="154" t="s">
        <v>161</v>
      </c>
      <c r="E35" s="154" t="s">
        <v>162</v>
      </c>
      <c r="F35" s="155" t="s">
        <v>163</v>
      </c>
      <c r="G35" s="155" t="s">
        <v>164</v>
      </c>
    </row>
    <row r="36" spans="1:7" s="151" customFormat="1" ht="12.75" x14ac:dyDescent="0.2">
      <c r="A36" s="152"/>
      <c r="B36" s="156" t="s">
        <v>206</v>
      </c>
      <c r="C36" s="157" t="s">
        <v>207</v>
      </c>
      <c r="D36" s="158">
        <v>33510</v>
      </c>
      <c r="E36" s="159">
        <v>0</v>
      </c>
      <c r="F36" s="160">
        <v>0</v>
      </c>
      <c r="G36" s="153"/>
    </row>
    <row r="37" spans="1:7" s="151" customFormat="1" ht="51" x14ac:dyDescent="0.2">
      <c r="A37" s="152"/>
      <c r="B37" s="153" t="s">
        <v>208</v>
      </c>
      <c r="C37" s="153"/>
      <c r="D37" s="161">
        <v>0</v>
      </c>
      <c r="E37" s="159">
        <v>0</v>
      </c>
      <c r="F37" s="160">
        <v>0</v>
      </c>
      <c r="G37" s="153" t="s">
        <v>209</v>
      </c>
    </row>
    <row r="38" spans="1:7" s="151" customFormat="1" ht="25.5" x14ac:dyDescent="0.2">
      <c r="A38" s="152"/>
      <c r="B38" s="153" t="s">
        <v>210</v>
      </c>
      <c r="C38" s="153" t="s">
        <v>211</v>
      </c>
      <c r="D38" s="158">
        <v>2450</v>
      </c>
      <c r="E38" s="159">
        <v>0</v>
      </c>
      <c r="F38" s="160">
        <v>0</v>
      </c>
      <c r="G38" s="153"/>
    </row>
    <row r="39" spans="1:7" s="151" customFormat="1" ht="25.5" x14ac:dyDescent="0.2">
      <c r="A39" s="152"/>
      <c r="B39" s="153" t="s">
        <v>212</v>
      </c>
      <c r="C39" s="153" t="s">
        <v>213</v>
      </c>
      <c r="D39" s="158">
        <v>9430</v>
      </c>
      <c r="E39" s="159">
        <v>0</v>
      </c>
      <c r="F39" s="160">
        <v>0</v>
      </c>
      <c r="G39" s="153"/>
    </row>
    <row r="40" spans="1:7" s="151" customFormat="1" ht="12.75" x14ac:dyDescent="0.2">
      <c r="A40" s="152"/>
      <c r="B40" s="153" t="s">
        <v>176</v>
      </c>
      <c r="C40" s="153" t="s">
        <v>214</v>
      </c>
      <c r="D40" s="158">
        <v>672</v>
      </c>
      <c r="E40" s="159">
        <v>0</v>
      </c>
      <c r="F40" s="160">
        <v>0</v>
      </c>
      <c r="G40" s="153"/>
    </row>
    <row r="41" spans="1:7" s="151" customFormat="1" ht="25.5" x14ac:dyDescent="0.2">
      <c r="A41" s="152"/>
      <c r="B41" s="168" t="s">
        <v>215</v>
      </c>
      <c r="C41" s="153" t="s">
        <v>216</v>
      </c>
      <c r="D41" s="158">
        <v>0</v>
      </c>
      <c r="E41" s="159">
        <v>0</v>
      </c>
      <c r="F41" s="160">
        <v>0</v>
      </c>
      <c r="G41" s="153"/>
    </row>
    <row r="42" spans="1:7" s="151" customFormat="1" ht="25.5" x14ac:dyDescent="0.2">
      <c r="A42" s="152"/>
      <c r="B42" s="168" t="s">
        <v>214</v>
      </c>
      <c r="C42" s="153" t="s">
        <v>217</v>
      </c>
      <c r="D42" s="158">
        <v>966</v>
      </c>
      <c r="E42" s="159">
        <v>0</v>
      </c>
      <c r="F42" s="160">
        <v>0</v>
      </c>
      <c r="G42" s="153"/>
    </row>
    <row r="43" spans="1:7" s="151" customFormat="1" ht="76.5" x14ac:dyDescent="0.2">
      <c r="A43" s="152"/>
      <c r="B43" s="152" t="s">
        <v>194</v>
      </c>
      <c r="C43" s="153" t="s">
        <v>195</v>
      </c>
      <c r="D43" s="158">
        <v>2400</v>
      </c>
      <c r="E43" s="159">
        <v>0</v>
      </c>
      <c r="F43" s="160">
        <v>0</v>
      </c>
      <c r="G43" s="153"/>
    </row>
    <row r="44" spans="1:7" s="151" customFormat="1" ht="12.75" x14ac:dyDescent="0.2">
      <c r="A44" s="152"/>
      <c r="B44" s="152" t="s">
        <v>218</v>
      </c>
      <c r="C44" s="153" t="s">
        <v>219</v>
      </c>
      <c r="D44" s="158">
        <v>198</v>
      </c>
      <c r="E44" s="159"/>
      <c r="F44" s="160"/>
      <c r="G44" s="153"/>
    </row>
    <row r="45" spans="1:7" s="151" customFormat="1" ht="38.25" x14ac:dyDescent="0.2">
      <c r="A45" s="152"/>
      <c r="B45" s="153" t="s">
        <v>220</v>
      </c>
      <c r="C45" s="153" t="s">
        <v>221</v>
      </c>
      <c r="D45" s="161" t="s">
        <v>170</v>
      </c>
      <c r="E45" s="159">
        <v>0</v>
      </c>
      <c r="F45" s="160">
        <v>0</v>
      </c>
      <c r="G45" s="153" t="s">
        <v>222</v>
      </c>
    </row>
    <row r="46" spans="1:7" s="151" customFormat="1" ht="40.5" customHeight="1" x14ac:dyDescent="0.2">
      <c r="A46" s="152"/>
      <c r="B46" s="153" t="s">
        <v>223</v>
      </c>
      <c r="C46" s="153" t="s">
        <v>224</v>
      </c>
      <c r="D46" s="158">
        <v>0</v>
      </c>
      <c r="E46" s="159">
        <v>0</v>
      </c>
      <c r="F46" s="160">
        <v>0</v>
      </c>
      <c r="G46" s="153"/>
    </row>
    <row r="47" spans="1:7" s="151" customFormat="1" ht="25.5" x14ac:dyDescent="0.2">
      <c r="A47" s="152"/>
      <c r="B47" s="153" t="s">
        <v>167</v>
      </c>
      <c r="C47" s="153"/>
      <c r="D47" s="161" t="s">
        <v>170</v>
      </c>
      <c r="E47" s="159">
        <v>0</v>
      </c>
      <c r="F47" s="160">
        <v>0</v>
      </c>
      <c r="G47" s="153"/>
    </row>
    <row r="48" spans="1:7" s="151" customFormat="1" ht="12.75" x14ac:dyDescent="0.2">
      <c r="A48" s="152"/>
      <c r="B48" s="163" t="s">
        <v>225</v>
      </c>
      <c r="C48" s="163" t="s">
        <v>226</v>
      </c>
      <c r="D48" s="158">
        <v>35810</v>
      </c>
      <c r="E48" s="159">
        <v>0</v>
      </c>
      <c r="F48" s="160">
        <v>0</v>
      </c>
      <c r="G48" s="153"/>
    </row>
    <row r="49" spans="1:7" s="151" customFormat="1" ht="12.75" x14ac:dyDescent="0.2">
      <c r="A49" s="152"/>
      <c r="B49" s="163" t="s">
        <v>227</v>
      </c>
      <c r="C49" s="163" t="s">
        <v>226</v>
      </c>
      <c r="D49" s="158">
        <v>37890</v>
      </c>
      <c r="E49" s="159">
        <v>0</v>
      </c>
      <c r="F49" s="160">
        <v>0</v>
      </c>
      <c r="G49" s="153"/>
    </row>
    <row r="50" spans="1:7" s="151" customFormat="1" ht="25.5" x14ac:dyDescent="0.2">
      <c r="A50" s="152"/>
      <c r="B50" s="153" t="s">
        <v>186</v>
      </c>
      <c r="C50" s="153"/>
      <c r="D50" s="158">
        <v>0</v>
      </c>
      <c r="E50" s="159">
        <v>0</v>
      </c>
      <c r="F50" s="160">
        <v>0</v>
      </c>
      <c r="G50" s="153"/>
    </row>
    <row r="51" spans="1:7" s="151" customFormat="1" ht="25.5" x14ac:dyDescent="0.2">
      <c r="A51" s="152"/>
      <c r="B51" s="153" t="s">
        <v>188</v>
      </c>
      <c r="C51" s="153"/>
      <c r="D51" s="158">
        <v>0</v>
      </c>
      <c r="E51" s="159">
        <v>0</v>
      </c>
      <c r="F51" s="160">
        <v>0</v>
      </c>
      <c r="G51" s="153"/>
    </row>
    <row r="52" spans="1:7" s="169" customFormat="1" ht="51" x14ac:dyDescent="0.25">
      <c r="A52" s="152"/>
      <c r="B52" s="153" t="s">
        <v>228</v>
      </c>
      <c r="C52" s="153" t="s">
        <v>229</v>
      </c>
      <c r="D52" s="158">
        <v>0</v>
      </c>
      <c r="E52" s="159">
        <v>0</v>
      </c>
      <c r="F52" s="160">
        <v>0</v>
      </c>
      <c r="G52" s="153"/>
    </row>
    <row r="53" spans="1:7" s="169" customFormat="1" ht="25.5" x14ac:dyDescent="0.25">
      <c r="A53" s="152"/>
      <c r="B53" s="153" t="s">
        <v>230</v>
      </c>
      <c r="C53" s="153" t="s">
        <v>231</v>
      </c>
      <c r="D53" s="158">
        <v>214</v>
      </c>
      <c r="E53" s="159">
        <v>0</v>
      </c>
      <c r="F53" s="160">
        <v>0</v>
      </c>
      <c r="G53" s="153"/>
    </row>
    <row r="54" spans="1:7" s="169" customFormat="1" ht="12.75" x14ac:dyDescent="0.25">
      <c r="A54" s="152"/>
      <c r="B54" s="153"/>
      <c r="C54" s="153"/>
      <c r="D54" s="158"/>
      <c r="E54" s="159"/>
      <c r="F54" s="160"/>
      <c r="G54" s="153"/>
    </row>
    <row r="55" spans="1:7" s="151" customFormat="1" ht="12.75" x14ac:dyDescent="0.2">
      <c r="A55" s="152"/>
      <c r="B55" s="153"/>
      <c r="C55" s="153"/>
      <c r="D55" s="158"/>
      <c r="E55" s="159"/>
      <c r="F55" s="160"/>
      <c r="G55" s="153"/>
    </row>
    <row r="56" spans="1:7" s="150" customFormat="1" ht="15.75" x14ac:dyDescent="0.25">
      <c r="A56" s="165" t="s">
        <v>232</v>
      </c>
      <c r="B56" s="166"/>
      <c r="C56" s="167"/>
      <c r="D56" s="166"/>
      <c r="E56" s="166"/>
      <c r="F56" s="166"/>
      <c r="G56" s="167"/>
    </row>
    <row r="57" spans="1:7" s="151" customFormat="1" ht="12.75" x14ac:dyDescent="0.2">
      <c r="A57" s="326" t="s">
        <v>233</v>
      </c>
      <c r="B57" s="326"/>
      <c r="C57" s="326"/>
      <c r="D57" s="326"/>
      <c r="E57" s="326"/>
      <c r="F57" s="326"/>
      <c r="G57" s="326"/>
    </row>
    <row r="58" spans="1:7" s="151" customFormat="1" ht="12.75" x14ac:dyDescent="0.2">
      <c r="A58" s="152"/>
      <c r="B58" s="154" t="s">
        <v>159</v>
      </c>
      <c r="C58" s="155" t="s">
        <v>234</v>
      </c>
      <c r="D58" s="154"/>
      <c r="E58" s="154"/>
      <c r="F58" s="154"/>
      <c r="G58" s="155" t="s">
        <v>164</v>
      </c>
    </row>
    <row r="59" spans="1:7" s="151" customFormat="1" ht="12.75" x14ac:dyDescent="0.2">
      <c r="A59" s="152"/>
      <c r="B59" s="152" t="s">
        <v>235</v>
      </c>
      <c r="C59" s="161">
        <v>0</v>
      </c>
      <c r="D59" s="152"/>
      <c r="E59" s="152"/>
      <c r="F59" s="152"/>
      <c r="G59" s="328" t="s">
        <v>236</v>
      </c>
    </row>
    <row r="60" spans="1:7" s="151" customFormat="1" ht="12.75" x14ac:dyDescent="0.2">
      <c r="A60" s="152"/>
      <c r="B60" s="152" t="s">
        <v>237</v>
      </c>
      <c r="C60" s="161">
        <v>0</v>
      </c>
      <c r="D60" s="152"/>
      <c r="E60" s="152"/>
      <c r="F60" s="152"/>
      <c r="G60" s="328"/>
    </row>
    <row r="61" spans="1:7" s="151" customFormat="1" ht="51" x14ac:dyDescent="0.2">
      <c r="A61" s="152"/>
      <c r="B61" s="152" t="s">
        <v>238</v>
      </c>
      <c r="C61" s="161">
        <v>0</v>
      </c>
      <c r="D61" s="152"/>
      <c r="E61" s="163" t="s">
        <v>239</v>
      </c>
      <c r="F61" s="158">
        <v>0</v>
      </c>
      <c r="G61" s="328"/>
    </row>
    <row r="62" spans="1:7" s="151" customFormat="1" ht="12.75" x14ac:dyDescent="0.2">
      <c r="A62" s="152"/>
      <c r="B62" s="152"/>
      <c r="C62" s="153"/>
      <c r="D62" s="152"/>
      <c r="E62" s="152"/>
      <c r="F62" s="152"/>
      <c r="G62" s="328"/>
    </row>
    <row r="63" spans="1:7" s="150" customFormat="1" ht="15.75" x14ac:dyDescent="0.25">
      <c r="A63" s="165" t="s">
        <v>240</v>
      </c>
      <c r="B63" s="166"/>
      <c r="C63" s="167"/>
      <c r="D63" s="166"/>
      <c r="E63" s="166"/>
      <c r="F63" s="166"/>
      <c r="G63" s="167"/>
    </row>
    <row r="64" spans="1:7" s="151" customFormat="1" ht="12.75" x14ac:dyDescent="0.2">
      <c r="A64" s="326" t="s">
        <v>241</v>
      </c>
      <c r="B64" s="326"/>
      <c r="C64" s="326"/>
      <c r="D64" s="326"/>
      <c r="E64" s="326"/>
      <c r="F64" s="326"/>
      <c r="G64" s="326"/>
    </row>
    <row r="65" spans="1:7" s="151" customFormat="1" ht="12.75" x14ac:dyDescent="0.2">
      <c r="A65" s="152"/>
      <c r="B65" s="154" t="s">
        <v>159</v>
      </c>
      <c r="C65" s="155" t="s">
        <v>163</v>
      </c>
      <c r="D65" s="154"/>
      <c r="E65" s="154"/>
      <c r="F65" s="154"/>
      <c r="G65" s="155" t="s">
        <v>164</v>
      </c>
    </row>
    <row r="66" spans="1:7" s="151" customFormat="1" ht="25.5" x14ac:dyDescent="0.2">
      <c r="A66" s="152"/>
      <c r="B66" s="153" t="s">
        <v>242</v>
      </c>
      <c r="C66" s="170">
        <v>0</v>
      </c>
      <c r="D66" s="152"/>
      <c r="E66" s="152"/>
      <c r="F66" s="152"/>
      <c r="G66" s="153"/>
    </row>
    <row r="67" spans="1:7" s="151" customFormat="1" ht="25.5" x14ac:dyDescent="0.2">
      <c r="A67" s="152"/>
      <c r="B67" s="153" t="s">
        <v>243</v>
      </c>
      <c r="C67" s="171">
        <v>0</v>
      </c>
      <c r="D67" s="152"/>
      <c r="E67" s="152"/>
      <c r="F67" s="152"/>
      <c r="G67" s="153"/>
    </row>
    <row r="68" spans="1:7" s="151" customFormat="1" ht="12.75" x14ac:dyDescent="0.2">
      <c r="A68" s="152"/>
      <c r="B68" s="152"/>
      <c r="C68" s="153"/>
      <c r="D68" s="152"/>
      <c r="E68" s="152"/>
      <c r="F68" s="152"/>
      <c r="G68" s="153"/>
    </row>
    <row r="69" spans="1:7" s="151" customFormat="1" ht="12.75" x14ac:dyDescent="0.2">
      <c r="A69" s="152"/>
      <c r="B69" s="152"/>
      <c r="C69" s="153"/>
      <c r="D69" s="152"/>
      <c r="E69" s="152"/>
      <c r="F69" s="152"/>
      <c r="G69" s="153"/>
    </row>
    <row r="70" spans="1:7" s="150" customFormat="1" ht="15.75" x14ac:dyDescent="0.25">
      <c r="A70" s="165" t="s">
        <v>244</v>
      </c>
      <c r="B70" s="166"/>
      <c r="C70" s="167"/>
      <c r="D70" s="166"/>
      <c r="E70" s="166"/>
      <c r="F70" s="166"/>
      <c r="G70" s="167"/>
    </row>
    <row r="71" spans="1:7" s="151" customFormat="1" ht="12.75" x14ac:dyDescent="0.2">
      <c r="A71" s="326" t="s">
        <v>245</v>
      </c>
      <c r="B71" s="326"/>
      <c r="C71" s="326"/>
      <c r="D71" s="326"/>
      <c r="E71" s="326"/>
      <c r="F71" s="326"/>
      <c r="G71" s="326"/>
    </row>
    <row r="72" spans="1:7" s="151" customFormat="1" ht="12.75" x14ac:dyDescent="0.2">
      <c r="A72" s="152"/>
      <c r="B72" s="154" t="s">
        <v>159</v>
      </c>
      <c r="C72" s="155" t="s">
        <v>246</v>
      </c>
      <c r="D72" s="154"/>
      <c r="E72" s="154"/>
      <c r="F72" s="154"/>
      <c r="G72" s="155" t="s">
        <v>164</v>
      </c>
    </row>
    <row r="73" spans="1:7" s="151" customFormat="1" ht="12.75" x14ac:dyDescent="0.2">
      <c r="A73" s="152"/>
      <c r="B73" s="152" t="s">
        <v>247</v>
      </c>
      <c r="C73" s="161">
        <v>0</v>
      </c>
      <c r="D73" s="152"/>
      <c r="E73" s="152"/>
      <c r="F73" s="152"/>
      <c r="G73" s="153"/>
    </row>
    <row r="74" spans="1:7" s="151" customFormat="1" ht="12.75" x14ac:dyDescent="0.2">
      <c r="A74" s="152"/>
      <c r="B74" s="152" t="s">
        <v>248</v>
      </c>
      <c r="C74" s="161">
        <v>0</v>
      </c>
      <c r="D74" s="152"/>
      <c r="E74" s="152"/>
      <c r="F74" s="152"/>
      <c r="G74" s="153"/>
    </row>
    <row r="75" spans="1:7" s="151" customFormat="1" ht="12.75" x14ac:dyDescent="0.2">
      <c r="A75" s="152"/>
      <c r="B75" s="152"/>
      <c r="C75" s="153"/>
      <c r="D75" s="152"/>
      <c r="E75" s="152"/>
      <c r="F75" s="152"/>
      <c r="G75" s="153"/>
    </row>
    <row r="76" spans="1:7" s="151" customFormat="1" ht="12.75" x14ac:dyDescent="0.2">
      <c r="A76" s="152"/>
      <c r="B76" s="152"/>
      <c r="C76" s="153"/>
      <c r="D76" s="152"/>
      <c r="E76" s="152"/>
      <c r="F76" s="152"/>
      <c r="G76" s="153"/>
    </row>
    <row r="77" spans="1:7" s="150" customFormat="1" ht="15.75" x14ac:dyDescent="0.25">
      <c r="A77" s="165" t="s">
        <v>249</v>
      </c>
      <c r="B77" s="166"/>
      <c r="C77" s="167"/>
      <c r="D77" s="166"/>
      <c r="E77" s="166"/>
      <c r="F77" s="166"/>
      <c r="G77" s="167"/>
    </row>
    <row r="78" spans="1:7" s="151" customFormat="1" ht="12.75" x14ac:dyDescent="0.2">
      <c r="A78" s="324"/>
      <c r="B78" s="324"/>
      <c r="C78" s="324"/>
      <c r="D78" s="324"/>
      <c r="E78" s="324"/>
      <c r="F78" s="324"/>
      <c r="G78" s="324"/>
    </row>
    <row r="79" spans="1:7" s="151" customFormat="1" ht="12.75" x14ac:dyDescent="0.2">
      <c r="A79" s="324"/>
      <c r="B79" s="324"/>
      <c r="C79" s="324"/>
      <c r="D79" s="324"/>
      <c r="E79" s="324"/>
      <c r="F79" s="324"/>
      <c r="G79" s="324"/>
    </row>
    <row r="80" spans="1:7" s="151" customFormat="1" ht="12.75" x14ac:dyDescent="0.2">
      <c r="A80" s="324"/>
      <c r="B80" s="324"/>
      <c r="C80" s="324"/>
      <c r="D80" s="324"/>
      <c r="E80" s="324"/>
      <c r="F80" s="324"/>
      <c r="G80" s="324"/>
    </row>
    <row r="81" spans="1:7" s="151" customFormat="1" ht="12.75" x14ac:dyDescent="0.2">
      <c r="A81" s="324"/>
      <c r="B81" s="324"/>
      <c r="C81" s="324"/>
      <c r="D81" s="324"/>
      <c r="E81" s="324"/>
      <c r="F81" s="324"/>
      <c r="G81" s="324"/>
    </row>
    <row r="82" spans="1:7" s="151" customFormat="1" ht="12.75" x14ac:dyDescent="0.2">
      <c r="A82" s="324"/>
      <c r="B82" s="324"/>
      <c r="C82" s="324"/>
      <c r="D82" s="324"/>
      <c r="E82" s="324"/>
      <c r="F82" s="324"/>
      <c r="G82" s="324"/>
    </row>
    <row r="83" spans="1:7" s="151" customFormat="1" ht="12.75" x14ac:dyDescent="0.2">
      <c r="A83" s="324"/>
      <c r="B83" s="324"/>
      <c r="C83" s="324"/>
      <c r="D83" s="324"/>
      <c r="E83" s="324"/>
      <c r="F83" s="324"/>
      <c r="G83" s="324"/>
    </row>
  </sheetData>
  <mergeCells count="17">
    <mergeCell ref="A79:G79"/>
    <mergeCell ref="A80:G80"/>
    <mergeCell ref="A81:G81"/>
    <mergeCell ref="A82:G82"/>
    <mergeCell ref="A83:G83"/>
    <mergeCell ref="A78:G78"/>
    <mergeCell ref="A1:G1"/>
    <mergeCell ref="A2:G2"/>
    <mergeCell ref="A3:G3"/>
    <mergeCell ref="A6:G6"/>
    <mergeCell ref="E9:F9"/>
    <mergeCell ref="A31:G31"/>
    <mergeCell ref="E34:F34"/>
    <mergeCell ref="A57:G57"/>
    <mergeCell ref="G59:G62"/>
    <mergeCell ref="A64:G64"/>
    <mergeCell ref="A71:G71"/>
  </mergeCells>
  <pageMargins left="0.7" right="0.7" top="0.75" bottom="0.75" header="0.3" footer="0.3"/>
  <pageSetup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Business Case</vt:lpstr>
      <vt:lpstr>Summary</vt:lpstr>
      <vt:lpstr>SCADA</vt:lpstr>
      <vt:lpstr>Pricing</vt:lpstr>
      <vt:lpstr>Benefits</vt:lpstr>
      <vt:lpstr>ROI</vt:lpstr>
      <vt:lpstr>Changes</vt:lpstr>
      <vt:lpstr>Sensus</vt:lpstr>
      <vt:lpstr>S&amp;C</vt:lpstr>
      <vt:lpstr>Pro-Tech</vt:lpstr>
      <vt:lpstr>G&amp;W</vt:lpstr>
      <vt:lpstr>KA Factor</vt:lpstr>
      <vt:lpstr>Schneider</vt:lpstr>
      <vt:lpstr>Eaton Cooper</vt:lpstr>
      <vt:lpstr>Thomas &amp; Betts (T&amp;B)</vt:lpstr>
      <vt:lpstr>Imcom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Scott</dc:creator>
  <cp:lastModifiedBy>Bradbury, Doug</cp:lastModifiedBy>
  <dcterms:created xsi:type="dcterms:W3CDTF">2014-02-27T16:02:13Z</dcterms:created>
  <dcterms:modified xsi:type="dcterms:W3CDTF">2014-08-21T14:20:57Z</dcterms:modified>
</cp:coreProperties>
</file>