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25" windowWidth="15480" windowHeight="11520" activeTab="0"/>
  </bookViews>
  <sheets>
    <sheet name="Summary" sheetId="1" r:id="rId1"/>
    <sheet name="Revenue Requirement" sheetId="2" r:id="rId2"/>
    <sheet name="PILs" sheetId="3" r:id="rId3"/>
    <sheet name="Avg Nt Fix Ass &amp;UCC" sheetId="4" r:id="rId4"/>
    <sheet name="Eligible amount&amp;Direct benefits" sheetId="5" r:id="rId5"/>
  </sheets>
  <definedNames>
    <definedName name="_xlnm.Print_Area" localSheetId="1">'Revenue Requirement'!$A$1:$J$29</definedName>
    <definedName name="_xlnm.Print_Area" localSheetId="0">'Summary'!$A$1:$F$19</definedName>
  </definedNames>
  <calcPr fullCalcOnLoad="1"/>
</workbook>
</file>

<file path=xl/sharedStrings.xml><?xml version="1.0" encoding="utf-8"?>
<sst xmlns="http://schemas.openxmlformats.org/spreadsheetml/2006/main" count="188" uniqueCount="94">
  <si>
    <t>OM&amp;A</t>
  </si>
  <si>
    <t>WCA</t>
  </si>
  <si>
    <t>Deemed Equity</t>
  </si>
  <si>
    <t>Deemed ST Debt</t>
  </si>
  <si>
    <t>Deemed LT Debt</t>
  </si>
  <si>
    <t>ST Interest</t>
  </si>
  <si>
    <t>LT Interest</t>
  </si>
  <si>
    <t>ROE</t>
  </si>
  <si>
    <t>Grossed-up PILs</t>
  </si>
  <si>
    <t>Amortization</t>
  </si>
  <si>
    <t>PILs Calculation</t>
  </si>
  <si>
    <t>INCOME TAX</t>
  </si>
  <si>
    <t>Net Income</t>
  </si>
  <si>
    <t>Change in taxable income</t>
  </si>
  <si>
    <t>Income Taxes Payable</t>
  </si>
  <si>
    <t>ONTARIO CAPITAL TAX</t>
  </si>
  <si>
    <t>Less: Exemption</t>
  </si>
  <si>
    <t>Deemed Taxable Capital</t>
  </si>
  <si>
    <t>Ontario Capital Tax Rate</t>
  </si>
  <si>
    <t>Net Amount (Taxable Capital x Rate)</t>
  </si>
  <si>
    <t>Gross Up</t>
  </si>
  <si>
    <t>PILs Payable</t>
  </si>
  <si>
    <t>Change in Income Taxes Payable</t>
  </si>
  <si>
    <t>Change in OCT</t>
  </si>
  <si>
    <t>PIL's</t>
  </si>
  <si>
    <t>Grossed Up PILs</t>
  </si>
  <si>
    <t>Opening Capital Investment</t>
  </si>
  <si>
    <t>Closing Capital Investment</t>
  </si>
  <si>
    <t>Opening Accumulated Amortization</t>
  </si>
  <si>
    <t>Closing Accumulated Amortization</t>
  </si>
  <si>
    <t>Opening Net Fixed Assets</t>
  </si>
  <si>
    <t>Closing Net Fixed Assets</t>
  </si>
  <si>
    <t>Average Net Fixed Assets</t>
  </si>
  <si>
    <t>For PILs Calculation</t>
  </si>
  <si>
    <t>Opening UCC</t>
  </si>
  <si>
    <t>Capital Additions</t>
  </si>
  <si>
    <t>UCC Before Half Year Rule</t>
  </si>
  <si>
    <t>Half Year Rule (1/2 Additions - Disposals)</t>
  </si>
  <si>
    <t>Reduced UCC</t>
  </si>
  <si>
    <t>CCA</t>
  </si>
  <si>
    <t>Closing UCC</t>
  </si>
  <si>
    <t>CCA Rate Class</t>
  </si>
  <si>
    <t xml:space="preserve">CCA Rate </t>
  </si>
  <si>
    <t>Net Fixed Assets</t>
  </si>
  <si>
    <t>Capital Investment</t>
  </si>
  <si>
    <t>Amortization Year One</t>
  </si>
  <si>
    <t>Amortization Thereafter</t>
  </si>
  <si>
    <t>Tax Rate</t>
  </si>
  <si>
    <t>Rate Base</t>
  </si>
  <si>
    <t>Total</t>
  </si>
  <si>
    <t>WiMax Communication Network</t>
  </si>
  <si>
    <t>CIS modifications for FIT</t>
  </si>
  <si>
    <t>Capital spending</t>
  </si>
  <si>
    <t>Fault Level Reduction and Station programming</t>
  </si>
  <si>
    <t xml:space="preserve">Total </t>
  </si>
  <si>
    <t>PowerStream Inc</t>
  </si>
  <si>
    <t>check</t>
  </si>
  <si>
    <t>UCC / Class 47</t>
  </si>
  <si>
    <t>UCC /class 12</t>
  </si>
  <si>
    <t>Total Amortization</t>
  </si>
  <si>
    <r>
      <t>Amortization</t>
    </r>
    <r>
      <rPr>
        <i/>
        <sz val="8"/>
        <rFont val="Calibri"/>
        <family val="2"/>
      </rPr>
      <t xml:space="preserve"> </t>
    </r>
  </si>
  <si>
    <r>
      <t>Net Fixed Assets /</t>
    </r>
    <r>
      <rPr>
        <b/>
        <i/>
        <sz val="12"/>
        <rFont val="Calibri"/>
        <family val="2"/>
      </rPr>
      <t>P&amp;C systems</t>
    </r>
  </si>
  <si>
    <t>Year</t>
  </si>
  <si>
    <t>Revenue Requirement</t>
  </si>
  <si>
    <t xml:space="preserve">Renewable Generation Connection Rate Protection </t>
  </si>
  <si>
    <t>Compensation Amounts under Ontario Regulation 330/09</t>
  </si>
  <si>
    <t>Renewable Generation Connection Rate Protection  (RGCRP)</t>
  </si>
  <si>
    <t>Actual 
2012</t>
  </si>
  <si>
    <t>Calculation of Direct benefits</t>
  </si>
  <si>
    <t>Renewable Generation Connection Rate Protection (RGCRP)</t>
  </si>
  <si>
    <t>RGCRP - Revenue Requirement</t>
  </si>
  <si>
    <t xml:space="preserve">Summary by Account </t>
  </si>
  <si>
    <t xml:space="preserve">Wimax                                          </t>
  </si>
  <si>
    <t xml:space="preserve">CIS program requirements   </t>
  </si>
  <si>
    <t>Net of direct benefit:</t>
  </si>
  <si>
    <t>Gross cost:</t>
  </si>
  <si>
    <t>Net Fixed Assets/1818</t>
  </si>
  <si>
    <t>Net Fixed Assets/Software (1925)</t>
  </si>
  <si>
    <r>
      <t>Net Fixed Assets /</t>
    </r>
    <r>
      <rPr>
        <b/>
        <i/>
        <sz val="12"/>
        <rFont val="Calibri"/>
        <family val="2"/>
      </rPr>
      <t>1821</t>
    </r>
  </si>
  <si>
    <r>
      <t>Net Fixed Assets /</t>
    </r>
    <r>
      <rPr>
        <b/>
        <i/>
        <sz val="12"/>
        <rFont val="Calibri"/>
        <family val="2"/>
      </rPr>
      <t>1981 RTUs</t>
    </r>
  </si>
  <si>
    <r>
      <t>Net Fixed Assets /</t>
    </r>
    <r>
      <rPr>
        <b/>
        <i/>
        <sz val="12"/>
        <rFont val="Calibri"/>
        <family val="2"/>
      </rPr>
      <t>1845</t>
    </r>
  </si>
  <si>
    <t>Additions</t>
  </si>
  <si>
    <t xml:space="preserve">Direct Benefit </t>
  </si>
  <si>
    <t xml:space="preserve">Eligible Amount </t>
  </si>
  <si>
    <t>1981 - System Supervisory Equipment, Remote Terminal Units (RTUs)</t>
  </si>
  <si>
    <t>1818 - Transformer stations, winding</t>
  </si>
  <si>
    <t>1822 - Transformer stations, Protection and control system</t>
  </si>
  <si>
    <t>1845 - Underground conductor and devices</t>
  </si>
  <si>
    <t>1925 - Computer application software</t>
  </si>
  <si>
    <t>1821 - Transformer stations, grounding system</t>
  </si>
  <si>
    <t>Proposed for recovery in 2015:</t>
  </si>
  <si>
    <t>RGC Eligible Investments in 2012</t>
  </si>
  <si>
    <t xml:space="preserve">Summary of Revenue Requirement </t>
  </si>
  <si>
    <t>Approved for Recovery in 2014: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</si>
</sst>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_-;\-&quot;$&quot;* #,##0.0_-;_-&quot;$&quot;* &quot;-&quot;??_-;_-@_-"/>
    <numFmt numFmtId="173" formatCode="_-&quot;$&quot;* #,##0_-;\-&quot;$&quot;* #,##0_-;_-&quot;$&quot;* &quot;-&quot;??_-;_-@_-"/>
    <numFmt numFmtId="174" formatCode="_-* #,##0.0_-;\-* #,##0.0_-;_-* &quot;-&quot;?_-;_-@_-"/>
    <numFmt numFmtId="175" formatCode="0.0%"/>
    <numFmt numFmtId="176" formatCode="0.000%"/>
    <numFmt numFmtId="177" formatCode="_-&quot;$&quot;* #,##0.000_-;\-&quot;$&quot;* #,##0.000_-;_-&quot;$&quot;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_-;\-* #,##0.000_-;_-* &quot;-&quot;???_-;_-@_-"/>
    <numFmt numFmtId="181" formatCode="0.0000%"/>
    <numFmt numFmtId="182" formatCode="_-* #,##0.0000_-;\-* #,##0.0000_-;_-* &quot;-&quot;????_-;_-@_-"/>
    <numFmt numFmtId="183" formatCode="_-* #,##0.0_-;\-* #,##0.0_-;_-* &quot;-&quot;??_-;_-@_-"/>
    <numFmt numFmtId="184" formatCode="_-* #,##0_-;\-* #,##0_-;_-* &quot;-&quot;??_-;_-@_-"/>
    <numFmt numFmtId="185" formatCode="[$-409]mmmm\ d\,\ yyyy;@"/>
    <numFmt numFmtId="186" formatCode="#,##0_ ;[Red]\-#,##0\ "/>
    <numFmt numFmtId="187" formatCode="0.0"/>
    <numFmt numFmtId="188" formatCode="[$-F800]dddd\,\ mmmm\ dd\,\ yyyy"/>
    <numFmt numFmtId="189" formatCode="_-&quot;$&quot;* #,##0.0000_-;\-&quot;$&quot;* #,##0.0000_-;_-&quot;$&quot;* &quot;-&quot;????_-;_-@_-"/>
    <numFmt numFmtId="190" formatCode="_(* #,##0.0000_);_(* \(#,##0.0000\);_(* &quot;-&quot;??_);_(@_)"/>
    <numFmt numFmtId="191" formatCode="0_);[Red]\(0\)"/>
    <numFmt numFmtId="192" formatCode="&quot;$&quot;#,##0.00;[Red]&quot;$&quot;#,##0.00"/>
    <numFmt numFmtId="193" formatCode="_-&quot;$&quot;* #,##0.000_-;\-&quot;$&quot;* #,##0.000_-;_-&quot;$&quot;* &quot;-&quot;???_-;_-@_-"/>
    <numFmt numFmtId="194" formatCode="_-* #,##0.00000_-;\-* #,##0.00000_-;_-* &quot;-&quot;??_-;_-@_-"/>
    <numFmt numFmtId="195" formatCode="0.000"/>
    <numFmt numFmtId="196" formatCode="_-&quot;$&quot;* #,##0.0000_-;\-&quot;$&quot;* #,##0.0000_-;_-&quot;$&quot;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$&quot;#,##0.00"/>
    <numFmt numFmtId="202" formatCode="&quot;$&quot;#,##0"/>
    <numFmt numFmtId="203" formatCode="&quot;$&quot;#,##0.0000_);[Red]\(&quot;$&quot;#,##0.0000\)"/>
    <numFmt numFmtId="204" formatCode="_(&quot;$&quot;* #,##0.0000_);_(&quot;$&quot;* \(#,##0.0000\);_(&quot;$&quot;* &quot;-&quot;????_);_(@_)"/>
    <numFmt numFmtId="205" formatCode="_(* #,##0_);_(* \(#,##0\);_(* &quot;-&quot;??_);_(@_)"/>
    <numFmt numFmtId="206" formatCode="_(* #,##0.000_);_(* \(#,##0.000\);_(* &quot;-&quot;??_);_(@_)"/>
    <numFmt numFmtId="207" formatCode="_(* #,##0.0_);_(* \(#,##0.0\);_(* &quot;-&quot;??_);_(@_)"/>
    <numFmt numFmtId="208" formatCode="#,##0_ ;\-#,##0\ "/>
    <numFmt numFmtId="209" formatCode="#,##0.00_ ;\-#,##0.00\ "/>
    <numFmt numFmtId="210" formatCode="0.000000%"/>
  </numFmts>
  <fonts count="50">
    <font>
      <sz val="12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i/>
      <sz val="10"/>
      <color indexed="23"/>
      <name val="Arial"/>
      <family val="2"/>
    </font>
    <font>
      <u val="single"/>
      <sz val="7.5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b/>
      <sz val="12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i/>
      <sz val="12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7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4" fillId="0" borderId="0" xfId="0" applyFont="1" applyAlignment="1">
      <alignment/>
    </xf>
    <xf numFmtId="9" fontId="24" fillId="0" borderId="0" xfId="0" applyNumberFormat="1" applyFont="1" applyAlignment="1">
      <alignment horizontal="center"/>
    </xf>
    <xf numFmtId="173" fontId="24" fillId="0" borderId="0" xfId="47" applyNumberFormat="1" applyFont="1" applyAlignment="1">
      <alignment/>
    </xf>
    <xf numFmtId="168" fontId="24" fillId="0" borderId="0" xfId="0" applyNumberFormat="1" applyFont="1" applyAlignment="1">
      <alignment horizontal="center"/>
    </xf>
    <xf numFmtId="175" fontId="24" fillId="0" borderId="0" xfId="0" applyNumberFormat="1" applyFont="1" applyAlignment="1">
      <alignment horizontal="center"/>
    </xf>
    <xf numFmtId="173" fontId="24" fillId="0" borderId="10" xfId="0" applyNumberFormat="1" applyFont="1" applyBorder="1" applyAlignment="1">
      <alignment/>
    </xf>
    <xf numFmtId="173" fontId="24" fillId="0" borderId="0" xfId="0" applyNumberFormat="1" applyFont="1" applyAlignment="1">
      <alignment/>
    </xf>
    <xf numFmtId="9" fontId="24" fillId="0" borderId="0" xfId="71" applyFont="1" applyAlignment="1">
      <alignment horizontal="center"/>
    </xf>
    <xf numFmtId="9" fontId="26" fillId="24" borderId="0" xfId="0" applyNumberFormat="1" applyFont="1" applyFill="1" applyAlignment="1">
      <alignment horizontal="center"/>
    </xf>
    <xf numFmtId="9" fontId="26" fillId="0" borderId="0" xfId="0" applyNumberFormat="1" applyFont="1" applyAlignment="1">
      <alignment horizontal="center"/>
    </xf>
    <xf numFmtId="9" fontId="26" fillId="24" borderId="0" xfId="71" applyFont="1" applyFill="1" applyBorder="1" applyAlignment="1">
      <alignment horizontal="center"/>
    </xf>
    <xf numFmtId="9" fontId="26" fillId="24" borderId="0" xfId="71" applyFont="1" applyFill="1" applyAlignment="1">
      <alignment horizontal="center"/>
    </xf>
    <xf numFmtId="170" fontId="24" fillId="0" borderId="0" xfId="47" applyFont="1" applyAlignment="1">
      <alignment/>
    </xf>
    <xf numFmtId="0" fontId="26" fillId="0" borderId="0" xfId="0" applyFont="1" applyAlignment="1">
      <alignment/>
    </xf>
    <xf numFmtId="10" fontId="24" fillId="0" borderId="0" xfId="71" applyNumberFormat="1" applyFont="1" applyAlignment="1">
      <alignment horizontal="center"/>
    </xf>
    <xf numFmtId="10" fontId="26" fillId="24" borderId="0" xfId="71" applyNumberFormat="1" applyFont="1" applyFill="1" applyAlignment="1">
      <alignment horizontal="center"/>
    </xf>
    <xf numFmtId="173" fontId="24" fillId="0" borderId="11" xfId="0" applyNumberFormat="1" applyFont="1" applyBorder="1" applyAlignment="1">
      <alignment/>
    </xf>
    <xf numFmtId="173" fontId="25" fillId="24" borderId="0" xfId="0" applyNumberFormat="1" applyFont="1" applyFill="1" applyAlignment="1">
      <alignment/>
    </xf>
    <xf numFmtId="173" fontId="25" fillId="0" borderId="0" xfId="0" applyNumberFormat="1" applyFont="1" applyFill="1" applyAlignment="1">
      <alignment/>
    </xf>
    <xf numFmtId="10" fontId="24" fillId="0" borderId="0" xfId="71" applyNumberFormat="1" applyFont="1" applyAlignment="1">
      <alignment/>
    </xf>
    <xf numFmtId="203" fontId="23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right" wrapText="1"/>
    </xf>
    <xf numFmtId="10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right" wrapTex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34" fillId="0" borderId="0" xfId="0" applyFont="1" applyFill="1" applyAlignment="1">
      <alignment/>
    </xf>
    <xf numFmtId="0" fontId="35" fillId="0" borderId="0" xfId="66" applyFont="1" applyFill="1" applyProtection="1">
      <alignment/>
      <protection/>
    </xf>
    <xf numFmtId="0" fontId="35" fillId="0" borderId="0" xfId="66" applyFont="1" applyFill="1">
      <alignment/>
      <protection/>
    </xf>
    <xf numFmtId="0" fontId="36" fillId="0" borderId="0" xfId="66" applyFont="1" applyFill="1" applyAlignment="1" applyProtection="1">
      <alignment horizontal="center" vertical="center"/>
      <protection/>
    </xf>
    <xf numFmtId="0" fontId="36" fillId="0" borderId="0" xfId="66" applyFont="1" applyFill="1" applyProtection="1">
      <alignment/>
      <protection/>
    </xf>
    <xf numFmtId="0" fontId="35" fillId="0" borderId="0" xfId="66" applyFont="1" applyFill="1" applyAlignment="1" applyProtection="1">
      <alignment horizontal="center"/>
      <protection/>
    </xf>
    <xf numFmtId="173" fontId="35" fillId="0" borderId="0" xfId="47" applyNumberFormat="1" applyFont="1" applyFill="1" applyAlignment="1" applyProtection="1">
      <alignment/>
      <protection/>
    </xf>
    <xf numFmtId="173" fontId="35" fillId="0" borderId="11" xfId="47" applyNumberFormat="1" applyFont="1" applyFill="1" applyBorder="1" applyAlignment="1" applyProtection="1">
      <alignment/>
      <protection/>
    </xf>
    <xf numFmtId="10" fontId="35" fillId="0" borderId="0" xfId="66" applyNumberFormat="1" applyFont="1" applyFill="1" applyAlignment="1" applyProtection="1">
      <alignment horizontal="center"/>
      <protection/>
    </xf>
    <xf numFmtId="0" fontId="35" fillId="0" borderId="0" xfId="67" applyFont="1" applyFill="1" applyProtection="1">
      <alignment/>
      <protection/>
    </xf>
    <xf numFmtId="173" fontId="35" fillId="0" borderId="10" xfId="47" applyNumberFormat="1" applyFont="1" applyFill="1" applyBorder="1" applyAlignment="1" applyProtection="1">
      <alignment/>
      <protection/>
    </xf>
    <xf numFmtId="170" fontId="35" fillId="4" borderId="0" xfId="47" applyFont="1" applyFill="1" applyAlignment="1" applyProtection="1">
      <alignment/>
      <protection/>
    </xf>
    <xf numFmtId="176" fontId="35" fillId="0" borderId="0" xfId="68" applyNumberFormat="1" applyFont="1" applyFill="1">
      <alignment/>
      <protection/>
    </xf>
    <xf numFmtId="176" fontId="35" fillId="0" borderId="0" xfId="71" applyNumberFormat="1" applyFont="1" applyFill="1" applyAlignment="1" applyProtection="1">
      <alignment/>
      <protection/>
    </xf>
    <xf numFmtId="170" fontId="35" fillId="0" borderId="11" xfId="47" applyFont="1" applyFill="1" applyBorder="1" applyAlignment="1" applyProtection="1">
      <alignment/>
      <protection/>
    </xf>
    <xf numFmtId="0" fontId="37" fillId="0" borderId="0" xfId="66" applyFont="1" applyFill="1" applyAlignment="1" applyProtection="1">
      <alignment horizontal="left"/>
      <protection/>
    </xf>
    <xf numFmtId="0" fontId="35" fillId="0" borderId="0" xfId="66" applyFont="1" applyFill="1" applyAlignment="1" applyProtection="1">
      <alignment horizontal="center" wrapText="1"/>
      <protection/>
    </xf>
    <xf numFmtId="173" fontId="36" fillId="0" borderId="11" xfId="47" applyNumberFormat="1" applyFont="1" applyFill="1" applyBorder="1" applyAlignment="1" applyProtection="1">
      <alignment/>
      <protection/>
    </xf>
    <xf numFmtId="0" fontId="37" fillId="0" borderId="0" xfId="0" applyFont="1" applyAlignment="1">
      <alignment/>
    </xf>
    <xf numFmtId="173" fontId="34" fillId="0" borderId="0" xfId="47" applyNumberFormat="1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46" fillId="0" borderId="0" xfId="65" applyFont="1" applyFill="1" applyBorder="1" applyAlignment="1">
      <alignment vertical="center"/>
      <protection/>
    </xf>
    <xf numFmtId="0" fontId="46" fillId="0" borderId="0" xfId="65" applyFont="1" applyFill="1" applyBorder="1">
      <alignment/>
      <protection/>
    </xf>
    <xf numFmtId="0" fontId="46" fillId="0" borderId="0" xfId="65" applyFont="1">
      <alignment/>
      <protection/>
    </xf>
    <xf numFmtId="6" fontId="46" fillId="0" borderId="0" xfId="65" applyNumberFormat="1" applyFont="1" applyFill="1" applyBorder="1">
      <alignment/>
      <protection/>
    </xf>
    <xf numFmtId="0" fontId="47" fillId="0" borderId="0" xfId="65" applyFont="1" applyFill="1" applyBorder="1" applyAlignment="1">
      <alignment vertical="center"/>
      <protection/>
    </xf>
    <xf numFmtId="0" fontId="47" fillId="0" borderId="0" xfId="65" applyFont="1" applyFill="1" applyBorder="1" applyAlignment="1">
      <alignment horizontal="center" vertical="center" wrapText="1"/>
      <protection/>
    </xf>
    <xf numFmtId="0" fontId="46" fillId="0" borderId="0" xfId="65" applyFont="1" applyFill="1" applyBorder="1" applyAlignment="1">
      <alignment horizontal="left" vertical="center" wrapText="1"/>
      <protection/>
    </xf>
    <xf numFmtId="205" fontId="46" fillId="0" borderId="0" xfId="46" applyNumberFormat="1" applyFont="1" applyFill="1" applyBorder="1" applyAlignment="1">
      <alignment vertical="center"/>
    </xf>
    <xf numFmtId="205" fontId="46" fillId="0" borderId="0" xfId="65" applyNumberFormat="1" applyFont="1" applyFill="1" applyBorder="1" applyAlignment="1">
      <alignment vertical="center"/>
      <protection/>
    </xf>
    <xf numFmtId="0" fontId="47" fillId="0" borderId="0" xfId="65" applyFont="1" applyFill="1" applyBorder="1" applyAlignment="1">
      <alignment horizontal="right" vertical="center"/>
      <protection/>
    </xf>
    <xf numFmtId="205" fontId="47" fillId="0" borderId="0" xfId="65" applyNumberFormat="1" applyFont="1" applyFill="1" applyBorder="1" applyAlignment="1">
      <alignment vertical="center"/>
      <protection/>
    </xf>
    <xf numFmtId="205" fontId="47" fillId="0" borderId="0" xfId="46" applyNumberFormat="1" applyFont="1" applyFill="1" applyBorder="1" applyAlignment="1">
      <alignment vertical="center"/>
    </xf>
    <xf numFmtId="0" fontId="46" fillId="0" borderId="0" xfId="65" applyFont="1" applyFill="1">
      <alignment/>
      <protection/>
    </xf>
    <xf numFmtId="0" fontId="34" fillId="0" borderId="0" xfId="67" applyFont="1" applyFill="1" applyProtection="1">
      <alignment/>
      <protection/>
    </xf>
    <xf numFmtId="173" fontId="34" fillId="0" borderId="0" xfId="47" applyNumberFormat="1" applyFont="1" applyFill="1" applyAlignment="1" applyProtection="1">
      <alignment/>
      <protection/>
    </xf>
    <xf numFmtId="0" fontId="37" fillId="0" borderId="0" xfId="67" applyFont="1" applyFill="1" applyProtection="1">
      <alignment/>
      <protection/>
    </xf>
    <xf numFmtId="0" fontId="37" fillId="0" borderId="0" xfId="47" applyNumberFormat="1" applyFont="1" applyFill="1" applyAlignment="1" applyProtection="1">
      <alignment horizontal="center" vertical="center"/>
      <protection/>
    </xf>
    <xf numFmtId="0" fontId="34" fillId="0" borderId="0" xfId="47" applyNumberFormat="1" applyFont="1" applyFill="1" applyAlignment="1" applyProtection="1">
      <alignment horizontal="center"/>
      <protection/>
    </xf>
    <xf numFmtId="173" fontId="34" fillId="0" borderId="0" xfId="47" applyNumberFormat="1" applyFont="1" applyFill="1" applyAlignment="1" applyProtection="1">
      <alignment horizontal="center"/>
      <protection/>
    </xf>
    <xf numFmtId="0" fontId="34" fillId="0" borderId="0" xfId="67" applyFont="1" applyFill="1" applyAlignment="1" applyProtection="1">
      <alignment vertical="center"/>
      <protection/>
    </xf>
    <xf numFmtId="173" fontId="34" fillId="0" borderId="11" xfId="47" applyNumberFormat="1" applyFont="1" applyFill="1" applyBorder="1" applyAlignment="1" applyProtection="1">
      <alignment vertical="center"/>
      <protection/>
    </xf>
    <xf numFmtId="173" fontId="34" fillId="0" borderId="0" xfId="47" applyNumberFormat="1" applyFont="1" applyFill="1" applyBorder="1" applyAlignment="1" applyProtection="1">
      <alignment/>
      <protection/>
    </xf>
    <xf numFmtId="173" fontId="40" fillId="0" borderId="0" xfId="47" applyNumberFormat="1" applyFont="1" applyFill="1" applyBorder="1" applyAlignment="1" applyProtection="1">
      <alignment vertical="center"/>
      <protection/>
    </xf>
    <xf numFmtId="173" fontId="40" fillId="0" borderId="0" xfId="47" applyNumberFormat="1" applyFont="1" applyFill="1" applyBorder="1" applyAlignment="1" applyProtection="1">
      <alignment/>
      <protection/>
    </xf>
    <xf numFmtId="173" fontId="34" fillId="0" borderId="0" xfId="47" applyNumberFormat="1" applyFont="1" applyFill="1" applyBorder="1" applyAlignment="1" applyProtection="1">
      <alignment vertical="center"/>
      <protection/>
    </xf>
    <xf numFmtId="173" fontId="34" fillId="0" borderId="0" xfId="47" applyNumberFormat="1" applyFont="1" applyFill="1" applyAlignment="1" applyProtection="1">
      <alignment vertical="center"/>
      <protection/>
    </xf>
    <xf numFmtId="184" fontId="41" fillId="24" borderId="0" xfId="42" applyNumberFormat="1" applyFont="1" applyFill="1" applyAlignment="1" applyProtection="1">
      <alignment horizontal="center" vertical="center"/>
      <protection/>
    </xf>
    <xf numFmtId="173" fontId="34" fillId="0" borderId="0" xfId="47" applyNumberFormat="1" applyFont="1" applyFill="1" applyAlignment="1">
      <alignment vertical="center"/>
    </xf>
    <xf numFmtId="173" fontId="34" fillId="0" borderId="12" xfId="47" applyNumberFormat="1" applyFont="1" applyFill="1" applyBorder="1" applyAlignment="1" applyProtection="1">
      <alignment vertical="center"/>
      <protection/>
    </xf>
    <xf numFmtId="173" fontId="34" fillId="0" borderId="11" xfId="47" applyNumberFormat="1" applyFont="1" applyFill="1" applyBorder="1" applyAlignment="1" applyProtection="1">
      <alignment/>
      <protection/>
    </xf>
    <xf numFmtId="173" fontId="34" fillId="0" borderId="12" xfId="47" applyNumberFormat="1" applyFont="1" applyFill="1" applyBorder="1" applyAlignment="1" applyProtection="1">
      <alignment/>
      <protection/>
    </xf>
    <xf numFmtId="173" fontId="37" fillId="0" borderId="0" xfId="47" applyNumberFormat="1" applyFont="1" applyFill="1" applyBorder="1" applyAlignment="1" applyProtection="1">
      <alignment/>
      <protection/>
    </xf>
    <xf numFmtId="0" fontId="34" fillId="24" borderId="0" xfId="47" applyNumberFormat="1" applyFont="1" applyFill="1" applyAlignment="1" applyProtection="1">
      <alignment horizontal="center"/>
      <protection/>
    </xf>
    <xf numFmtId="9" fontId="34" fillId="24" borderId="0" xfId="71" applyFont="1" applyFill="1" applyAlignment="1" applyProtection="1">
      <alignment horizontal="center"/>
      <protection/>
    </xf>
    <xf numFmtId="9" fontId="34" fillId="0" borderId="0" xfId="71" applyFont="1" applyFill="1" applyAlignment="1" applyProtection="1">
      <alignment horizontal="center"/>
      <protection/>
    </xf>
    <xf numFmtId="0" fontId="29" fillId="0" borderId="0" xfId="0" applyFont="1" applyAlignment="1">
      <alignment/>
    </xf>
    <xf numFmtId="0" fontId="29" fillId="0" borderId="0" xfId="66" applyFont="1" applyFill="1" applyProtection="1">
      <alignment/>
      <protection/>
    </xf>
    <xf numFmtId="0" fontId="29" fillId="0" borderId="0" xfId="0" applyFont="1" applyAlignment="1">
      <alignment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173" fontId="25" fillId="0" borderId="12" xfId="0" applyNumberFormat="1" applyFont="1" applyBorder="1" applyAlignment="1">
      <alignment/>
    </xf>
    <xf numFmtId="0" fontId="30" fillId="0" borderId="0" xfId="0" applyFont="1" applyAlignment="1">
      <alignment/>
    </xf>
    <xf numFmtId="0" fontId="30" fillId="0" borderId="13" xfId="0" applyFont="1" applyBorder="1" applyAlignment="1">
      <alignment/>
    </xf>
    <xf numFmtId="0" fontId="0" fillId="0" borderId="13" xfId="0" applyBorder="1" applyAlignment="1">
      <alignment horizontal="center"/>
    </xf>
    <xf numFmtId="173" fontId="0" fillId="0" borderId="13" xfId="47" applyNumberFormat="1" applyFont="1" applyBorder="1" applyAlignment="1">
      <alignment/>
    </xf>
    <xf numFmtId="0" fontId="30" fillId="0" borderId="13" xfId="0" applyFont="1" applyBorder="1" applyAlignment="1">
      <alignment horizontal="center"/>
    </xf>
    <xf numFmtId="173" fontId="30" fillId="0" borderId="13" xfId="47" applyNumberFormat="1" applyFont="1" applyBorder="1" applyAlignment="1">
      <alignment/>
    </xf>
    <xf numFmtId="0" fontId="48" fillId="0" borderId="0" xfId="65" applyFont="1">
      <alignment/>
      <protection/>
    </xf>
    <xf numFmtId="0" fontId="49" fillId="0" borderId="0" xfId="65" applyFont="1">
      <alignment/>
      <protection/>
    </xf>
    <xf numFmtId="0" fontId="49" fillId="0" borderId="0" xfId="65" applyFont="1" applyFill="1">
      <alignment/>
      <protection/>
    </xf>
    <xf numFmtId="0" fontId="49" fillId="0" borderId="14" xfId="65" applyFont="1" applyFill="1" applyBorder="1" applyAlignment="1">
      <alignment vertical="center"/>
      <protection/>
    </xf>
    <xf numFmtId="0" fontId="49" fillId="0" borderId="13" xfId="65" applyFont="1" applyFill="1" applyBorder="1" applyAlignment="1">
      <alignment vertical="center"/>
      <protection/>
    </xf>
    <xf numFmtId="173" fontId="49" fillId="0" borderId="13" xfId="47" applyNumberFormat="1" applyFont="1" applyFill="1" applyBorder="1" applyAlignment="1">
      <alignment vertical="center"/>
    </xf>
    <xf numFmtId="173" fontId="49" fillId="0" borderId="13" xfId="47" applyNumberFormat="1" applyFont="1" applyFill="1" applyBorder="1" applyAlignment="1">
      <alignment/>
    </xf>
    <xf numFmtId="0" fontId="48" fillId="0" borderId="13" xfId="65" applyFont="1" applyFill="1" applyBorder="1" applyAlignment="1">
      <alignment vertical="center"/>
      <protection/>
    </xf>
    <xf numFmtId="173" fontId="48" fillId="0" borderId="13" xfId="47" applyNumberFormat="1" applyFont="1" applyFill="1" applyBorder="1" applyAlignment="1">
      <alignment vertical="center"/>
    </xf>
    <xf numFmtId="0" fontId="48" fillId="0" borderId="0" xfId="65" applyFont="1" applyFill="1">
      <alignment/>
      <protection/>
    </xf>
    <xf numFmtId="0" fontId="31" fillId="0" borderId="13" xfId="0" applyFont="1" applyFill="1" applyBorder="1" applyAlignment="1">
      <alignment/>
    </xf>
    <xf numFmtId="173" fontId="31" fillId="0" borderId="13" xfId="47" applyNumberFormat="1" applyFont="1" applyFill="1" applyBorder="1" applyAlignment="1">
      <alignment/>
    </xf>
    <xf numFmtId="0" fontId="47" fillId="0" borderId="0" xfId="65" applyFont="1" applyFill="1">
      <alignment/>
      <protection/>
    </xf>
    <xf numFmtId="173" fontId="49" fillId="0" borderId="13" xfId="65" applyNumberFormat="1" applyFont="1" applyFill="1" applyBorder="1">
      <alignment/>
      <protection/>
    </xf>
    <xf numFmtId="0" fontId="49" fillId="0" borderId="13" xfId="65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/>
    </xf>
    <xf numFmtId="173" fontId="32" fillId="0" borderId="13" xfId="47" applyNumberFormat="1" applyFont="1" applyFill="1" applyBorder="1" applyAlignment="1">
      <alignment/>
    </xf>
    <xf numFmtId="0" fontId="48" fillId="0" borderId="14" xfId="65" applyFont="1" applyFill="1" applyBorder="1" applyAlignment="1">
      <alignment vertical="center"/>
      <protection/>
    </xf>
    <xf numFmtId="9" fontId="49" fillId="0" borderId="14" xfId="65" applyNumberFormat="1" applyFont="1" applyFill="1" applyBorder="1">
      <alignment/>
      <protection/>
    </xf>
    <xf numFmtId="0" fontId="49" fillId="0" borderId="14" xfId="65" applyFont="1" applyFill="1" applyBorder="1">
      <alignment/>
      <protection/>
    </xf>
    <xf numFmtId="0" fontId="48" fillId="0" borderId="15" xfId="65" applyFont="1" applyFill="1" applyBorder="1">
      <alignment/>
      <protection/>
    </xf>
    <xf numFmtId="0" fontId="48" fillId="0" borderId="15" xfId="65" applyFont="1" applyFill="1" applyBorder="1" applyAlignment="1">
      <alignment horizontal="center" wrapText="1"/>
      <protection/>
    </xf>
    <xf numFmtId="0" fontId="31" fillId="0" borderId="14" xfId="0" applyFont="1" applyFill="1" applyBorder="1" applyAlignment="1">
      <alignment/>
    </xf>
    <xf numFmtId="173" fontId="31" fillId="0" borderId="14" xfId="47" applyNumberFormat="1" applyFont="1" applyFill="1" applyBorder="1" applyAlignment="1">
      <alignment/>
    </xf>
    <xf numFmtId="0" fontId="32" fillId="0" borderId="15" xfId="0" applyFont="1" applyFill="1" applyBorder="1" applyAlignment="1">
      <alignment/>
    </xf>
    <xf numFmtId="0" fontId="32" fillId="0" borderId="15" xfId="0" applyFont="1" applyFill="1" applyBorder="1" applyAlignment="1">
      <alignment horizontal="center"/>
    </xf>
    <xf numFmtId="0" fontId="48" fillId="0" borderId="13" xfId="65" applyFont="1" applyFill="1" applyBorder="1" applyAlignment="1">
      <alignment horizontal="left" vertical="center"/>
      <protection/>
    </xf>
    <xf numFmtId="0" fontId="32" fillId="0" borderId="0" xfId="0" applyFont="1" applyFill="1" applyBorder="1" applyAlignment="1">
      <alignment/>
    </xf>
    <xf numFmtId="173" fontId="32" fillId="0" borderId="0" xfId="47" applyNumberFormat="1" applyFont="1" applyFill="1" applyBorder="1" applyAlignment="1">
      <alignment/>
    </xf>
    <xf numFmtId="10" fontId="26" fillId="0" borderId="0" xfId="0" applyNumberFormat="1" applyFont="1" applyFill="1" applyAlignment="1">
      <alignment horizont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5" fillId="0" borderId="16" xfId="66" applyFont="1" applyFill="1" applyBorder="1" applyAlignment="1" applyProtection="1">
      <alignment horizontal="center" vertical="center"/>
      <protection/>
    </xf>
    <xf numFmtId="0" fontId="25" fillId="0" borderId="20" xfId="66" applyFont="1" applyFill="1" applyBorder="1" applyAlignment="1" applyProtection="1">
      <alignment horizontal="center" vertical="center"/>
      <protection/>
    </xf>
    <xf numFmtId="0" fontId="25" fillId="0" borderId="17" xfId="66" applyFont="1" applyFill="1" applyBorder="1" applyAlignment="1" applyProtection="1">
      <alignment horizontal="center" vertic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Currency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_Sheet2" xfId="66"/>
    <cellStyle name="Normal_Sheet3" xfId="67"/>
    <cellStyle name="Normal_Tax Rates for 2006-2012_Sep42008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tabSelected="1" view="pageBreakPreview" zoomScale="60" workbookViewId="0" topLeftCell="A1">
      <selection activeCell="I9" sqref="I9"/>
    </sheetView>
  </sheetViews>
  <sheetFormatPr defaultColWidth="8.88671875" defaultRowHeight="15"/>
  <cols>
    <col min="1" max="1" width="2.88671875" style="0" customWidth="1"/>
    <col min="3" max="3" width="20.10546875" style="0" bestFit="1" customWidth="1"/>
  </cols>
  <sheetData>
    <row r="2" ht="18.75">
      <c r="B2" s="86" t="s">
        <v>55</v>
      </c>
    </row>
    <row r="3" ht="18.75">
      <c r="B3" s="86" t="s">
        <v>64</v>
      </c>
    </row>
    <row r="4" ht="18.75">
      <c r="B4" s="86" t="s">
        <v>65</v>
      </c>
    </row>
    <row r="6" ht="15.75">
      <c r="B6" s="90" t="s">
        <v>92</v>
      </c>
    </row>
    <row r="7" ht="15.75">
      <c r="B7" s="90" t="s">
        <v>91</v>
      </c>
    </row>
    <row r="9" ht="15.75">
      <c r="B9" s="90" t="s">
        <v>93</v>
      </c>
    </row>
    <row r="10" spans="2:3" ht="15.75">
      <c r="B10" s="94" t="s">
        <v>62</v>
      </c>
      <c r="C10" s="91" t="s">
        <v>63</v>
      </c>
    </row>
    <row r="11" spans="2:3" ht="15">
      <c r="B11" s="92">
        <v>2012</v>
      </c>
      <c r="C11" s="93">
        <f>+'Revenue Requirement'!D26</f>
        <v>27162.05525288944</v>
      </c>
    </row>
    <row r="12" spans="2:3" ht="15">
      <c r="B12" s="92">
        <v>2013</v>
      </c>
      <c r="C12" s="93">
        <f>+'Revenue Requirement'!F26</f>
        <v>56992.8832321534</v>
      </c>
    </row>
    <row r="13" spans="2:3" ht="15">
      <c r="B13" s="92">
        <v>2014</v>
      </c>
      <c r="C13" s="93">
        <f>+'Revenue Requirement'!H26</f>
        <v>61914.68475938264</v>
      </c>
    </row>
    <row r="14" spans="2:3" ht="15.75">
      <c r="B14" s="94" t="s">
        <v>49</v>
      </c>
      <c r="C14" s="95">
        <f>SUM(C11:C13)</f>
        <v>146069.62324442546</v>
      </c>
    </row>
    <row r="16" ht="15.75">
      <c r="B16" s="90" t="s">
        <v>90</v>
      </c>
    </row>
    <row r="17" spans="2:3" ht="15.75">
      <c r="B17" s="94" t="s">
        <v>62</v>
      </c>
      <c r="C17" s="91" t="s">
        <v>63</v>
      </c>
    </row>
    <row r="18" spans="2:3" ht="15.75">
      <c r="B18" s="91">
        <v>2015</v>
      </c>
      <c r="C18" s="95">
        <f>'Revenue Requirement'!J26</f>
        <v>61131.519622720516</v>
      </c>
    </row>
  </sheetData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view="pageBreakPreview" zoomScaleSheetLayoutView="100" workbookViewId="0" topLeftCell="A1">
      <selection activeCell="M18" sqref="M18"/>
    </sheetView>
  </sheetViews>
  <sheetFormatPr defaultColWidth="8.88671875" defaultRowHeight="15"/>
  <cols>
    <col min="1" max="1" width="2.21484375" style="1" customWidth="1"/>
    <col min="2" max="2" width="25.10546875" style="1" customWidth="1"/>
    <col min="3" max="3" width="9.5546875" style="1" bestFit="1" customWidth="1"/>
    <col min="4" max="4" width="10.4453125" style="1" bestFit="1" customWidth="1"/>
    <col min="5" max="6" width="10.99609375" style="1" bestFit="1" customWidth="1"/>
    <col min="7" max="7" width="10.88671875" style="1" bestFit="1" customWidth="1"/>
    <col min="8" max="8" width="10.4453125" style="1" bestFit="1" customWidth="1"/>
    <col min="9" max="9" width="10.99609375" style="1" bestFit="1" customWidth="1"/>
    <col min="10" max="10" width="10.4453125" style="1" bestFit="1" customWidth="1"/>
    <col min="11" max="11" width="8.88671875" style="1" customWidth="1"/>
    <col min="12" max="12" width="10.99609375" style="1" bestFit="1" customWidth="1"/>
    <col min="13" max="16384" width="8.88671875" style="1" customWidth="1"/>
  </cols>
  <sheetData>
    <row r="2" ht="18.75">
      <c r="B2" s="86" t="s">
        <v>55</v>
      </c>
    </row>
    <row r="3" ht="18.75">
      <c r="B3" s="86" t="s">
        <v>69</v>
      </c>
    </row>
    <row r="4" ht="18.75">
      <c r="B4" s="86" t="s">
        <v>65</v>
      </c>
    </row>
    <row r="5" ht="15.75" thickBot="1"/>
    <row r="6" spans="3:10" s="87" customFormat="1" ht="27.75" customHeight="1" thickBot="1">
      <c r="C6" s="131">
        <v>2012</v>
      </c>
      <c r="D6" s="133"/>
      <c r="E6" s="131">
        <v>2013</v>
      </c>
      <c r="F6" s="132"/>
      <c r="G6" s="126">
        <v>2014</v>
      </c>
      <c r="H6" s="127"/>
      <c r="I6" s="128">
        <v>2015</v>
      </c>
      <c r="J6" s="129"/>
    </row>
    <row r="7" spans="2:10" ht="15">
      <c r="B7" s="1" t="s">
        <v>43</v>
      </c>
      <c r="C7" s="2"/>
      <c r="D7" s="3">
        <f>'Avg Nt Fix Ass &amp;UCC'!D109</f>
        <v>295263.9524439463</v>
      </c>
      <c r="E7" s="2"/>
      <c r="F7" s="3">
        <f>'Avg Nt Fix Ass &amp;UCC'!E109</f>
        <v>577106.7497757854</v>
      </c>
      <c r="G7" s="2"/>
      <c r="H7" s="3">
        <f>'Avg Nt Fix Ass &amp;UCC'!F109</f>
        <v>550264.4395515708</v>
      </c>
      <c r="I7" s="2"/>
      <c r="J7" s="3">
        <f>'Avg Nt Fix Ass &amp;UCC'!G109</f>
        <v>523422.12932735635</v>
      </c>
    </row>
    <row r="8" spans="2:9" ht="15">
      <c r="B8" s="1" t="s">
        <v>0</v>
      </c>
      <c r="C8" s="4">
        <f>D22</f>
        <v>0</v>
      </c>
      <c r="E8" s="4">
        <f>F22</f>
        <v>0</v>
      </c>
      <c r="G8" s="4">
        <f>H22</f>
        <v>0</v>
      </c>
      <c r="I8" s="4">
        <f>J22</f>
        <v>0</v>
      </c>
    </row>
    <row r="9" spans="2:10" ht="15">
      <c r="B9" s="1" t="s">
        <v>1</v>
      </c>
      <c r="C9" s="5">
        <v>0.15</v>
      </c>
      <c r="D9" s="6">
        <f>C8*C9</f>
        <v>0</v>
      </c>
      <c r="E9" s="5">
        <v>0.13</v>
      </c>
      <c r="F9" s="6">
        <f>E8*E9</f>
        <v>0</v>
      </c>
      <c r="G9" s="5">
        <f>+E9</f>
        <v>0.13</v>
      </c>
      <c r="H9" s="6">
        <f>G8*G9</f>
        <v>0</v>
      </c>
      <c r="I9" s="5">
        <f>+G9</f>
        <v>0.13</v>
      </c>
      <c r="J9" s="6">
        <f>I8*I9</f>
        <v>0</v>
      </c>
    </row>
    <row r="10" spans="2:10" ht="15">
      <c r="B10" s="1" t="s">
        <v>48</v>
      </c>
      <c r="D10" s="7">
        <f>SUM(D7:D9)</f>
        <v>295263.9524439463</v>
      </c>
      <c r="F10" s="7">
        <f>SUM(F7:F9)</f>
        <v>577106.7497757854</v>
      </c>
      <c r="H10" s="7">
        <f>SUM(H7:H9)</f>
        <v>550264.4395515708</v>
      </c>
      <c r="J10" s="7">
        <f>SUM(J7:J9)</f>
        <v>523422.12932735635</v>
      </c>
    </row>
    <row r="13" spans="2:10" ht="15">
      <c r="B13" s="1" t="s">
        <v>3</v>
      </c>
      <c r="C13" s="8">
        <v>0.04</v>
      </c>
      <c r="D13" s="7">
        <f>D10*C13</f>
        <v>11810.558097757854</v>
      </c>
      <c r="E13" s="9">
        <v>0.04</v>
      </c>
      <c r="F13" s="7">
        <f>F10*E13</f>
        <v>23084.269991031415</v>
      </c>
      <c r="G13" s="10">
        <f>E13</f>
        <v>0.04</v>
      </c>
      <c r="H13" s="7">
        <f>H10*G13</f>
        <v>22010.577582062833</v>
      </c>
      <c r="I13" s="10">
        <f>G13</f>
        <v>0.04</v>
      </c>
      <c r="J13" s="7">
        <f>J10*I13</f>
        <v>20936.885173094255</v>
      </c>
    </row>
    <row r="14" spans="2:10" ht="15">
      <c r="B14" s="1" t="s">
        <v>4</v>
      </c>
      <c r="C14" s="8">
        <v>0.56</v>
      </c>
      <c r="D14" s="7">
        <f>D10*C14</f>
        <v>165347.81336860996</v>
      </c>
      <c r="E14" s="11">
        <v>0.56</v>
      </c>
      <c r="F14" s="7">
        <f>F10*E14</f>
        <v>323179.7798744398</v>
      </c>
      <c r="G14" s="10">
        <f>E14</f>
        <v>0.56</v>
      </c>
      <c r="H14" s="7">
        <f>H10*G14</f>
        <v>308148.08614887967</v>
      </c>
      <c r="I14" s="10">
        <f>G14</f>
        <v>0.56</v>
      </c>
      <c r="J14" s="7">
        <f>J10*I14</f>
        <v>293116.3924233196</v>
      </c>
    </row>
    <row r="15" spans="2:10" ht="15">
      <c r="B15" s="1" t="s">
        <v>2</v>
      </c>
      <c r="C15" s="8">
        <v>0.4</v>
      </c>
      <c r="D15" s="7">
        <f>D10*C15</f>
        <v>118105.58097757853</v>
      </c>
      <c r="E15" s="12">
        <v>0.4</v>
      </c>
      <c r="F15" s="7">
        <f>F10*E15</f>
        <v>230842.69991031417</v>
      </c>
      <c r="G15" s="10">
        <f>E15</f>
        <v>0.4</v>
      </c>
      <c r="H15" s="7">
        <f>H10*G15</f>
        <v>220105.77582062833</v>
      </c>
      <c r="I15" s="10">
        <f>G15</f>
        <v>0.4</v>
      </c>
      <c r="J15" s="7">
        <f>J10*I15</f>
        <v>209368.85173094255</v>
      </c>
    </row>
    <row r="16" spans="4:10" ht="15">
      <c r="D16" s="13"/>
      <c r="E16" s="14"/>
      <c r="F16" s="13"/>
      <c r="G16" s="14"/>
      <c r="H16" s="13"/>
      <c r="I16" s="14"/>
      <c r="J16" s="13"/>
    </row>
    <row r="17" spans="2:10" ht="15">
      <c r="B17" s="1" t="s">
        <v>5</v>
      </c>
      <c r="C17" s="15">
        <v>0.0133</v>
      </c>
      <c r="D17" s="7">
        <f>D13*C17</f>
        <v>157.08042270017944</v>
      </c>
      <c r="E17" s="16">
        <v>0.0208</v>
      </c>
      <c r="F17" s="7">
        <f>F13*E17</f>
        <v>480.1528158134534</v>
      </c>
      <c r="G17" s="125">
        <f>E17</f>
        <v>0.0208</v>
      </c>
      <c r="H17" s="7">
        <f>H13*G17</f>
        <v>457.82001370690693</v>
      </c>
      <c r="I17" s="125">
        <f>G17</f>
        <v>0.0208</v>
      </c>
      <c r="J17" s="7">
        <f>J13*I17</f>
        <v>435.48721160036047</v>
      </c>
    </row>
    <row r="18" spans="2:10" ht="15">
      <c r="B18" s="1" t="s">
        <v>6</v>
      </c>
      <c r="C18" s="15">
        <v>0.0589</v>
      </c>
      <c r="D18" s="7">
        <f>D14*C18</f>
        <v>9738.986207411126</v>
      </c>
      <c r="E18" s="16">
        <v>0.0415</v>
      </c>
      <c r="F18" s="7">
        <f>F14*E18</f>
        <v>13411.960864789253</v>
      </c>
      <c r="G18" s="125">
        <f>E18</f>
        <v>0.0415</v>
      </c>
      <c r="H18" s="7">
        <f>H14*G18</f>
        <v>12788.145575178507</v>
      </c>
      <c r="I18" s="125">
        <f>G18</f>
        <v>0.0415</v>
      </c>
      <c r="J18" s="7">
        <f>J14*I18</f>
        <v>12164.330285567763</v>
      </c>
    </row>
    <row r="19" spans="2:10" ht="15">
      <c r="B19" s="1" t="s">
        <v>7</v>
      </c>
      <c r="C19" s="15">
        <v>0.0801</v>
      </c>
      <c r="D19" s="7">
        <f>D15*C19</f>
        <v>9460.257036304041</v>
      </c>
      <c r="E19" s="16">
        <v>0.0893</v>
      </c>
      <c r="F19" s="7">
        <f>F15*E19</f>
        <v>20614.253101991057</v>
      </c>
      <c r="G19" s="125">
        <f>E19</f>
        <v>0.0893</v>
      </c>
      <c r="H19" s="7">
        <f>H15*G19</f>
        <v>19655.445780782113</v>
      </c>
      <c r="I19" s="125">
        <f>G19</f>
        <v>0.0893</v>
      </c>
      <c r="J19" s="7">
        <f>J15*I19</f>
        <v>18696.638459573172</v>
      </c>
    </row>
    <row r="20" spans="4:10" ht="15">
      <c r="D20" s="17">
        <f>SUM(D17:D19)</f>
        <v>19356.323666415345</v>
      </c>
      <c r="E20" s="20"/>
      <c r="F20" s="17">
        <f>SUM(F17:F19)</f>
        <v>34506.36678259376</v>
      </c>
      <c r="H20" s="17">
        <f>SUM(H17:H19)</f>
        <v>32901.41136966753</v>
      </c>
      <c r="J20" s="17">
        <f>SUM(J17:J19)</f>
        <v>31296.455956741294</v>
      </c>
    </row>
    <row r="22" spans="2:10" ht="15">
      <c r="B22" s="1" t="s">
        <v>0</v>
      </c>
      <c r="D22" s="18">
        <v>0</v>
      </c>
      <c r="F22" s="18">
        <v>0</v>
      </c>
      <c r="G22" s="19"/>
      <c r="H22" s="18">
        <v>0</v>
      </c>
      <c r="J22" s="18">
        <v>0</v>
      </c>
    </row>
    <row r="23" spans="2:10" ht="15">
      <c r="B23" s="1" t="s">
        <v>9</v>
      </c>
      <c r="D23" s="7">
        <f>'Avg Nt Fix Ass &amp;UCC'!D110</f>
        <v>13421.155112107264</v>
      </c>
      <c r="F23" s="7">
        <f>'Avg Nt Fix Ass &amp;UCC'!E110</f>
        <v>26842.31022421453</v>
      </c>
      <c r="H23" s="7">
        <f>'Avg Nt Fix Ass &amp;UCC'!F110</f>
        <v>26842.31022421453</v>
      </c>
      <c r="J23" s="7">
        <f>'Avg Nt Fix Ass &amp;UCC'!G110</f>
        <v>26842.31022421453</v>
      </c>
    </row>
    <row r="24" spans="2:10" ht="15">
      <c r="B24" s="1" t="s">
        <v>8</v>
      </c>
      <c r="D24" s="3">
        <f>PILs!C35</f>
        <v>-5615.423525633165</v>
      </c>
      <c r="F24" s="3">
        <f>PILs!D35</f>
        <v>-4355.793774654887</v>
      </c>
      <c r="H24" s="3">
        <f>PILs!E35</f>
        <v>2170.9631655005787</v>
      </c>
      <c r="J24" s="3">
        <f>PILs!F35</f>
        <v>2992.753441764695</v>
      </c>
    </row>
    <row r="26" spans="2:10" s="88" customFormat="1" ht="15.75" thickBot="1">
      <c r="B26" s="88" t="s">
        <v>70</v>
      </c>
      <c r="D26" s="89">
        <f>SUM(D20:D24)</f>
        <v>27162.05525288944</v>
      </c>
      <c r="F26" s="89">
        <f>SUM(F20:F24)</f>
        <v>56992.8832321534</v>
      </c>
      <c r="H26" s="89">
        <f>SUM(H20:H24)</f>
        <v>61914.68475938264</v>
      </c>
      <c r="J26" s="89">
        <f>SUM(J20:J24)</f>
        <v>61131.519622720516</v>
      </c>
    </row>
    <row r="28" ht="15">
      <c r="F28" s="7"/>
    </row>
    <row r="29" spans="2:5" ht="30.75" customHeight="1">
      <c r="B29" s="24"/>
      <c r="C29" s="21"/>
      <c r="D29" s="21"/>
      <c r="E29" s="21"/>
    </row>
    <row r="30" spans="2:5" ht="30.75" customHeight="1">
      <c r="B30" s="24"/>
      <c r="C30" s="23"/>
      <c r="D30" s="23"/>
      <c r="E30" s="23"/>
    </row>
    <row r="31" spans="2:5" ht="30.75" customHeight="1">
      <c r="B31" s="24"/>
      <c r="C31" s="21"/>
      <c r="D31" s="21"/>
      <c r="E31" s="21"/>
    </row>
    <row r="32" spans="2:5" ht="15">
      <c r="B32" s="25"/>
      <c r="C32" s="25"/>
      <c r="D32" s="25"/>
      <c r="E32" s="25"/>
    </row>
    <row r="33" spans="2:5" ht="15">
      <c r="B33" s="25"/>
      <c r="C33" s="26"/>
      <c r="D33" s="26"/>
      <c r="E33" s="26"/>
    </row>
    <row r="34" spans="2:5" ht="47.25" customHeight="1">
      <c r="B34" s="22"/>
      <c r="C34" s="21"/>
      <c r="D34" s="21"/>
      <c r="E34" s="21"/>
    </row>
    <row r="35" spans="2:5" ht="34.5" customHeight="1">
      <c r="B35" s="22"/>
      <c r="C35" s="23"/>
      <c r="D35" s="23"/>
      <c r="E35" s="23"/>
    </row>
    <row r="36" spans="2:5" ht="34.5" customHeight="1">
      <c r="B36" s="22"/>
      <c r="C36" s="21"/>
      <c r="D36" s="21"/>
      <c r="E36" s="21"/>
    </row>
    <row r="38" spans="2:3" ht="15">
      <c r="B38" s="130"/>
      <c r="C38" s="130"/>
    </row>
    <row r="39" spans="2:3" ht="15">
      <c r="B39" s="130"/>
      <c r="C39" s="130"/>
    </row>
    <row r="40" spans="2:3" ht="15">
      <c r="B40" s="130"/>
      <c r="C40" s="130"/>
    </row>
    <row r="41" spans="2:3" ht="15">
      <c r="B41" s="130"/>
      <c r="C41" s="130"/>
    </row>
    <row r="42" spans="2:3" ht="15">
      <c r="B42" s="130"/>
      <c r="C42" s="130"/>
    </row>
    <row r="43" spans="2:3" ht="15">
      <c r="B43" s="130"/>
      <c r="C43" s="130"/>
    </row>
    <row r="44" spans="2:3" ht="15">
      <c r="B44" s="130"/>
      <c r="C44" s="130"/>
    </row>
  </sheetData>
  <sheetProtection/>
  <mergeCells count="7">
    <mergeCell ref="G6:H6"/>
    <mergeCell ref="I6:J6"/>
    <mergeCell ref="B42:C44"/>
    <mergeCell ref="B39:C41"/>
    <mergeCell ref="B38:C38"/>
    <mergeCell ref="E6:F6"/>
    <mergeCell ref="C6:D6"/>
  </mergeCells>
  <printOptions/>
  <pageMargins left="0.75" right="0.75" top="1" bottom="1" header="0.5" footer="0.5"/>
  <pageSetup horizontalDpi="600" verticalDpi="600" orientation="landscape" scale="61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PageLayoutView="0" workbookViewId="0" topLeftCell="A6">
      <selection activeCell="B6" sqref="B6"/>
    </sheetView>
  </sheetViews>
  <sheetFormatPr defaultColWidth="8.77734375" defaultRowHeight="15"/>
  <cols>
    <col min="1" max="1" width="2.88671875" style="27" customWidth="1"/>
    <col min="2" max="2" width="25.4453125" style="27" bestFit="1" customWidth="1"/>
    <col min="3" max="3" width="9.3359375" style="27" customWidth="1"/>
    <col min="4" max="4" width="9.88671875" style="27" customWidth="1"/>
    <col min="5" max="5" width="9.3359375" style="27" bestFit="1" customWidth="1"/>
    <col min="6" max="16384" width="8.77734375" style="27" customWidth="1"/>
  </cols>
  <sheetData>
    <row r="1" ht="18.75">
      <c r="B1" s="86" t="s">
        <v>55</v>
      </c>
    </row>
    <row r="2" ht="18.75">
      <c r="B2" s="86" t="s">
        <v>64</v>
      </c>
    </row>
    <row r="3" ht="18.75">
      <c r="B3" s="86" t="s">
        <v>65</v>
      </c>
    </row>
    <row r="4" spans="1:4" ht="18.75">
      <c r="A4" s="28"/>
      <c r="B4" s="85" t="s">
        <v>10</v>
      </c>
      <c r="C4" s="29"/>
      <c r="D4" s="29"/>
    </row>
    <row r="5" spans="1:4" ht="15.75">
      <c r="A5" s="28"/>
      <c r="B5" s="28"/>
      <c r="C5" s="29"/>
      <c r="D5" s="29"/>
    </row>
    <row r="6" spans="1:6" ht="15.75">
      <c r="A6" s="28"/>
      <c r="B6" s="28"/>
      <c r="C6" s="30">
        <v>2012</v>
      </c>
      <c r="D6" s="30">
        <v>2013</v>
      </c>
      <c r="E6" s="30">
        <v>2014</v>
      </c>
      <c r="F6" s="30">
        <v>2015</v>
      </c>
    </row>
    <row r="7" spans="1:4" ht="15.75">
      <c r="A7" s="28"/>
      <c r="B7" s="31" t="s">
        <v>11</v>
      </c>
      <c r="C7" s="32"/>
      <c r="D7" s="32"/>
    </row>
    <row r="8" spans="1:6" ht="15.75">
      <c r="A8" s="28"/>
      <c r="B8" s="28" t="s">
        <v>12</v>
      </c>
      <c r="C8" s="33">
        <f>'Revenue Requirement'!D19</f>
        <v>9460.257036304041</v>
      </c>
      <c r="D8" s="33">
        <f>'Revenue Requirement'!F19</f>
        <v>20614.253101991057</v>
      </c>
      <c r="E8" s="33">
        <f>'Revenue Requirement'!H19</f>
        <v>19655.445780782113</v>
      </c>
      <c r="F8" s="33">
        <f>'Revenue Requirement'!J19</f>
        <v>18696.638459573172</v>
      </c>
    </row>
    <row r="9" spans="1:6" ht="15.75">
      <c r="A9" s="28"/>
      <c r="B9" s="28" t="s">
        <v>60</v>
      </c>
      <c r="C9" s="33">
        <f>'Revenue Requirement'!D23</f>
        <v>13421.155112107264</v>
      </c>
      <c r="D9" s="33">
        <f>'Revenue Requirement'!F23</f>
        <v>26842.31022421453</v>
      </c>
      <c r="E9" s="33">
        <f>'Revenue Requirement'!H23</f>
        <v>26842.31022421453</v>
      </c>
      <c r="F9" s="33">
        <f>'Revenue Requirement'!J23</f>
        <v>26842.31022421453</v>
      </c>
    </row>
    <row r="10" spans="1:6" ht="15.75">
      <c r="A10" s="28"/>
      <c r="B10" s="28" t="s">
        <v>39</v>
      </c>
      <c r="C10" s="33">
        <f>-'Avg Nt Fix Ass &amp;UCC'!D123-'Avg Nt Fix Ass &amp;UCC'!D140</f>
        <v>-38456.26607799763</v>
      </c>
      <c r="D10" s="33">
        <f>-'Avg Nt Fix Ass &amp;UCC'!E123-'Avg Nt Fix Ass &amp;UCC'!E140</f>
        <v>-59537.72719175782</v>
      </c>
      <c r="E10" s="33">
        <f>-'Avg Nt Fix Ass &amp;UCC'!F123-'Avg Nt Fix Ass &amp;UCC'!F140</f>
        <v>-40476.405338419565</v>
      </c>
      <c r="F10" s="33">
        <f>-'Avg Nt Fix Ass &amp;UCC'!G123-'Avg Nt Fix Ass &amp;UCC'!G140</f>
        <v>-37238.292911346005</v>
      </c>
    </row>
    <row r="11" spans="1:6" ht="15.75">
      <c r="A11" s="28"/>
      <c r="B11" s="28" t="s">
        <v>13</v>
      </c>
      <c r="C11" s="34">
        <f>SUM(C8:C10)</f>
        <v>-15574.853929586323</v>
      </c>
      <c r="D11" s="34">
        <f>SUM(D8:D10)</f>
        <v>-12081.163865552233</v>
      </c>
      <c r="E11" s="34">
        <f>SUM(E8:E10)</f>
        <v>6021.3506665770765</v>
      </c>
      <c r="F11" s="34">
        <f>SUM(F8:F10)</f>
        <v>8300.6557724417</v>
      </c>
    </row>
    <row r="12" spans="1:6" ht="15.75">
      <c r="A12" s="28"/>
      <c r="B12" s="28" t="s">
        <v>47</v>
      </c>
      <c r="C12" s="35">
        <v>0.265</v>
      </c>
      <c r="D12" s="35">
        <v>0.265</v>
      </c>
      <c r="E12" s="35">
        <v>0.265</v>
      </c>
      <c r="F12" s="35">
        <v>0.265</v>
      </c>
    </row>
    <row r="13" spans="1:6" ht="15.75">
      <c r="A13" s="28"/>
      <c r="B13" s="28" t="s">
        <v>14</v>
      </c>
      <c r="C13" s="34">
        <f>C11*C12</f>
        <v>-4127.336291340376</v>
      </c>
      <c r="D13" s="34">
        <f>D11*D12</f>
        <v>-3201.508424371342</v>
      </c>
      <c r="E13" s="34">
        <f>E11*E12</f>
        <v>1595.6579266429253</v>
      </c>
      <c r="F13" s="34">
        <f>F11*F12</f>
        <v>2199.6737796970506</v>
      </c>
    </row>
    <row r="14" spans="1:6" ht="15.75">
      <c r="A14" s="28"/>
      <c r="B14" s="28"/>
      <c r="C14" s="28"/>
      <c r="D14" s="29"/>
      <c r="E14" s="29"/>
      <c r="F14" s="29"/>
    </row>
    <row r="15" spans="1:6" ht="15.75">
      <c r="A15" s="28"/>
      <c r="B15" s="31" t="s">
        <v>15</v>
      </c>
      <c r="C15" s="28"/>
      <c r="D15" s="29"/>
      <c r="E15" s="29"/>
      <c r="F15" s="29"/>
    </row>
    <row r="16" spans="1:6" ht="15.75">
      <c r="A16" s="28"/>
      <c r="B16" s="36" t="s">
        <v>31</v>
      </c>
      <c r="C16" s="37">
        <f>'Avg Nt Fix Ass &amp;UCC'!D36+'Avg Nt Fix Ass &amp;UCC'!D19</f>
        <v>288460.54778206884</v>
      </c>
      <c r="D16" s="37">
        <f>'Avg Nt Fix Ass &amp;UCC'!E36+'Avg Nt Fix Ass &amp;UCC'!E19</f>
        <v>274075.48531196814</v>
      </c>
      <c r="E16" s="37">
        <f>'Avg Nt Fix Ass &amp;UCC'!F36+'Avg Nt Fix Ass &amp;UCC'!F19</f>
        <v>259690.42284186737</v>
      </c>
      <c r="F16" s="37">
        <f>'Avg Nt Fix Ass &amp;UCC'!G36+'Avg Nt Fix Ass &amp;UCC'!G19</f>
        <v>245305.36037176667</v>
      </c>
    </row>
    <row r="17" spans="1:6" ht="15.75">
      <c r="A17" s="28"/>
      <c r="B17" s="28" t="s">
        <v>16</v>
      </c>
      <c r="C17" s="38">
        <v>0</v>
      </c>
      <c r="D17" s="38">
        <v>0</v>
      </c>
      <c r="E17" s="38">
        <v>0</v>
      </c>
      <c r="F17" s="38">
        <v>0</v>
      </c>
    </row>
    <row r="18" spans="1:6" ht="15.75">
      <c r="A18" s="28"/>
      <c r="B18" s="28" t="s">
        <v>17</v>
      </c>
      <c r="C18" s="34">
        <f>C16-C17</f>
        <v>288460.54778206884</v>
      </c>
      <c r="D18" s="34">
        <f>D16-D17</f>
        <v>274075.48531196814</v>
      </c>
      <c r="E18" s="34">
        <f>E16-E17</f>
        <v>259690.42284186737</v>
      </c>
      <c r="F18" s="34">
        <f>F16-F17</f>
        <v>245305.36037176667</v>
      </c>
    </row>
    <row r="19" spans="1:6" ht="15.75">
      <c r="A19" s="28"/>
      <c r="B19" s="28" t="s">
        <v>18</v>
      </c>
      <c r="C19" s="39"/>
      <c r="D19" s="40"/>
      <c r="E19" s="40"/>
      <c r="F19" s="40"/>
    </row>
    <row r="20" spans="1:6" ht="15.75">
      <c r="A20" s="28"/>
      <c r="B20" s="28" t="s">
        <v>19</v>
      </c>
      <c r="C20" s="41">
        <f>C18*C19</f>
        <v>0</v>
      </c>
      <c r="D20" s="41">
        <f>D18*D19</f>
        <v>0</v>
      </c>
      <c r="E20" s="41">
        <f>E18*E19</f>
        <v>0</v>
      </c>
      <c r="F20" s="41">
        <f>F18*F19</f>
        <v>0</v>
      </c>
    </row>
    <row r="21" spans="1:4" ht="15.75">
      <c r="A21" s="28"/>
      <c r="B21" s="28"/>
      <c r="C21" s="28"/>
      <c r="D21" s="29"/>
    </row>
    <row r="22" spans="1:4" ht="15.75">
      <c r="A22" s="28"/>
      <c r="B22" s="28"/>
      <c r="C22" s="28"/>
      <c r="D22" s="29"/>
    </row>
    <row r="23" spans="1:6" ht="15.75">
      <c r="A23" s="28"/>
      <c r="B23" s="42" t="s">
        <v>20</v>
      </c>
      <c r="C23" s="30">
        <v>2012</v>
      </c>
      <c r="D23" s="30">
        <v>2013</v>
      </c>
      <c r="E23" s="30">
        <v>2014</v>
      </c>
      <c r="F23" s="30">
        <v>2015</v>
      </c>
    </row>
    <row r="24" spans="1:6" ht="15.75">
      <c r="A24" s="28"/>
      <c r="B24" s="28"/>
      <c r="C24" s="32" t="s">
        <v>21</v>
      </c>
      <c r="D24" s="32" t="s">
        <v>21</v>
      </c>
      <c r="E24" s="32" t="s">
        <v>21</v>
      </c>
      <c r="F24" s="32" t="s">
        <v>21</v>
      </c>
    </row>
    <row r="25" spans="1:6" ht="15.75">
      <c r="A25" s="28"/>
      <c r="B25" s="28" t="s">
        <v>22</v>
      </c>
      <c r="C25" s="33">
        <f>C13</f>
        <v>-4127.336291340376</v>
      </c>
      <c r="D25" s="33">
        <f>D13</f>
        <v>-3201.508424371342</v>
      </c>
      <c r="E25" s="33">
        <f>E13</f>
        <v>1595.6579266429253</v>
      </c>
      <c r="F25" s="33">
        <f>F13</f>
        <v>2199.6737796970506</v>
      </c>
    </row>
    <row r="26" spans="1:6" ht="15.75">
      <c r="A26" s="28"/>
      <c r="B26" s="28" t="s">
        <v>23</v>
      </c>
      <c r="C26" s="33">
        <f>C20</f>
        <v>0</v>
      </c>
      <c r="D26" s="33">
        <f>D20</f>
        <v>0</v>
      </c>
      <c r="E26" s="33">
        <f>E20</f>
        <v>0</v>
      </c>
      <c r="F26" s="33">
        <f>F20</f>
        <v>0</v>
      </c>
    </row>
    <row r="27" spans="1:6" ht="15.75">
      <c r="A27" s="28"/>
      <c r="B27" s="28" t="s">
        <v>24</v>
      </c>
      <c r="C27" s="34">
        <f>SUM(C25:C26)</f>
        <v>-4127.336291340376</v>
      </c>
      <c r="D27" s="34">
        <f>SUM(D25:D26)</f>
        <v>-3201.508424371342</v>
      </c>
      <c r="E27" s="34">
        <f>SUM(E25:E26)</f>
        <v>1595.6579266429253</v>
      </c>
      <c r="F27" s="34">
        <f>SUM(F25:F26)</f>
        <v>2199.6737796970506</v>
      </c>
    </row>
    <row r="28" spans="1:4" ht="15.75">
      <c r="A28" s="29"/>
      <c r="B28" s="29"/>
      <c r="C28" s="29"/>
      <c r="D28" s="29"/>
    </row>
    <row r="29" spans="1:4" ht="15.75">
      <c r="A29" s="29"/>
      <c r="B29" s="29"/>
      <c r="C29" s="32"/>
      <c r="D29" s="32"/>
    </row>
    <row r="30" spans="1:4" ht="15.75">
      <c r="A30" s="29"/>
      <c r="B30" s="29"/>
      <c r="C30" s="35"/>
      <c r="D30" s="35"/>
    </row>
    <row r="31" spans="1:6" ht="15.75">
      <c r="A31" s="29"/>
      <c r="B31" s="29"/>
      <c r="C31" s="30">
        <v>2012</v>
      </c>
      <c r="D31" s="30">
        <v>2013</v>
      </c>
      <c r="E31" s="30">
        <v>2014</v>
      </c>
      <c r="F31" s="30">
        <v>2015</v>
      </c>
    </row>
    <row r="32" spans="1:6" ht="26.25">
      <c r="A32" s="29"/>
      <c r="B32" s="29"/>
      <c r="C32" s="43" t="s">
        <v>25</v>
      </c>
      <c r="D32" s="43" t="s">
        <v>25</v>
      </c>
      <c r="E32" s="43" t="s">
        <v>25</v>
      </c>
      <c r="F32" s="43" t="s">
        <v>25</v>
      </c>
    </row>
    <row r="33" spans="1:6" ht="15.75">
      <c r="A33" s="29"/>
      <c r="B33" s="28" t="s">
        <v>22</v>
      </c>
      <c r="C33" s="33">
        <f>C25/(1-C12)</f>
        <v>-5615.423525633165</v>
      </c>
      <c r="D33" s="33">
        <f>D25/(1-D12)</f>
        <v>-4355.793774654887</v>
      </c>
      <c r="E33" s="33">
        <f>E25/(1-E12)</f>
        <v>2170.9631655005787</v>
      </c>
      <c r="F33" s="33">
        <f>F25/(1-F12)</f>
        <v>2992.753441764695</v>
      </c>
    </row>
    <row r="34" spans="1:6" ht="15.75">
      <c r="A34" s="29"/>
      <c r="B34" s="28" t="s">
        <v>23</v>
      </c>
      <c r="C34" s="33">
        <f>C20</f>
        <v>0</v>
      </c>
      <c r="D34" s="33">
        <f>D20</f>
        <v>0</v>
      </c>
      <c r="E34" s="33">
        <f>E20</f>
        <v>0</v>
      </c>
      <c r="F34" s="33">
        <f>F20</f>
        <v>0</v>
      </c>
    </row>
    <row r="35" spans="1:6" ht="15.75">
      <c r="A35" s="29"/>
      <c r="B35" s="28" t="s">
        <v>24</v>
      </c>
      <c r="C35" s="44">
        <f>SUM(C33:C34)</f>
        <v>-5615.423525633165</v>
      </c>
      <c r="D35" s="44">
        <f>SUM(D33:D34)</f>
        <v>-4355.793774654887</v>
      </c>
      <c r="E35" s="44">
        <f>SUM(E33:E34)</f>
        <v>2170.9631655005787</v>
      </c>
      <c r="F35" s="44">
        <f>SUM(F33:F34)</f>
        <v>2992.753441764695</v>
      </c>
    </row>
  </sheetData>
  <sheetProtection formatColumns="0" selectLockedCells="1"/>
  <printOptions/>
  <pageMargins left="0.75" right="0.75" top="1" bottom="1" header="0.5" footer="0.5"/>
  <pageSetup horizontalDpi="600" verticalDpi="600" orientation="portrait" scale="82" r:id="rId1"/>
  <headerFooter alignWithMargins="0">
    <oddFooter xml:space="preserve">&amp;R&amp;A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42"/>
  <sheetViews>
    <sheetView view="pageBreakPreview" zoomScale="60" zoomScalePageLayoutView="0" workbookViewId="0" topLeftCell="B66">
      <selection activeCell="D66" sqref="D1:G16384"/>
    </sheetView>
  </sheetViews>
  <sheetFormatPr defaultColWidth="8.88671875" defaultRowHeight="15"/>
  <cols>
    <col min="1" max="1" width="8.88671875" style="27" customWidth="1"/>
    <col min="2" max="2" width="30.10546875" style="27" customWidth="1"/>
    <col min="3" max="3" width="7.3359375" style="27" customWidth="1"/>
    <col min="4" max="6" width="14.3359375" style="46" customWidth="1"/>
    <col min="7" max="7" width="14.3359375" style="27" customWidth="1"/>
    <col min="8" max="8" width="9.99609375" style="27" bestFit="1" customWidth="1"/>
    <col min="9" max="16384" width="8.88671875" style="27" customWidth="1"/>
  </cols>
  <sheetData>
    <row r="1" ht="18.75">
      <c r="B1" s="86" t="s">
        <v>55</v>
      </c>
    </row>
    <row r="2" ht="18.75">
      <c r="B2" s="86" t="s">
        <v>64</v>
      </c>
    </row>
    <row r="3" spans="1:6" ht="18.75">
      <c r="A3" s="62"/>
      <c r="B3" s="86" t="s">
        <v>65</v>
      </c>
      <c r="C3" s="62"/>
      <c r="D3" s="63"/>
      <c r="E3" s="63"/>
      <c r="F3" s="63"/>
    </row>
    <row r="4" spans="1:6" ht="18.75">
      <c r="A4" s="62"/>
      <c r="B4" s="84" t="s">
        <v>32</v>
      </c>
      <c r="C4" s="64"/>
      <c r="D4" s="63"/>
      <c r="E4" s="63"/>
      <c r="F4" s="63"/>
    </row>
    <row r="5" spans="1:6" ht="11.25" customHeight="1">
      <c r="A5" s="62"/>
      <c r="B5" s="45"/>
      <c r="C5" s="64"/>
      <c r="D5" s="63"/>
      <c r="E5" s="63"/>
      <c r="F5" s="63"/>
    </row>
    <row r="6" spans="1:8" ht="15.75">
      <c r="A6" s="62"/>
      <c r="B6" s="62"/>
      <c r="C6" s="62"/>
      <c r="D6" s="65">
        <v>2012</v>
      </c>
      <c r="E6" s="65">
        <v>2013</v>
      </c>
      <c r="F6" s="65">
        <v>2014</v>
      </c>
      <c r="G6" s="65">
        <v>2015</v>
      </c>
      <c r="H6" s="66"/>
    </row>
    <row r="7" spans="1:6" ht="15.75">
      <c r="A7" s="62"/>
      <c r="B7" s="64" t="s">
        <v>76</v>
      </c>
      <c r="C7" s="64"/>
      <c r="D7" s="67"/>
      <c r="E7" s="67"/>
      <c r="F7" s="67"/>
    </row>
    <row r="8" spans="1:8" ht="15.75">
      <c r="A8" s="62"/>
      <c r="B8" s="62"/>
      <c r="C8" s="62"/>
      <c r="D8" s="63"/>
      <c r="E8" s="63"/>
      <c r="F8" s="63"/>
      <c r="H8" s="47"/>
    </row>
    <row r="9" spans="1:8" ht="15.75">
      <c r="A9" s="62"/>
      <c r="B9" s="68" t="s">
        <v>26</v>
      </c>
      <c r="C9" s="68"/>
      <c r="D9" s="69"/>
      <c r="E9" s="69">
        <f>D11</f>
        <v>264569.810151907</v>
      </c>
      <c r="F9" s="69">
        <f>E11</f>
        <v>264569.810151907</v>
      </c>
      <c r="G9" s="69">
        <f>F11</f>
        <v>264569.810151907</v>
      </c>
      <c r="H9" s="70"/>
    </row>
    <row r="10" spans="1:8" ht="15.75">
      <c r="A10" s="62"/>
      <c r="B10" s="68" t="s">
        <v>44</v>
      </c>
      <c r="C10" s="68"/>
      <c r="D10" s="71">
        <f>+'Eligible amount&amp;Direct benefits'!C25</f>
        <v>264569.810151907</v>
      </c>
      <c r="E10" s="71"/>
      <c r="F10" s="71"/>
      <c r="G10" s="71"/>
      <c r="H10" s="72"/>
    </row>
    <row r="11" spans="1:8" ht="15.75">
      <c r="A11" s="62"/>
      <c r="B11" s="68" t="s">
        <v>27</v>
      </c>
      <c r="C11" s="68"/>
      <c r="D11" s="69">
        <f>SUM(D9:D10)</f>
        <v>264569.810151907</v>
      </c>
      <c r="E11" s="69">
        <f>SUM(E9:E10)</f>
        <v>264569.810151907</v>
      </c>
      <c r="F11" s="69">
        <f>SUM(F9:F10)</f>
        <v>264569.810151907</v>
      </c>
      <c r="G11" s="69">
        <f>SUM(G9:G10)</f>
        <v>264569.810151907</v>
      </c>
      <c r="H11" s="70"/>
    </row>
    <row r="12" spans="1:8" ht="15.75">
      <c r="A12" s="62"/>
      <c r="B12" s="68"/>
      <c r="C12" s="68"/>
      <c r="D12" s="73"/>
      <c r="E12" s="73"/>
      <c r="F12" s="74"/>
      <c r="G12" s="48"/>
      <c r="H12" s="47"/>
    </row>
    <row r="13" spans="1:8" ht="15.75">
      <c r="A13" s="62"/>
      <c r="B13" s="68" t="s">
        <v>28</v>
      </c>
      <c r="C13" s="68"/>
      <c r="D13" s="69"/>
      <c r="E13" s="69">
        <f>D16</f>
        <v>3307.122626898837</v>
      </c>
      <c r="F13" s="69">
        <f>E16</f>
        <v>9921.36788069651</v>
      </c>
      <c r="G13" s="69">
        <f>F16</f>
        <v>16535.613134494186</v>
      </c>
      <c r="H13" s="70"/>
    </row>
    <row r="14" spans="1:8" ht="15.75">
      <c r="A14" s="62"/>
      <c r="B14" s="68" t="s">
        <v>45</v>
      </c>
      <c r="C14" s="75">
        <v>40</v>
      </c>
      <c r="D14" s="74">
        <f>D10/$C14/2</f>
        <v>3307.122626898837</v>
      </c>
      <c r="E14" s="74">
        <f>E10/$C14/2</f>
        <v>0</v>
      </c>
      <c r="F14" s="74">
        <f>F10/$C14/2</f>
        <v>0</v>
      </c>
      <c r="G14" s="74">
        <f>G10/$C14/2</f>
        <v>0</v>
      </c>
      <c r="H14" s="70"/>
    </row>
    <row r="15" spans="1:8" ht="15.75">
      <c r="A15" s="62"/>
      <c r="B15" s="68" t="s">
        <v>46</v>
      </c>
      <c r="C15" s="75">
        <f>C14</f>
        <v>40</v>
      </c>
      <c r="D15" s="74">
        <f>D9/$C15</f>
        <v>0</v>
      </c>
      <c r="E15" s="74">
        <f>E9/$C15</f>
        <v>6614.245253797674</v>
      </c>
      <c r="F15" s="74">
        <f>F9/$C15</f>
        <v>6614.245253797674</v>
      </c>
      <c r="G15" s="74">
        <f>G9/$C15</f>
        <v>6614.245253797674</v>
      </c>
      <c r="H15" s="70"/>
    </row>
    <row r="16" spans="1:8" ht="15.75">
      <c r="A16" s="62"/>
      <c r="B16" s="68" t="s">
        <v>29</v>
      </c>
      <c r="C16" s="68"/>
      <c r="D16" s="69">
        <f>SUM(D13:D15)</f>
        <v>3307.122626898837</v>
      </c>
      <c r="E16" s="69">
        <f>SUM(E13:E15)</f>
        <v>9921.36788069651</v>
      </c>
      <c r="F16" s="69">
        <f>SUM(F13:F15)</f>
        <v>16535.613134494186</v>
      </c>
      <c r="G16" s="69">
        <f>SUM(G13:G15)</f>
        <v>23149.85838829186</v>
      </c>
      <c r="H16" s="70"/>
    </row>
    <row r="17" spans="1:8" ht="15.75">
      <c r="A17" s="62"/>
      <c r="B17" s="68"/>
      <c r="C17" s="68"/>
      <c r="D17" s="76"/>
      <c r="E17" s="76"/>
      <c r="F17" s="74"/>
      <c r="G17" s="48"/>
      <c r="H17" s="47"/>
    </row>
    <row r="18" spans="1:8" ht="15.75">
      <c r="A18" s="62"/>
      <c r="B18" s="68" t="s">
        <v>30</v>
      </c>
      <c r="C18" s="68"/>
      <c r="D18" s="74">
        <f>D9-D13</f>
        <v>0</v>
      </c>
      <c r="E18" s="74">
        <f>E9-E13</f>
        <v>261262.68752500814</v>
      </c>
      <c r="F18" s="74">
        <f>F9-F13</f>
        <v>254648.44227121046</v>
      </c>
      <c r="G18" s="74">
        <f>G9-G13</f>
        <v>248034.19701741278</v>
      </c>
      <c r="H18" s="70"/>
    </row>
    <row r="19" spans="1:8" ht="15.75">
      <c r="A19" s="62"/>
      <c r="B19" s="68" t="s">
        <v>31</v>
      </c>
      <c r="C19" s="68"/>
      <c r="D19" s="69">
        <f>D11-D16</f>
        <v>261262.68752500814</v>
      </c>
      <c r="E19" s="69">
        <f>E11-E16</f>
        <v>254648.44227121046</v>
      </c>
      <c r="F19" s="69">
        <f>F11-F16</f>
        <v>248034.19701741278</v>
      </c>
      <c r="G19" s="69">
        <f>G11-G16</f>
        <v>241419.95176361513</v>
      </c>
      <c r="H19" s="70"/>
    </row>
    <row r="20" spans="1:8" ht="16.5" thickBot="1">
      <c r="A20" s="62"/>
      <c r="B20" s="68" t="s">
        <v>32</v>
      </c>
      <c r="C20" s="68"/>
      <c r="D20" s="77">
        <f>SUM(D18:D19)/2</f>
        <v>130631.34376250407</v>
      </c>
      <c r="E20" s="77">
        <f>SUM(E18:E19)/2</f>
        <v>257955.5648981093</v>
      </c>
      <c r="F20" s="77">
        <f>SUM(F18:F19)/2</f>
        <v>251341.31964431162</v>
      </c>
      <c r="G20" s="77">
        <f>SUM(G18:G19)/2</f>
        <v>244727.07439051394</v>
      </c>
      <c r="H20" s="70"/>
    </row>
    <row r="21" spans="1:6" ht="15.75">
      <c r="A21" s="62"/>
      <c r="B21" s="62"/>
      <c r="C21" s="62"/>
      <c r="D21" s="70"/>
      <c r="E21" s="70"/>
      <c r="F21" s="70"/>
    </row>
    <row r="22" spans="1:6" ht="15.75">
      <c r="A22" s="62"/>
      <c r="B22" s="62"/>
      <c r="C22" s="62"/>
      <c r="D22" s="67"/>
      <c r="E22" s="67"/>
      <c r="F22" s="67"/>
    </row>
    <row r="23" spans="1:7" ht="15.75">
      <c r="A23" s="62"/>
      <c r="B23" s="62"/>
      <c r="C23" s="62"/>
      <c r="D23" s="65">
        <v>2012</v>
      </c>
      <c r="E23" s="65">
        <v>2013</v>
      </c>
      <c r="F23" s="65">
        <v>2014</v>
      </c>
      <c r="G23" s="65">
        <v>2015</v>
      </c>
    </row>
    <row r="24" spans="1:6" ht="15.75">
      <c r="A24" s="62"/>
      <c r="B24" s="64" t="s">
        <v>77</v>
      </c>
      <c r="C24" s="64"/>
      <c r="D24" s="67"/>
      <c r="E24" s="67"/>
      <c r="F24" s="67"/>
    </row>
    <row r="25" spans="1:6" ht="15.75">
      <c r="A25" s="62"/>
      <c r="B25" s="62"/>
      <c r="C25" s="62"/>
      <c r="D25" s="63"/>
      <c r="E25" s="63"/>
      <c r="F25" s="63"/>
    </row>
    <row r="26" spans="1:7" ht="15.75">
      <c r="A26" s="62"/>
      <c r="B26" s="62" t="s">
        <v>26</v>
      </c>
      <c r="C26" s="62"/>
      <c r="D26" s="78"/>
      <c r="E26" s="78">
        <f>D28</f>
        <v>31083.268865212238</v>
      </c>
      <c r="F26" s="78">
        <f>E28</f>
        <v>31083.268865212238</v>
      </c>
      <c r="G26" s="78">
        <f>F28</f>
        <v>31083.268865212238</v>
      </c>
    </row>
    <row r="27" spans="1:8" ht="15.75">
      <c r="A27" s="62"/>
      <c r="B27" s="62" t="s">
        <v>44</v>
      </c>
      <c r="C27" s="62"/>
      <c r="D27" s="71">
        <f>+'Eligible amount&amp;Direct benefits'!H25</f>
        <v>31083.268865212238</v>
      </c>
      <c r="E27" s="71"/>
      <c r="F27" s="71"/>
      <c r="G27" s="71"/>
      <c r="H27" s="72"/>
    </row>
    <row r="28" spans="1:7" ht="15.75">
      <c r="A28" s="62"/>
      <c r="B28" s="62" t="s">
        <v>27</v>
      </c>
      <c r="C28" s="62"/>
      <c r="D28" s="78">
        <f>SUM(D26:D27)</f>
        <v>31083.268865212238</v>
      </c>
      <c r="E28" s="78">
        <f>SUM(E26:E27)</f>
        <v>31083.268865212238</v>
      </c>
      <c r="F28" s="78">
        <f>SUM(F26:F27)</f>
        <v>31083.268865212238</v>
      </c>
      <c r="G28" s="78">
        <f>SUM(G26:G27)</f>
        <v>31083.268865212238</v>
      </c>
    </row>
    <row r="29" spans="1:6" ht="15.75">
      <c r="A29" s="62"/>
      <c r="B29" s="62"/>
      <c r="C29" s="62"/>
      <c r="D29" s="70"/>
      <c r="E29" s="70"/>
      <c r="F29" s="63"/>
    </row>
    <row r="30" spans="1:7" ht="15.75">
      <c r="A30" s="62"/>
      <c r="B30" s="62" t="s">
        <v>28</v>
      </c>
      <c r="C30" s="62"/>
      <c r="D30" s="78"/>
      <c r="E30" s="78">
        <f>D33</f>
        <v>3885.4086081515297</v>
      </c>
      <c r="F30" s="78">
        <f>E33</f>
        <v>11656.225824454588</v>
      </c>
      <c r="G30" s="78">
        <f>F33</f>
        <v>19427.04304075765</v>
      </c>
    </row>
    <row r="31" spans="1:7" ht="15.75">
      <c r="A31" s="62"/>
      <c r="B31" s="68" t="s">
        <v>45</v>
      </c>
      <c r="C31" s="75">
        <v>4</v>
      </c>
      <c r="D31" s="74">
        <f>D27/$C31/2</f>
        <v>3885.4086081515297</v>
      </c>
      <c r="E31" s="74">
        <f>E27/$C31/2</f>
        <v>0</v>
      </c>
      <c r="F31" s="74">
        <f>F27/$C31/2</f>
        <v>0</v>
      </c>
      <c r="G31" s="74">
        <f>G27/$C31/2</f>
        <v>0</v>
      </c>
    </row>
    <row r="32" spans="1:7" ht="15.75">
      <c r="A32" s="62"/>
      <c r="B32" s="68" t="s">
        <v>46</v>
      </c>
      <c r="C32" s="75">
        <f>C31</f>
        <v>4</v>
      </c>
      <c r="D32" s="74">
        <f>D26/$C32</f>
        <v>0</v>
      </c>
      <c r="E32" s="74">
        <f>E26/$C32</f>
        <v>7770.8172163030595</v>
      </c>
      <c r="F32" s="74">
        <f>F26/$C32</f>
        <v>7770.8172163030595</v>
      </c>
      <c r="G32" s="74">
        <f>G26/$C32</f>
        <v>7770.8172163030595</v>
      </c>
    </row>
    <row r="33" spans="1:7" ht="15.75">
      <c r="A33" s="62"/>
      <c r="B33" s="62" t="s">
        <v>29</v>
      </c>
      <c r="C33" s="62"/>
      <c r="D33" s="78">
        <f>SUM(D30:D32)</f>
        <v>3885.4086081515297</v>
      </c>
      <c r="E33" s="78">
        <f>SUM(E30:E32)</f>
        <v>11656.225824454588</v>
      </c>
      <c r="F33" s="78">
        <f>SUM(F30:F32)</f>
        <v>19427.04304075765</v>
      </c>
      <c r="G33" s="78">
        <f>SUM(G30:G32)</f>
        <v>27197.86025706071</v>
      </c>
    </row>
    <row r="34" spans="1:7" ht="15.75">
      <c r="A34" s="62"/>
      <c r="B34" s="62"/>
      <c r="C34" s="62"/>
      <c r="F34" s="63"/>
      <c r="G34" s="63"/>
    </row>
    <row r="35" spans="1:7" ht="15.75">
      <c r="A35" s="62"/>
      <c r="B35" s="62" t="s">
        <v>30</v>
      </c>
      <c r="C35" s="62"/>
      <c r="D35" s="63">
        <f>D26-D30</f>
        <v>0</v>
      </c>
      <c r="E35" s="63">
        <f>E26-E30</f>
        <v>27197.860257060707</v>
      </c>
      <c r="F35" s="63">
        <f>F26-F30</f>
        <v>19427.04304075765</v>
      </c>
      <c r="G35" s="63">
        <f>G26-G30</f>
        <v>11656.225824454588</v>
      </c>
    </row>
    <row r="36" spans="1:7" ht="15.75">
      <c r="A36" s="62"/>
      <c r="B36" s="62" t="s">
        <v>31</v>
      </c>
      <c r="C36" s="62"/>
      <c r="D36" s="78">
        <f>D28-D33</f>
        <v>27197.860257060707</v>
      </c>
      <c r="E36" s="78">
        <f>E28-E33</f>
        <v>19427.04304075765</v>
      </c>
      <c r="F36" s="78">
        <f>F28-F33</f>
        <v>11656.225824454588</v>
      </c>
      <c r="G36" s="78">
        <f>G28-G33</f>
        <v>3885.408608151527</v>
      </c>
    </row>
    <row r="37" spans="1:7" ht="16.5" thickBot="1">
      <c r="A37" s="62"/>
      <c r="B37" s="62" t="s">
        <v>32</v>
      </c>
      <c r="C37" s="62"/>
      <c r="D37" s="79">
        <f>SUM(D35:D36)/2</f>
        <v>13598.930128530354</v>
      </c>
      <c r="E37" s="79">
        <f>SUM(E35:E36)/2</f>
        <v>23312.451648909177</v>
      </c>
      <c r="F37" s="79">
        <f>SUM(F35:F36)/2</f>
        <v>15541.634432606119</v>
      </c>
      <c r="G37" s="79">
        <f>SUM(G35:G36)/2</f>
        <v>7770.817216303058</v>
      </c>
    </row>
    <row r="38" spans="1:6" ht="15.75">
      <c r="A38" s="62"/>
      <c r="B38" s="62"/>
      <c r="C38" s="62"/>
      <c r="D38" s="63"/>
      <c r="E38" s="63"/>
      <c r="F38" s="63"/>
    </row>
    <row r="39" spans="1:6" ht="15.75">
      <c r="A39" s="62"/>
      <c r="B39" s="62"/>
      <c r="C39" s="62"/>
      <c r="D39" s="63"/>
      <c r="E39" s="63"/>
      <c r="F39" s="63"/>
    </row>
    <row r="40" spans="1:7" ht="15.75">
      <c r="A40" s="62"/>
      <c r="B40" s="62"/>
      <c r="C40" s="62"/>
      <c r="D40" s="65">
        <v>2012</v>
      </c>
      <c r="E40" s="65">
        <v>2013</v>
      </c>
      <c r="F40" s="65">
        <v>2014</v>
      </c>
      <c r="G40" s="65">
        <v>2015</v>
      </c>
    </row>
    <row r="41" spans="1:6" ht="15.75">
      <c r="A41" s="62"/>
      <c r="B41" s="64" t="s">
        <v>79</v>
      </c>
      <c r="C41" s="64"/>
      <c r="D41" s="67"/>
      <c r="E41" s="67"/>
      <c r="F41" s="67"/>
    </row>
    <row r="42" spans="1:6" ht="15.75">
      <c r="A42" s="62"/>
      <c r="B42" s="62"/>
      <c r="C42" s="62"/>
      <c r="D42" s="63"/>
      <c r="E42" s="63"/>
      <c r="F42" s="63"/>
    </row>
    <row r="43" spans="1:7" ht="15.75">
      <c r="A43" s="62"/>
      <c r="B43" s="62" t="s">
        <v>26</v>
      </c>
      <c r="C43" s="62"/>
      <c r="D43" s="78"/>
      <c r="E43" s="78">
        <f>D45</f>
        <v>81731.58234187587</v>
      </c>
      <c r="F43" s="78">
        <f>E45</f>
        <v>81731.58234187587</v>
      </c>
      <c r="G43" s="78">
        <f>F45</f>
        <v>81731.58234187587</v>
      </c>
    </row>
    <row r="44" spans="1:8" ht="15.75">
      <c r="A44" s="62"/>
      <c r="B44" s="62" t="s">
        <v>44</v>
      </c>
      <c r="C44" s="62"/>
      <c r="D44" s="71">
        <f>+'Eligible amount&amp;Direct benefits'!D25</f>
        <v>81731.58234187587</v>
      </c>
      <c r="E44" s="71"/>
      <c r="F44" s="71"/>
      <c r="G44" s="71"/>
      <c r="H44" s="72"/>
    </row>
    <row r="45" spans="1:7" ht="15.75">
      <c r="A45" s="62"/>
      <c r="B45" s="62" t="s">
        <v>27</v>
      </c>
      <c r="C45" s="62"/>
      <c r="D45" s="78">
        <f>SUM(D43:D44)</f>
        <v>81731.58234187587</v>
      </c>
      <c r="E45" s="78">
        <f>SUM(E43:E44)</f>
        <v>81731.58234187587</v>
      </c>
      <c r="F45" s="78">
        <f>SUM(F43:F44)</f>
        <v>81731.58234187587</v>
      </c>
      <c r="G45" s="78">
        <f>SUM(G43:G44)</f>
        <v>81731.58234187587</v>
      </c>
    </row>
    <row r="46" spans="1:6" ht="15.75">
      <c r="A46" s="62"/>
      <c r="B46" s="62"/>
      <c r="C46" s="62"/>
      <c r="D46" s="70"/>
      <c r="E46" s="70"/>
      <c r="F46" s="63"/>
    </row>
    <row r="47" spans="1:7" ht="15.75">
      <c r="A47" s="62"/>
      <c r="B47" s="62" t="s">
        <v>28</v>
      </c>
      <c r="C47" s="62"/>
      <c r="D47" s="78"/>
      <c r="E47" s="78">
        <f>D50</f>
        <v>2724.3860780625287</v>
      </c>
      <c r="F47" s="78">
        <f>E50</f>
        <v>8173.158234187586</v>
      </c>
      <c r="G47" s="78">
        <f>F50</f>
        <v>13621.930390312642</v>
      </c>
    </row>
    <row r="48" spans="1:7" ht="15.75">
      <c r="A48" s="62"/>
      <c r="B48" s="68" t="s">
        <v>45</v>
      </c>
      <c r="C48" s="75">
        <v>15</v>
      </c>
      <c r="D48" s="74">
        <f>D44/$C48/2</f>
        <v>2724.3860780625287</v>
      </c>
      <c r="E48" s="74">
        <f>E44/$C48/2</f>
        <v>0</v>
      </c>
      <c r="F48" s="74">
        <f>F44/$C48/2</f>
        <v>0</v>
      </c>
      <c r="G48" s="74">
        <f>G44/$C48/2</f>
        <v>0</v>
      </c>
    </row>
    <row r="49" spans="1:7" ht="15.75">
      <c r="A49" s="62"/>
      <c r="B49" s="68" t="s">
        <v>46</v>
      </c>
      <c r="C49" s="75">
        <f>C48</f>
        <v>15</v>
      </c>
      <c r="D49" s="74">
        <f>D43/$C49</f>
        <v>0</v>
      </c>
      <c r="E49" s="74">
        <f>E43/$C49</f>
        <v>5448.772156125057</v>
      </c>
      <c r="F49" s="74">
        <f>F43/$C49</f>
        <v>5448.772156125057</v>
      </c>
      <c r="G49" s="74">
        <f>G43/$C49</f>
        <v>5448.772156125057</v>
      </c>
    </row>
    <row r="50" spans="1:7" ht="15.75">
      <c r="A50" s="62"/>
      <c r="B50" s="62" t="s">
        <v>29</v>
      </c>
      <c r="C50" s="62"/>
      <c r="D50" s="78">
        <f>SUM(D47:D49)</f>
        <v>2724.3860780625287</v>
      </c>
      <c r="E50" s="78">
        <f>SUM(E47:E49)</f>
        <v>8173.158234187586</v>
      </c>
      <c r="F50" s="78">
        <f>SUM(F47:F49)</f>
        <v>13621.930390312642</v>
      </c>
      <c r="G50" s="78">
        <f>SUM(G47:G49)</f>
        <v>19070.7025464377</v>
      </c>
    </row>
    <row r="51" spans="1:7" ht="15.75">
      <c r="A51" s="62"/>
      <c r="B51" s="62"/>
      <c r="C51" s="62"/>
      <c r="F51" s="63"/>
      <c r="G51" s="63"/>
    </row>
    <row r="52" spans="1:7" ht="15.75">
      <c r="A52" s="62"/>
      <c r="B52" s="62" t="s">
        <v>30</v>
      </c>
      <c r="C52" s="62"/>
      <c r="D52" s="63">
        <f>D43-D47</f>
        <v>0</v>
      </c>
      <c r="E52" s="63">
        <f>E43-E47</f>
        <v>79007.19626381334</v>
      </c>
      <c r="F52" s="63">
        <f>F43-F47</f>
        <v>73558.42410768828</v>
      </c>
      <c r="G52" s="63">
        <f>G43-G47</f>
        <v>68109.65195156322</v>
      </c>
    </row>
    <row r="53" spans="1:7" ht="15.75">
      <c r="A53" s="62"/>
      <c r="B53" s="62" t="s">
        <v>31</v>
      </c>
      <c r="C53" s="62"/>
      <c r="D53" s="78">
        <f>D45-D50</f>
        <v>79007.19626381334</v>
      </c>
      <c r="E53" s="78">
        <f>E45-E50</f>
        <v>73558.42410768828</v>
      </c>
      <c r="F53" s="78">
        <f>F45-F50</f>
        <v>68109.65195156322</v>
      </c>
      <c r="G53" s="78">
        <f>G45-G50</f>
        <v>62660.879795438166</v>
      </c>
    </row>
    <row r="54" spans="1:7" ht="16.5" thickBot="1">
      <c r="A54" s="62"/>
      <c r="B54" s="62" t="s">
        <v>32</v>
      </c>
      <c r="C54" s="62"/>
      <c r="D54" s="79">
        <f>SUM(D52:D53)/2</f>
        <v>39503.59813190667</v>
      </c>
      <c r="E54" s="79">
        <f>SUM(E52:E53)/2</f>
        <v>76282.8101857508</v>
      </c>
      <c r="F54" s="79">
        <f>SUM(F52:F53)/2</f>
        <v>70834.03802962575</v>
      </c>
      <c r="G54" s="79">
        <f>SUM(G52:G53)/2</f>
        <v>65385.2658735007</v>
      </c>
    </row>
    <row r="55" spans="1:6" ht="15.75">
      <c r="A55" s="62"/>
      <c r="B55" s="62"/>
      <c r="C55" s="62"/>
      <c r="D55" s="63"/>
      <c r="E55" s="63"/>
      <c r="F55" s="63"/>
    </row>
    <row r="56" spans="1:6" ht="15.75">
      <c r="A56" s="62"/>
      <c r="B56" s="62"/>
      <c r="C56" s="62"/>
      <c r="D56" s="63"/>
      <c r="E56" s="63"/>
      <c r="F56" s="63"/>
    </row>
    <row r="57" spans="1:7" ht="15.75">
      <c r="A57" s="62"/>
      <c r="B57" s="62"/>
      <c r="C57" s="62"/>
      <c r="D57" s="65">
        <v>2012</v>
      </c>
      <c r="E57" s="65">
        <v>2013</v>
      </c>
      <c r="F57" s="65">
        <v>2014</v>
      </c>
      <c r="G57" s="65">
        <v>2015</v>
      </c>
    </row>
    <row r="58" spans="1:6" ht="15.75">
      <c r="A58" s="62"/>
      <c r="B58" s="64" t="s">
        <v>61</v>
      </c>
      <c r="C58" s="64"/>
      <c r="D58" s="67"/>
      <c r="E58" s="67"/>
      <c r="F58" s="67"/>
    </row>
    <row r="59" spans="1:6" ht="15.75">
      <c r="A59" s="62"/>
      <c r="B59" s="62"/>
      <c r="C59" s="62"/>
      <c r="D59" s="63"/>
      <c r="E59" s="63"/>
      <c r="F59" s="63"/>
    </row>
    <row r="60" spans="1:7" ht="15.75">
      <c r="A60" s="62"/>
      <c r="B60" s="62" t="s">
        <v>26</v>
      </c>
      <c r="C60" s="62"/>
      <c r="D60" s="78"/>
      <c r="E60" s="78">
        <f>D62</f>
        <v>67380.11924409258</v>
      </c>
      <c r="F60" s="78">
        <f>E62</f>
        <v>67380.11924409258</v>
      </c>
      <c r="G60" s="78">
        <f>F62</f>
        <v>67380.11924409258</v>
      </c>
    </row>
    <row r="61" spans="1:8" ht="15.75">
      <c r="A61" s="62"/>
      <c r="B61" s="62" t="s">
        <v>44</v>
      </c>
      <c r="C61" s="62"/>
      <c r="D61" s="71">
        <f>+'Eligible amount&amp;Direct benefits'!E25</f>
        <v>67380.11924409258</v>
      </c>
      <c r="E61" s="71"/>
      <c r="F61" s="71"/>
      <c r="G61" s="71"/>
      <c r="H61" s="72"/>
    </row>
    <row r="62" spans="1:7" ht="15.75">
      <c r="A62" s="62"/>
      <c r="B62" s="62" t="s">
        <v>27</v>
      </c>
      <c r="C62" s="62"/>
      <c r="D62" s="78">
        <f>SUM(D60:D61)</f>
        <v>67380.11924409258</v>
      </c>
      <c r="E62" s="78">
        <f>SUM(E60:E61)</f>
        <v>67380.11924409258</v>
      </c>
      <c r="F62" s="78">
        <f>SUM(F60:F61)</f>
        <v>67380.11924409258</v>
      </c>
      <c r="G62" s="78">
        <f>SUM(G60:G61)</f>
        <v>67380.11924409258</v>
      </c>
    </row>
    <row r="63" spans="1:6" ht="15.75">
      <c r="A63" s="62"/>
      <c r="B63" s="62"/>
      <c r="C63" s="62"/>
      <c r="D63" s="70"/>
      <c r="E63" s="70"/>
      <c r="F63" s="63"/>
    </row>
    <row r="64" spans="1:7" ht="15.75">
      <c r="A64" s="62"/>
      <c r="B64" s="62" t="s">
        <v>28</v>
      </c>
      <c r="C64" s="62"/>
      <c r="D64" s="78"/>
      <c r="E64" s="78">
        <f>D67</f>
        <v>1684.5029811023146</v>
      </c>
      <c r="F64" s="78">
        <f>E67</f>
        <v>5053.508943306944</v>
      </c>
      <c r="G64" s="78">
        <f>F67</f>
        <v>8422.514905511573</v>
      </c>
    </row>
    <row r="65" spans="1:7" ht="15.75">
      <c r="A65" s="62"/>
      <c r="B65" s="68" t="s">
        <v>45</v>
      </c>
      <c r="C65" s="75">
        <v>20</v>
      </c>
      <c r="D65" s="74">
        <f>D61/$C65/2</f>
        <v>1684.5029811023146</v>
      </c>
      <c r="E65" s="74">
        <f>E61/$C65/2</f>
        <v>0</v>
      </c>
      <c r="F65" s="74">
        <f>F61/$C65/2</f>
        <v>0</v>
      </c>
      <c r="G65" s="74">
        <f>G61/$C65/2</f>
        <v>0</v>
      </c>
    </row>
    <row r="66" spans="1:7" ht="15.75">
      <c r="A66" s="62"/>
      <c r="B66" s="68" t="s">
        <v>46</v>
      </c>
      <c r="C66" s="75">
        <f>C65</f>
        <v>20</v>
      </c>
      <c r="D66" s="74">
        <f>D60/$C66</f>
        <v>0</v>
      </c>
      <c r="E66" s="74">
        <f>E60/$C66</f>
        <v>3369.005962204629</v>
      </c>
      <c r="F66" s="74">
        <f>F60/$C66</f>
        <v>3369.005962204629</v>
      </c>
      <c r="G66" s="74">
        <f>G60/$C66</f>
        <v>3369.005962204629</v>
      </c>
    </row>
    <row r="67" spans="1:7" ht="15.75">
      <c r="A67" s="62"/>
      <c r="B67" s="62" t="s">
        <v>29</v>
      </c>
      <c r="C67" s="62"/>
      <c r="D67" s="78">
        <f>SUM(D64:D66)</f>
        <v>1684.5029811023146</v>
      </c>
      <c r="E67" s="78">
        <f>SUM(E64:E66)</f>
        <v>5053.508943306944</v>
      </c>
      <c r="F67" s="78">
        <f>SUM(F64:F66)</f>
        <v>8422.514905511573</v>
      </c>
      <c r="G67" s="78">
        <f>SUM(G64:G66)</f>
        <v>11791.5208677162</v>
      </c>
    </row>
    <row r="68" spans="1:7" ht="15.75">
      <c r="A68" s="62"/>
      <c r="B68" s="62"/>
      <c r="C68" s="62"/>
      <c r="F68" s="63"/>
      <c r="G68" s="63"/>
    </row>
    <row r="69" spans="1:7" ht="15.75">
      <c r="A69" s="62"/>
      <c r="B69" s="62" t="s">
        <v>30</v>
      </c>
      <c r="C69" s="62"/>
      <c r="D69" s="63">
        <f>D60-D64</f>
        <v>0</v>
      </c>
      <c r="E69" s="63">
        <f>E60-E64</f>
        <v>65695.61626299027</v>
      </c>
      <c r="F69" s="63">
        <f>F60-F64</f>
        <v>62326.610300785636</v>
      </c>
      <c r="G69" s="63">
        <f>G60-G64</f>
        <v>58957.604338581004</v>
      </c>
    </row>
    <row r="70" spans="1:7" ht="15.75">
      <c r="A70" s="62"/>
      <c r="B70" s="62" t="s">
        <v>31</v>
      </c>
      <c r="C70" s="62"/>
      <c r="D70" s="78">
        <f>D62-D67</f>
        <v>65695.61626299027</v>
      </c>
      <c r="E70" s="78">
        <f>E62-E67</f>
        <v>62326.610300785636</v>
      </c>
      <c r="F70" s="78">
        <f>F62-F67</f>
        <v>58957.604338581004</v>
      </c>
      <c r="G70" s="78">
        <f>G62-G67</f>
        <v>55588.59837637638</v>
      </c>
    </row>
    <row r="71" spans="1:7" ht="16.5" thickBot="1">
      <c r="A71" s="62"/>
      <c r="B71" s="62" t="s">
        <v>32</v>
      </c>
      <c r="C71" s="62"/>
      <c r="D71" s="79">
        <f>SUM(D69:D70)/2</f>
        <v>32847.808131495134</v>
      </c>
      <c r="E71" s="79">
        <f>SUM(E69:E70)/2</f>
        <v>64011.113281887956</v>
      </c>
      <c r="F71" s="79">
        <f>SUM(F69:F70)/2</f>
        <v>60642.10731968332</v>
      </c>
      <c r="G71" s="79">
        <f>SUM(G69:G70)/2</f>
        <v>57273.10135747869</v>
      </c>
    </row>
    <row r="72" spans="1:6" ht="15.75">
      <c r="A72" s="62"/>
      <c r="B72" s="62"/>
      <c r="C72" s="62"/>
      <c r="D72" s="63"/>
      <c r="E72" s="63"/>
      <c r="F72" s="63"/>
    </row>
    <row r="73" spans="1:6" ht="15.75">
      <c r="A73" s="62"/>
      <c r="B73" s="62"/>
      <c r="C73" s="62"/>
      <c r="D73" s="63"/>
      <c r="E73" s="63"/>
      <c r="F73" s="63"/>
    </row>
    <row r="74" spans="1:7" ht="15.75">
      <c r="A74" s="62"/>
      <c r="B74" s="62"/>
      <c r="C74" s="62"/>
      <c r="D74" s="65">
        <v>2012</v>
      </c>
      <c r="E74" s="65">
        <v>2013</v>
      </c>
      <c r="F74" s="65">
        <v>2014</v>
      </c>
      <c r="G74" s="65">
        <v>2015</v>
      </c>
    </row>
    <row r="75" spans="1:6" ht="15.75">
      <c r="A75" s="62"/>
      <c r="B75" s="64" t="s">
        <v>78</v>
      </c>
      <c r="C75" s="64"/>
      <c r="D75" s="67"/>
      <c r="E75" s="67"/>
      <c r="F75" s="67"/>
    </row>
    <row r="76" spans="1:6" ht="15.75">
      <c r="A76" s="62"/>
      <c r="B76" s="62"/>
      <c r="C76" s="62"/>
      <c r="D76" s="63"/>
      <c r="E76" s="63"/>
      <c r="F76" s="63"/>
    </row>
    <row r="77" spans="1:7" ht="15.75">
      <c r="A77" s="62"/>
      <c r="B77" s="62" t="s">
        <v>26</v>
      </c>
      <c r="C77" s="62"/>
      <c r="D77" s="78"/>
      <c r="E77" s="78">
        <f>D79</f>
        <v>36734.83370697975</v>
      </c>
      <c r="F77" s="78">
        <f>E79</f>
        <v>36734.83370697975</v>
      </c>
      <c r="G77" s="78">
        <f>F79</f>
        <v>36734.83370697975</v>
      </c>
    </row>
    <row r="78" spans="1:8" ht="15.75">
      <c r="A78" s="62"/>
      <c r="B78" s="62" t="s">
        <v>44</v>
      </c>
      <c r="C78" s="62"/>
      <c r="D78" s="71">
        <f>+'Eligible amount&amp;Direct benefits'!F25</f>
        <v>36734.83370697975</v>
      </c>
      <c r="E78" s="71"/>
      <c r="F78" s="71"/>
      <c r="G78" s="71"/>
      <c r="H78" s="72"/>
    </row>
    <row r="79" spans="1:7" ht="15.75">
      <c r="A79" s="62"/>
      <c r="B79" s="62" t="s">
        <v>27</v>
      </c>
      <c r="C79" s="62"/>
      <c r="D79" s="78">
        <f>SUM(D77:D78)</f>
        <v>36734.83370697975</v>
      </c>
      <c r="E79" s="78">
        <f>SUM(E77:E78)</f>
        <v>36734.83370697975</v>
      </c>
      <c r="F79" s="78">
        <f>SUM(F77:F78)</f>
        <v>36734.83370697975</v>
      </c>
      <c r="G79" s="78">
        <f>SUM(G77:G78)</f>
        <v>36734.83370697975</v>
      </c>
    </row>
    <row r="80" spans="1:6" ht="15.75">
      <c r="A80" s="62"/>
      <c r="B80" s="62"/>
      <c r="C80" s="62"/>
      <c r="D80" s="70"/>
      <c r="E80" s="70"/>
      <c r="F80" s="63"/>
    </row>
    <row r="81" spans="1:7" ht="15.75">
      <c r="A81" s="62"/>
      <c r="B81" s="62" t="s">
        <v>28</v>
      </c>
      <c r="C81" s="62"/>
      <c r="D81" s="78"/>
      <c r="E81" s="78">
        <f>D84</f>
        <v>459.18542133724685</v>
      </c>
      <c r="F81" s="78">
        <f>E84</f>
        <v>1377.5562640117405</v>
      </c>
      <c r="G81" s="78">
        <f>F84</f>
        <v>2295.9271066862343</v>
      </c>
    </row>
    <row r="82" spans="1:7" ht="15.75">
      <c r="A82" s="62"/>
      <c r="B82" s="68" t="s">
        <v>45</v>
      </c>
      <c r="C82" s="75">
        <v>40</v>
      </c>
      <c r="D82" s="74">
        <f>D78/$C82/2</f>
        <v>459.18542133724685</v>
      </c>
      <c r="E82" s="74">
        <f>E78/$C82/2</f>
        <v>0</v>
      </c>
      <c r="F82" s="74">
        <f>F78/$C82/2</f>
        <v>0</v>
      </c>
      <c r="G82" s="74">
        <f>G78/$C82/2</f>
        <v>0</v>
      </c>
    </row>
    <row r="83" spans="1:7" ht="15.75">
      <c r="A83" s="62"/>
      <c r="B83" s="68" t="s">
        <v>46</v>
      </c>
      <c r="C83" s="75">
        <f>C82</f>
        <v>40</v>
      </c>
      <c r="D83" s="74">
        <f>D77/$C83</f>
        <v>0</v>
      </c>
      <c r="E83" s="74">
        <f>E77/$C83</f>
        <v>918.3708426744937</v>
      </c>
      <c r="F83" s="74">
        <f>F77/$C83</f>
        <v>918.3708426744937</v>
      </c>
      <c r="G83" s="74">
        <f>G77/$C83</f>
        <v>918.3708426744937</v>
      </c>
    </row>
    <row r="84" spans="1:7" ht="15.75">
      <c r="A84" s="62"/>
      <c r="B84" s="62" t="s">
        <v>29</v>
      </c>
      <c r="C84" s="62"/>
      <c r="D84" s="78">
        <f>SUM(D81:D83)</f>
        <v>459.18542133724685</v>
      </c>
      <c r="E84" s="78">
        <f>SUM(E81:E83)</f>
        <v>1377.5562640117405</v>
      </c>
      <c r="F84" s="78">
        <f>SUM(F81:F83)</f>
        <v>2295.9271066862343</v>
      </c>
      <c r="G84" s="78">
        <f>SUM(G81:G83)</f>
        <v>3214.297949360728</v>
      </c>
    </row>
    <row r="85" spans="1:7" ht="15.75">
      <c r="A85" s="62"/>
      <c r="B85" s="62"/>
      <c r="C85" s="62"/>
      <c r="F85" s="63"/>
      <c r="G85" s="63"/>
    </row>
    <row r="86" spans="1:7" ht="15.75">
      <c r="A86" s="62"/>
      <c r="B86" s="62" t="s">
        <v>30</v>
      </c>
      <c r="C86" s="62"/>
      <c r="D86" s="63">
        <f>D77-D81</f>
        <v>0</v>
      </c>
      <c r="E86" s="63">
        <f>E77-E81</f>
        <v>36275.6482856425</v>
      </c>
      <c r="F86" s="63">
        <f>F77-F81</f>
        <v>35357.27744296801</v>
      </c>
      <c r="G86" s="63">
        <f>G77-G81</f>
        <v>34438.906600293514</v>
      </c>
    </row>
    <row r="87" spans="1:7" ht="15.75">
      <c r="A87" s="62"/>
      <c r="B87" s="62" t="s">
        <v>31</v>
      </c>
      <c r="C87" s="62"/>
      <c r="D87" s="78">
        <f>D79-D84</f>
        <v>36275.6482856425</v>
      </c>
      <c r="E87" s="78">
        <f>E79-E84</f>
        <v>35357.27744296801</v>
      </c>
      <c r="F87" s="78">
        <f>F79-F84</f>
        <v>34438.906600293514</v>
      </c>
      <c r="G87" s="78">
        <f>G79-G84</f>
        <v>33520.53575761902</v>
      </c>
    </row>
    <row r="88" spans="1:7" ht="16.5" thickBot="1">
      <c r="A88" s="62"/>
      <c r="B88" s="62" t="s">
        <v>32</v>
      </c>
      <c r="C88" s="62"/>
      <c r="D88" s="79">
        <f>SUM(D86:D87)/2</f>
        <v>18137.82414282125</v>
      </c>
      <c r="E88" s="79">
        <f>SUM(E86:E87)/2</f>
        <v>35816.46286430526</v>
      </c>
      <c r="F88" s="79">
        <f>SUM(F86:F87)/2</f>
        <v>34898.09202163076</v>
      </c>
      <c r="G88" s="79">
        <f>SUM(G86:G87)/2</f>
        <v>33979.72117895627</v>
      </c>
    </row>
    <row r="89" spans="1:6" ht="15.75">
      <c r="A89" s="62"/>
      <c r="B89" s="62"/>
      <c r="C89" s="62"/>
      <c r="D89" s="63"/>
      <c r="E89" s="63"/>
      <c r="F89" s="63"/>
    </row>
    <row r="90" spans="1:6" ht="15.75">
      <c r="A90" s="62"/>
      <c r="B90" s="62"/>
      <c r="C90" s="62"/>
      <c r="D90" s="63"/>
      <c r="E90" s="63"/>
      <c r="F90" s="63"/>
    </row>
    <row r="91" spans="1:7" ht="15.75">
      <c r="A91" s="62"/>
      <c r="B91" s="62"/>
      <c r="C91" s="62"/>
      <c r="D91" s="65">
        <v>2012</v>
      </c>
      <c r="E91" s="65">
        <v>2013</v>
      </c>
      <c r="F91" s="65">
        <v>2014</v>
      </c>
      <c r="G91" s="65">
        <v>2015</v>
      </c>
    </row>
    <row r="92" spans="1:6" ht="15.75">
      <c r="A92" s="62"/>
      <c r="B92" s="64" t="s">
        <v>80</v>
      </c>
      <c r="C92" s="64"/>
      <c r="D92" s="67"/>
      <c r="E92" s="67"/>
      <c r="F92" s="67"/>
    </row>
    <row r="93" spans="1:6" ht="15.75">
      <c r="A93" s="62"/>
      <c r="B93" s="62"/>
      <c r="C93" s="62"/>
      <c r="D93" s="63"/>
      <c r="E93" s="63"/>
      <c r="F93" s="63"/>
    </row>
    <row r="94" spans="1:7" ht="15.75">
      <c r="A94" s="62"/>
      <c r="B94" s="62" t="s">
        <v>26</v>
      </c>
      <c r="C94" s="62"/>
      <c r="D94" s="78"/>
      <c r="E94" s="78">
        <f>D96</f>
        <v>122449.44568993252</v>
      </c>
      <c r="F94" s="78">
        <f>E96</f>
        <v>122449.44568993252</v>
      </c>
      <c r="G94" s="78">
        <f>F96</f>
        <v>122449.44568993252</v>
      </c>
    </row>
    <row r="95" spans="1:8" ht="15.75">
      <c r="A95" s="62"/>
      <c r="B95" s="62" t="s">
        <v>44</v>
      </c>
      <c r="C95" s="62"/>
      <c r="D95" s="71">
        <f>+'Eligible amount&amp;Direct benefits'!G25</f>
        <v>122449.44568993252</v>
      </c>
      <c r="E95" s="71"/>
      <c r="F95" s="71"/>
      <c r="G95" s="71"/>
      <c r="H95" s="72"/>
    </row>
    <row r="96" spans="1:7" ht="15.75">
      <c r="A96" s="62"/>
      <c r="B96" s="62" t="s">
        <v>27</v>
      </c>
      <c r="C96" s="62"/>
      <c r="D96" s="78">
        <f>SUM(D94:D95)</f>
        <v>122449.44568993252</v>
      </c>
      <c r="E96" s="78">
        <f>SUM(E94:E95)</f>
        <v>122449.44568993252</v>
      </c>
      <c r="F96" s="78">
        <f>SUM(F94:F95)</f>
        <v>122449.44568993252</v>
      </c>
      <c r="G96" s="78">
        <f>SUM(G94:G95)</f>
        <v>122449.44568993252</v>
      </c>
    </row>
    <row r="97" spans="1:6" ht="15.75">
      <c r="A97" s="62"/>
      <c r="B97" s="62"/>
      <c r="C97" s="62"/>
      <c r="D97" s="70"/>
      <c r="E97" s="70"/>
      <c r="F97" s="63"/>
    </row>
    <row r="98" spans="1:7" ht="15.75">
      <c r="A98" s="62"/>
      <c r="B98" s="62" t="s">
        <v>28</v>
      </c>
      <c r="C98" s="62"/>
      <c r="D98" s="78"/>
      <c r="E98" s="78">
        <f>D101</f>
        <v>1360.5493965548058</v>
      </c>
      <c r="F98" s="78">
        <f>E101</f>
        <v>4081.6481896644173</v>
      </c>
      <c r="G98" s="78">
        <f>F101</f>
        <v>6802.746982774029</v>
      </c>
    </row>
    <row r="99" spans="1:7" ht="15.75">
      <c r="A99" s="62"/>
      <c r="B99" s="68" t="s">
        <v>45</v>
      </c>
      <c r="C99" s="75">
        <v>45</v>
      </c>
      <c r="D99" s="74">
        <f>D95/$C99/2</f>
        <v>1360.5493965548058</v>
      </c>
      <c r="E99" s="74">
        <f>E95/$C99/2</f>
        <v>0</v>
      </c>
      <c r="F99" s="74">
        <f>F95/$C99/2</f>
        <v>0</v>
      </c>
      <c r="G99" s="74">
        <f>G95/$C99/2</f>
        <v>0</v>
      </c>
    </row>
    <row r="100" spans="1:7" ht="15.75">
      <c r="A100" s="62"/>
      <c r="B100" s="68" t="s">
        <v>46</v>
      </c>
      <c r="C100" s="75">
        <f>C99</f>
        <v>45</v>
      </c>
      <c r="D100" s="74">
        <f>D94/$C100</f>
        <v>0</v>
      </c>
      <c r="E100" s="74">
        <f>E94/$C100</f>
        <v>2721.0987931096115</v>
      </c>
      <c r="F100" s="74">
        <f>F94/$C100</f>
        <v>2721.0987931096115</v>
      </c>
      <c r="G100" s="74">
        <f>G94/$C100</f>
        <v>2721.0987931096115</v>
      </c>
    </row>
    <row r="101" spans="1:7" ht="15.75">
      <c r="A101" s="62"/>
      <c r="B101" s="62" t="s">
        <v>29</v>
      </c>
      <c r="C101" s="62"/>
      <c r="D101" s="78">
        <f>SUM(D98:D100)</f>
        <v>1360.5493965548058</v>
      </c>
      <c r="E101" s="78">
        <f>SUM(E98:E100)</f>
        <v>4081.6481896644173</v>
      </c>
      <c r="F101" s="78">
        <f>SUM(F98:F100)</f>
        <v>6802.746982774029</v>
      </c>
      <c r="G101" s="78">
        <f>SUM(G98:G100)</f>
        <v>9523.845775883641</v>
      </c>
    </row>
    <row r="102" spans="1:7" ht="15.75">
      <c r="A102" s="62"/>
      <c r="B102" s="62"/>
      <c r="C102" s="62"/>
      <c r="F102" s="63"/>
      <c r="G102" s="63"/>
    </row>
    <row r="103" spans="1:7" ht="15.75">
      <c r="A103" s="62"/>
      <c r="B103" s="62" t="s">
        <v>30</v>
      </c>
      <c r="C103" s="62"/>
      <c r="D103" s="63">
        <f>D94-D98</f>
        <v>0</v>
      </c>
      <c r="E103" s="63">
        <f>E94-E98</f>
        <v>121088.89629337771</v>
      </c>
      <c r="F103" s="63">
        <f>F94-F98</f>
        <v>118367.7975002681</v>
      </c>
      <c r="G103" s="63">
        <f>G94-G98</f>
        <v>115646.69870715849</v>
      </c>
    </row>
    <row r="104" spans="1:7" ht="15.75">
      <c r="A104" s="62"/>
      <c r="B104" s="62" t="s">
        <v>31</v>
      </c>
      <c r="C104" s="62"/>
      <c r="D104" s="78">
        <f>D96-D101</f>
        <v>121088.89629337771</v>
      </c>
      <c r="E104" s="78">
        <f>E96-E101</f>
        <v>118367.7975002681</v>
      </c>
      <c r="F104" s="78">
        <f>F96-F101</f>
        <v>115646.69870715849</v>
      </c>
      <c r="G104" s="78">
        <f>G96-G101</f>
        <v>112925.59991404887</v>
      </c>
    </row>
    <row r="105" spans="1:7" ht="16.5" thickBot="1">
      <c r="A105" s="62"/>
      <c r="B105" s="62" t="s">
        <v>32</v>
      </c>
      <c r="C105" s="62"/>
      <c r="D105" s="79">
        <f>SUM(D103:D104)/2</f>
        <v>60544.448146688854</v>
      </c>
      <c r="E105" s="79">
        <f>SUM(E103:E104)/2</f>
        <v>119728.34689682291</v>
      </c>
      <c r="F105" s="79">
        <f>SUM(F103:F104)/2</f>
        <v>117007.2481037133</v>
      </c>
      <c r="G105" s="79">
        <f>SUM(G103:G104)/2</f>
        <v>114286.14931060368</v>
      </c>
    </row>
    <row r="106" spans="1:7" ht="15.75">
      <c r="A106" s="62"/>
      <c r="B106" s="62"/>
      <c r="C106" s="62"/>
      <c r="D106" s="70"/>
      <c r="E106" s="70"/>
      <c r="F106" s="70"/>
      <c r="G106" s="70"/>
    </row>
    <row r="107" spans="1:7" ht="15.75">
      <c r="A107" s="62"/>
      <c r="B107" s="62" t="s">
        <v>56</v>
      </c>
      <c r="C107" s="62"/>
      <c r="D107" s="70"/>
      <c r="E107" s="70"/>
      <c r="F107" s="70"/>
      <c r="G107" s="70"/>
    </row>
    <row r="108" spans="1:7" ht="15.75">
      <c r="A108" s="62"/>
      <c r="B108" s="62" t="s">
        <v>81</v>
      </c>
      <c r="C108" s="62"/>
      <c r="D108" s="70">
        <f>+D10+D27+D44+D61+D78+D95</f>
        <v>603949.0599999999</v>
      </c>
      <c r="E108" s="70">
        <f>+E10+E27+E44+E61+E78+E95</f>
        <v>0</v>
      </c>
      <c r="F108" s="70">
        <f>+F10+F27+F44+F61+F78+F95</f>
        <v>0</v>
      </c>
      <c r="G108" s="70">
        <f>+G10+G27+G44+G61+G78+G95</f>
        <v>0</v>
      </c>
    </row>
    <row r="109" spans="1:7" ht="15.75">
      <c r="A109" s="62"/>
      <c r="B109" s="64" t="s">
        <v>32</v>
      </c>
      <c r="C109" s="64"/>
      <c r="D109" s="80">
        <f>D20+D37+D54+D71+D88+D105</f>
        <v>295263.9524439463</v>
      </c>
      <c r="E109" s="80">
        <f>E20+E37+E54+E71+E88+E105</f>
        <v>577106.7497757854</v>
      </c>
      <c r="F109" s="80">
        <f>F20+F37+F54+F71+F88+F105</f>
        <v>550264.4395515708</v>
      </c>
      <c r="G109" s="80">
        <f>G20+G37+G54+G71+G88+G105</f>
        <v>523422.12932735635</v>
      </c>
    </row>
    <row r="110" spans="1:7" ht="15.75">
      <c r="A110" s="62"/>
      <c r="B110" s="64" t="s">
        <v>59</v>
      </c>
      <c r="C110" s="64"/>
      <c r="D110" s="80">
        <f>SUM(D99:D100,D82:D83,D65:D66,D48:D49,D31:D32,D14:D15)</f>
        <v>13421.155112107264</v>
      </c>
      <c r="E110" s="80">
        <f>SUM(E99:E100,E82:E83,E65:E66,E48:E49,E31:E32,E14:E15)</f>
        <v>26842.31022421453</v>
      </c>
      <c r="F110" s="80">
        <f>SUM(F99:F100,F82:F83,F65:F66,F48:F49,F31:F32,F14:F15)</f>
        <v>26842.31022421453</v>
      </c>
      <c r="G110" s="80">
        <f>SUM(G99:G100,G82:G83,G65:G66,G48:G49,G31:G32,G14:G15)</f>
        <v>26842.31022421453</v>
      </c>
    </row>
    <row r="111" spans="1:6" ht="15.75">
      <c r="A111" s="62"/>
      <c r="B111" s="64" t="s">
        <v>33</v>
      </c>
      <c r="C111" s="64"/>
      <c r="D111" s="63"/>
      <c r="E111" s="63"/>
      <c r="F111" s="63"/>
    </row>
    <row r="112" spans="1:6" ht="15.75">
      <c r="A112" s="62"/>
      <c r="B112" s="62"/>
      <c r="C112" s="62"/>
      <c r="D112" s="63"/>
      <c r="E112" s="63"/>
      <c r="F112" s="63"/>
    </row>
    <row r="113" spans="1:7" ht="15.75">
      <c r="A113" s="62"/>
      <c r="B113" s="64" t="s">
        <v>57</v>
      </c>
      <c r="C113" s="64"/>
      <c r="D113" s="65">
        <v>2012</v>
      </c>
      <c r="E113" s="65">
        <v>2013</v>
      </c>
      <c r="F113" s="65">
        <v>2014</v>
      </c>
      <c r="G113" s="65">
        <v>2015</v>
      </c>
    </row>
    <row r="114" spans="1:7" ht="15.75">
      <c r="A114" s="62"/>
      <c r="B114" s="62"/>
      <c r="C114" s="62"/>
      <c r="D114" s="67"/>
      <c r="E114" s="67"/>
      <c r="F114" s="67"/>
      <c r="G114" s="67"/>
    </row>
    <row r="115" spans="1:7" ht="15.75">
      <c r="A115" s="62"/>
      <c r="B115" s="62"/>
      <c r="C115" s="62"/>
      <c r="D115" s="63"/>
      <c r="E115" s="63"/>
      <c r="F115" s="63"/>
      <c r="G115" s="63"/>
    </row>
    <row r="116" spans="1:7" ht="15.75">
      <c r="A116" s="62"/>
      <c r="B116" s="62" t="s">
        <v>34</v>
      </c>
      <c r="C116" s="62"/>
      <c r="D116" s="78"/>
      <c r="E116" s="78">
        <f>D124</f>
        <v>549951.1594893963</v>
      </c>
      <c r="F116" s="78">
        <f>E124</f>
        <v>505955.06673024455</v>
      </c>
      <c r="G116" s="78">
        <f>F124</f>
        <v>465478.661391825</v>
      </c>
    </row>
    <row r="117" spans="1:7" ht="15.75">
      <c r="A117" s="62"/>
      <c r="B117" s="62" t="s">
        <v>35</v>
      </c>
      <c r="C117" s="62"/>
      <c r="D117" s="63">
        <f>+D108-D134</f>
        <v>572865.7911347877</v>
      </c>
      <c r="E117" s="63"/>
      <c r="F117" s="63"/>
      <c r="G117" s="63"/>
    </row>
    <row r="118" spans="1:7" ht="15.75">
      <c r="A118" s="62"/>
      <c r="B118" s="62" t="s">
        <v>36</v>
      </c>
      <c r="C118" s="62"/>
      <c r="D118" s="78">
        <f>SUM(D116:D117)</f>
        <v>572865.7911347877</v>
      </c>
      <c r="E118" s="78">
        <f>SUM(E116:E117)</f>
        <v>549951.1594893963</v>
      </c>
      <c r="F118" s="78">
        <f>SUM(F116:F117)</f>
        <v>505955.06673024455</v>
      </c>
      <c r="G118" s="78">
        <f>SUM(G116:G117)</f>
        <v>465478.661391825</v>
      </c>
    </row>
    <row r="119" spans="1:7" ht="15.75">
      <c r="A119" s="62"/>
      <c r="B119" s="62" t="s">
        <v>37</v>
      </c>
      <c r="C119" s="62"/>
      <c r="D119" s="63">
        <f>D117/2</f>
        <v>286432.89556739386</v>
      </c>
      <c r="E119" s="63">
        <f>E117/2</f>
        <v>0</v>
      </c>
      <c r="F119" s="63">
        <f>F117/2</f>
        <v>0</v>
      </c>
      <c r="G119" s="63">
        <f>G117/2</f>
        <v>0</v>
      </c>
    </row>
    <row r="120" spans="1:7" ht="15.75">
      <c r="A120" s="62"/>
      <c r="B120" s="62" t="s">
        <v>38</v>
      </c>
      <c r="C120" s="62"/>
      <c r="D120" s="78">
        <f>D118-D119</f>
        <v>286432.89556739386</v>
      </c>
      <c r="E120" s="78">
        <f>E118-E119</f>
        <v>549951.1594893963</v>
      </c>
      <c r="F120" s="78">
        <f>F118-F119</f>
        <v>505955.06673024455</v>
      </c>
      <c r="G120" s="78">
        <f>G118-G119</f>
        <v>465478.661391825</v>
      </c>
    </row>
    <row r="121" spans="1:7" ht="15.75">
      <c r="A121" s="62"/>
      <c r="B121" s="62" t="s">
        <v>41</v>
      </c>
      <c r="C121" s="81">
        <v>47</v>
      </c>
      <c r="D121" s="66"/>
      <c r="E121" s="66"/>
      <c r="F121" s="66"/>
      <c r="G121" s="66"/>
    </row>
    <row r="122" spans="1:7" ht="15.75">
      <c r="A122" s="62"/>
      <c r="B122" s="62" t="s">
        <v>42</v>
      </c>
      <c r="C122" s="82">
        <v>0.08</v>
      </c>
      <c r="D122" s="83">
        <f>$C$122</f>
        <v>0.08</v>
      </c>
      <c r="E122" s="83">
        <f>$C$122</f>
        <v>0.08</v>
      </c>
      <c r="F122" s="83">
        <f>$C$122</f>
        <v>0.08</v>
      </c>
      <c r="G122" s="83">
        <f>$C$122</f>
        <v>0.08</v>
      </c>
    </row>
    <row r="123" spans="1:7" ht="15.75">
      <c r="A123" s="62"/>
      <c r="B123" s="62" t="s">
        <v>39</v>
      </c>
      <c r="C123" s="62"/>
      <c r="D123" s="78">
        <f>D120*$C$122</f>
        <v>22914.63164539151</v>
      </c>
      <c r="E123" s="78">
        <f>E120*$C$122</f>
        <v>43996.0927591517</v>
      </c>
      <c r="F123" s="78">
        <f>F120*$C$122</f>
        <v>40476.405338419565</v>
      </c>
      <c r="G123" s="78">
        <f>G120*$C$122</f>
        <v>37238.292911346005</v>
      </c>
    </row>
    <row r="124" spans="1:7" ht="16.5" thickBot="1">
      <c r="A124" s="62"/>
      <c r="B124" s="62" t="s">
        <v>40</v>
      </c>
      <c r="C124" s="62"/>
      <c r="D124" s="79">
        <f>D118-D123</f>
        <v>549951.1594893963</v>
      </c>
      <c r="E124" s="79">
        <f>E118-E123</f>
        <v>505955.06673024455</v>
      </c>
      <c r="F124" s="79">
        <f>F118-F123</f>
        <v>465478.661391825</v>
      </c>
      <c r="G124" s="79">
        <f>G118-G123</f>
        <v>428240.368480479</v>
      </c>
    </row>
    <row r="125" spans="1:6" ht="15.75">
      <c r="A125" s="62"/>
      <c r="B125" s="62"/>
      <c r="C125" s="62"/>
      <c r="D125" s="63"/>
      <c r="E125" s="63"/>
      <c r="F125" s="63"/>
    </row>
    <row r="130" spans="2:7" ht="15.75">
      <c r="B130" s="64" t="s">
        <v>58</v>
      </c>
      <c r="C130" s="64"/>
      <c r="D130" s="65">
        <v>2012</v>
      </c>
      <c r="E130" s="65">
        <v>2013</v>
      </c>
      <c r="F130" s="65">
        <v>2014</v>
      </c>
      <c r="G130" s="65">
        <v>2015</v>
      </c>
    </row>
    <row r="131" spans="2:7" ht="15.75">
      <c r="B131" s="62"/>
      <c r="C131" s="62"/>
      <c r="D131" s="67"/>
      <c r="E131" s="67"/>
      <c r="F131" s="67"/>
      <c r="G131" s="67"/>
    </row>
    <row r="132" spans="2:7" ht="15.75">
      <c r="B132" s="62"/>
      <c r="C132" s="62"/>
      <c r="D132" s="63"/>
      <c r="E132" s="63"/>
      <c r="F132" s="63"/>
      <c r="G132" s="63"/>
    </row>
    <row r="133" spans="2:7" ht="15.75">
      <c r="B133" s="62" t="s">
        <v>34</v>
      </c>
      <c r="C133" s="62"/>
      <c r="D133" s="78"/>
      <c r="E133" s="78">
        <f>D141</f>
        <v>15541.634432606119</v>
      </c>
      <c r="F133" s="78">
        <f>E141</f>
        <v>0</v>
      </c>
      <c r="G133" s="78">
        <f>F141</f>
        <v>0</v>
      </c>
    </row>
    <row r="134" spans="2:7" ht="15.75">
      <c r="B134" s="62" t="s">
        <v>35</v>
      </c>
      <c r="C134" s="62"/>
      <c r="D134" s="63">
        <f>+D27</f>
        <v>31083.268865212238</v>
      </c>
      <c r="E134" s="63"/>
      <c r="F134" s="63"/>
      <c r="G134" s="63"/>
    </row>
    <row r="135" spans="2:7" ht="15.75">
      <c r="B135" s="62" t="s">
        <v>36</v>
      </c>
      <c r="C135" s="62"/>
      <c r="D135" s="78">
        <f>SUM(D133:D134)</f>
        <v>31083.268865212238</v>
      </c>
      <c r="E135" s="78">
        <f>SUM(E133:E134)</f>
        <v>15541.634432606119</v>
      </c>
      <c r="F135" s="78">
        <f>SUM(F133:F134)</f>
        <v>0</v>
      </c>
      <c r="G135" s="78">
        <f>SUM(G133:G134)</f>
        <v>0</v>
      </c>
    </row>
    <row r="136" spans="2:7" ht="15.75">
      <c r="B136" s="62" t="s">
        <v>37</v>
      </c>
      <c r="C136" s="62"/>
      <c r="D136" s="63">
        <f>D134/2</f>
        <v>15541.634432606119</v>
      </c>
      <c r="E136" s="63">
        <f>E134/2</f>
        <v>0</v>
      </c>
      <c r="F136" s="63">
        <f>F134/2</f>
        <v>0</v>
      </c>
      <c r="G136" s="63">
        <f>G134/2</f>
        <v>0</v>
      </c>
    </row>
    <row r="137" spans="2:7" ht="15.75">
      <c r="B137" s="62" t="s">
        <v>38</v>
      </c>
      <c r="C137" s="62"/>
      <c r="D137" s="78">
        <f>D135-D136</f>
        <v>15541.634432606119</v>
      </c>
      <c r="E137" s="78">
        <f>E135-E136</f>
        <v>15541.634432606119</v>
      </c>
      <c r="F137" s="78">
        <f>F135-F136</f>
        <v>0</v>
      </c>
      <c r="G137" s="78">
        <f>G135-G136</f>
        <v>0</v>
      </c>
    </row>
    <row r="138" spans="2:7" ht="15.75">
      <c r="B138" s="62" t="s">
        <v>41</v>
      </c>
      <c r="C138" s="81">
        <v>12</v>
      </c>
      <c r="D138" s="66"/>
      <c r="E138" s="66"/>
      <c r="F138" s="66"/>
      <c r="G138" s="66"/>
    </row>
    <row r="139" spans="2:7" ht="15.75">
      <c r="B139" s="62" t="s">
        <v>42</v>
      </c>
      <c r="C139" s="82">
        <v>1</v>
      </c>
      <c r="D139" s="83">
        <f>$C$139</f>
        <v>1</v>
      </c>
      <c r="E139" s="83">
        <f>$C$139</f>
        <v>1</v>
      </c>
      <c r="F139" s="83">
        <f>$C$139</f>
        <v>1</v>
      </c>
      <c r="G139" s="83">
        <f>$C$139</f>
        <v>1</v>
      </c>
    </row>
    <row r="140" spans="2:7" ht="15.75">
      <c r="B140" s="62" t="s">
        <v>39</v>
      </c>
      <c r="C140" s="62"/>
      <c r="D140" s="78">
        <f>D137*$C$139</f>
        <v>15541.634432606119</v>
      </c>
      <c r="E140" s="78">
        <f>E137*$C$139</f>
        <v>15541.634432606119</v>
      </c>
      <c r="F140" s="78">
        <f>F137*$C$139</f>
        <v>0</v>
      </c>
      <c r="G140" s="78">
        <f>G137*$C$139</f>
        <v>0</v>
      </c>
    </row>
    <row r="141" spans="2:7" ht="16.5" thickBot="1">
      <c r="B141" s="62" t="s">
        <v>40</v>
      </c>
      <c r="C141" s="62"/>
      <c r="D141" s="79">
        <f>D135-D140</f>
        <v>15541.634432606119</v>
      </c>
      <c r="E141" s="79">
        <f>E135-E140</f>
        <v>0</v>
      </c>
      <c r="F141" s="79">
        <f>F135-F140</f>
        <v>0</v>
      </c>
      <c r="G141" s="79">
        <f>G135-G140</f>
        <v>0</v>
      </c>
    </row>
    <row r="142" spans="2:6" ht="15.75">
      <c r="B142" s="62"/>
      <c r="C142" s="62"/>
      <c r="D142" s="63"/>
      <c r="E142" s="63"/>
      <c r="F142" s="63"/>
    </row>
  </sheetData>
  <sheetProtection formatColumns="0" selectLockedCells="1"/>
  <printOptions/>
  <pageMargins left="0.75" right="0.75" top="1" bottom="0.75" header="0.5" footer="0.5"/>
  <pageSetup fitToHeight="2" horizontalDpi="600" verticalDpi="600" orientation="portrait" scale="59" r:id="rId1"/>
  <headerFooter alignWithMargins="0">
    <oddFooter>&amp;R&amp;A</oddFooter>
  </headerFooter>
  <rowBreaks count="1" manualBreakCount="1"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2"/>
  <sheetViews>
    <sheetView view="pageBreakPreview" zoomScale="60" zoomScalePageLayoutView="0" workbookViewId="0" topLeftCell="A1">
      <selection activeCell="C1" sqref="C1:I16384"/>
    </sheetView>
  </sheetViews>
  <sheetFormatPr defaultColWidth="8.88671875" defaultRowHeight="15"/>
  <cols>
    <col min="1" max="1" width="4.3359375" style="51" customWidth="1"/>
    <col min="2" max="2" width="30.10546875" style="51" customWidth="1"/>
    <col min="3" max="9" width="14.4453125" style="51" customWidth="1"/>
    <col min="10" max="10" width="7.99609375" style="51" customWidth="1"/>
    <col min="11" max="11" width="8.21484375" style="51" customWidth="1"/>
    <col min="12" max="12" width="7.99609375" style="51" customWidth="1"/>
    <col min="13" max="13" width="8.6640625" style="51" customWidth="1"/>
    <col min="14" max="14" width="9.77734375" style="51" customWidth="1"/>
    <col min="15" max="15" width="10.3359375" style="51" customWidth="1"/>
    <col min="16" max="16" width="8.99609375" style="51" customWidth="1"/>
    <col min="17" max="17" width="8.77734375" style="51" customWidth="1"/>
    <col min="18" max="18" width="8.99609375" style="51" customWidth="1"/>
    <col min="19" max="19" width="8.77734375" style="51" customWidth="1"/>
    <col min="20" max="20" width="11.21484375" style="51" customWidth="1"/>
    <col min="21" max="21" width="7.99609375" style="51" customWidth="1"/>
    <col min="22" max="22" width="8.88671875" style="51" customWidth="1"/>
    <col min="23" max="23" width="34.6640625" style="50" customWidth="1"/>
    <col min="24" max="24" width="8.10546875" style="50" bestFit="1" customWidth="1"/>
    <col min="25" max="25" width="8.99609375" style="50" bestFit="1" customWidth="1"/>
    <col min="26" max="26" width="9.88671875" style="50" bestFit="1" customWidth="1"/>
    <col min="27" max="27" width="7.99609375" style="50" bestFit="1" customWidth="1"/>
    <col min="28" max="28" width="9.10546875" style="50" bestFit="1" customWidth="1"/>
    <col min="29" max="29" width="8.88671875" style="50" bestFit="1" customWidth="1"/>
    <col min="30" max="30" width="9.10546875" style="50" bestFit="1" customWidth="1"/>
    <col min="31" max="31" width="8.88671875" style="50" bestFit="1" customWidth="1"/>
    <col min="32" max="32" width="11.4453125" style="50" bestFit="1" customWidth="1"/>
    <col min="33" max="39" width="8.88671875" style="50" customWidth="1"/>
    <col min="40" max="16384" width="8.88671875" style="51" customWidth="1"/>
  </cols>
  <sheetData>
    <row r="1" ht="18.75">
      <c r="B1" s="86" t="s">
        <v>55</v>
      </c>
    </row>
    <row r="2" ht="18.75">
      <c r="B2" s="86" t="s">
        <v>66</v>
      </c>
    </row>
    <row r="3" ht="18.75">
      <c r="B3" s="86" t="s">
        <v>65</v>
      </c>
    </row>
    <row r="4" spans="25:32" ht="15.75">
      <c r="Y4" s="52"/>
      <c r="Z4" s="52"/>
      <c r="AA4" s="52"/>
      <c r="AB4" s="52"/>
      <c r="AC4" s="52"/>
      <c r="AD4" s="52"/>
      <c r="AE4" s="52"/>
      <c r="AF4" s="52"/>
    </row>
    <row r="5" spans="2:32" ht="16.5">
      <c r="B5" s="96" t="s">
        <v>68</v>
      </c>
      <c r="C5" s="97"/>
      <c r="D5" s="97"/>
      <c r="E5" s="97"/>
      <c r="F5" s="97"/>
      <c r="G5" s="97"/>
      <c r="H5" s="97"/>
      <c r="I5" s="97"/>
      <c r="Y5" s="52"/>
      <c r="Z5" s="52"/>
      <c r="AA5" s="52"/>
      <c r="AB5" s="52"/>
      <c r="AC5" s="52"/>
      <c r="AD5" s="52"/>
      <c r="AE5" s="52"/>
      <c r="AF5" s="52"/>
    </row>
    <row r="6" spans="2:32" ht="33.75" thickBot="1">
      <c r="B6" s="116"/>
      <c r="C6" s="116"/>
      <c r="D6" s="117" t="s">
        <v>67</v>
      </c>
      <c r="E6" s="117" t="s">
        <v>82</v>
      </c>
      <c r="F6" s="117" t="s">
        <v>83</v>
      </c>
      <c r="G6" s="98"/>
      <c r="H6" s="98"/>
      <c r="I6" s="98"/>
      <c r="W6" s="53"/>
      <c r="X6" s="54"/>
      <c r="Y6" s="54"/>
      <c r="Z6" s="54"/>
      <c r="AA6" s="54"/>
      <c r="AB6" s="54"/>
      <c r="AC6" s="54"/>
      <c r="AD6" s="54"/>
      <c r="AE6" s="52"/>
      <c r="AF6" s="52"/>
    </row>
    <row r="7" spans="2:32" ht="16.5">
      <c r="B7" s="113" t="s">
        <v>52</v>
      </c>
      <c r="C7" s="99"/>
      <c r="D7" s="99"/>
      <c r="E7" s="114">
        <v>0.06</v>
      </c>
      <c r="F7" s="115"/>
      <c r="G7" s="98"/>
      <c r="H7" s="98"/>
      <c r="I7" s="98"/>
      <c r="W7" s="53"/>
      <c r="X7" s="49"/>
      <c r="Y7" s="49"/>
      <c r="Z7" s="49"/>
      <c r="AA7" s="49"/>
      <c r="AB7" s="49"/>
      <c r="AC7" s="49"/>
      <c r="AD7" s="49"/>
      <c r="AE7" s="52"/>
      <c r="AF7" s="52"/>
    </row>
    <row r="8" spans="2:32" ht="16.5">
      <c r="B8" s="110" t="s">
        <v>50</v>
      </c>
      <c r="C8" s="100"/>
      <c r="D8" s="101">
        <v>254459</v>
      </c>
      <c r="E8" s="102">
        <f>+D8*$E$7</f>
        <v>15267.539999999999</v>
      </c>
      <c r="F8" s="109">
        <f>+D8-E8</f>
        <v>239191.46</v>
      </c>
      <c r="G8" s="98"/>
      <c r="H8" s="98"/>
      <c r="I8" s="98"/>
      <c r="W8" s="55"/>
      <c r="X8" s="49"/>
      <c r="Y8" s="56"/>
      <c r="Z8" s="56"/>
      <c r="AA8" s="56"/>
      <c r="AB8" s="56"/>
      <c r="AC8" s="57"/>
      <c r="AD8" s="57"/>
      <c r="AE8" s="52"/>
      <c r="AF8" s="52"/>
    </row>
    <row r="9" spans="2:32" ht="16.5">
      <c r="B9" s="110" t="s">
        <v>51</v>
      </c>
      <c r="C9" s="100"/>
      <c r="D9" s="101">
        <v>33067</v>
      </c>
      <c r="E9" s="102">
        <f>+D9*$E$7</f>
        <v>1984.02</v>
      </c>
      <c r="F9" s="109">
        <f>+D9-E9</f>
        <v>31082.98</v>
      </c>
      <c r="G9" s="98"/>
      <c r="H9" s="98"/>
      <c r="I9" s="98"/>
      <c r="W9" s="55"/>
      <c r="X9" s="49"/>
      <c r="Y9" s="56"/>
      <c r="Z9" s="56"/>
      <c r="AA9" s="56"/>
      <c r="AB9" s="56"/>
      <c r="AC9" s="57"/>
      <c r="AD9" s="57"/>
      <c r="AE9" s="52"/>
      <c r="AF9" s="52"/>
    </row>
    <row r="10" spans="2:32" ht="16.5">
      <c r="B10" s="100" t="s">
        <v>53</v>
      </c>
      <c r="C10" s="100"/>
      <c r="D10" s="101">
        <v>354973</v>
      </c>
      <c r="E10" s="102">
        <f>+D10*$E$7</f>
        <v>21298.38</v>
      </c>
      <c r="F10" s="109">
        <f>+D10-E10</f>
        <v>333674.62</v>
      </c>
      <c r="G10" s="98"/>
      <c r="H10" s="98"/>
      <c r="I10" s="98"/>
      <c r="W10" s="49"/>
      <c r="X10" s="49"/>
      <c r="Y10" s="56"/>
      <c r="Z10" s="56"/>
      <c r="AA10" s="56"/>
      <c r="AB10" s="56"/>
      <c r="AC10" s="57"/>
      <c r="AD10" s="56"/>
      <c r="AE10" s="52"/>
      <c r="AF10" s="52"/>
    </row>
    <row r="11" spans="2:32" ht="16.5">
      <c r="B11" s="122" t="s">
        <v>54</v>
      </c>
      <c r="C11" s="103"/>
      <c r="D11" s="104">
        <f>SUM(D8:D10)</f>
        <v>642499</v>
      </c>
      <c r="E11" s="104">
        <f>SUM(E8:E10)</f>
        <v>38549.94</v>
      </c>
      <c r="F11" s="104">
        <f>SUM(F8:F10)</f>
        <v>603949.06</v>
      </c>
      <c r="G11" s="98"/>
      <c r="H11" s="98"/>
      <c r="I11" s="98"/>
      <c r="W11" s="55"/>
      <c r="X11" s="49"/>
      <c r="Y11" s="56"/>
      <c r="Z11" s="56"/>
      <c r="AA11" s="56"/>
      <c r="AB11" s="56"/>
      <c r="AC11" s="57"/>
      <c r="AD11" s="56"/>
      <c r="AE11" s="52"/>
      <c r="AF11" s="52"/>
    </row>
    <row r="12" spans="2:32" ht="15.75" customHeight="1">
      <c r="B12" s="98"/>
      <c r="C12" s="98"/>
      <c r="D12" s="98"/>
      <c r="E12" s="98"/>
      <c r="F12" s="98"/>
      <c r="G12" s="98"/>
      <c r="H12" s="98"/>
      <c r="I12" s="98"/>
      <c r="W12" s="58"/>
      <c r="X12" s="53"/>
      <c r="Y12" s="59"/>
      <c r="Z12" s="59"/>
      <c r="AA12" s="59"/>
      <c r="AB12" s="59"/>
      <c r="AC12" s="59"/>
      <c r="AD12" s="59"/>
      <c r="AE12" s="52"/>
      <c r="AF12" s="52"/>
    </row>
    <row r="13" spans="2:32" ht="16.5">
      <c r="B13" s="105" t="s">
        <v>75</v>
      </c>
      <c r="C13" s="98"/>
      <c r="D13" s="98"/>
      <c r="E13" s="98"/>
      <c r="F13" s="98"/>
      <c r="G13" s="98"/>
      <c r="H13" s="98"/>
      <c r="I13" s="98"/>
      <c r="W13" s="58"/>
      <c r="X13" s="53"/>
      <c r="Y13" s="60"/>
      <c r="Z13" s="60"/>
      <c r="AA13" s="60"/>
      <c r="AB13" s="60"/>
      <c r="AC13" s="60"/>
      <c r="AD13" s="60"/>
      <c r="AE13" s="52"/>
      <c r="AF13" s="52"/>
    </row>
    <row r="14" spans="2:9" ht="17.25" thickBot="1">
      <c r="B14" s="120" t="s">
        <v>71</v>
      </c>
      <c r="C14" s="121">
        <v>1818</v>
      </c>
      <c r="D14" s="121">
        <v>1981</v>
      </c>
      <c r="E14" s="121">
        <v>1822</v>
      </c>
      <c r="F14" s="121">
        <v>1821</v>
      </c>
      <c r="G14" s="121">
        <v>1845</v>
      </c>
      <c r="H14" s="121">
        <v>1925</v>
      </c>
      <c r="I14" s="121" t="s">
        <v>49</v>
      </c>
    </row>
    <row r="15" spans="2:9" ht="16.5">
      <c r="B15" s="118" t="s">
        <v>72</v>
      </c>
      <c r="C15" s="119">
        <v>95829.09579122675</v>
      </c>
      <c r="D15" s="119">
        <v>86948.49185305943</v>
      </c>
      <c r="E15" s="119">
        <v>71680.97791924742</v>
      </c>
      <c r="F15" s="119">
        <v>0</v>
      </c>
      <c r="G15" s="119">
        <v>0</v>
      </c>
      <c r="H15" s="119">
        <v>0</v>
      </c>
      <c r="I15" s="119">
        <f>SUM(C15:H15)</f>
        <v>254458.56556353357</v>
      </c>
    </row>
    <row r="16" spans="2:9" ht="16.5">
      <c r="B16" s="100" t="s">
        <v>53</v>
      </c>
      <c r="C16" s="107">
        <v>185628.1490512275</v>
      </c>
      <c r="D16" s="107">
        <v>0</v>
      </c>
      <c r="E16" s="107">
        <v>0</v>
      </c>
      <c r="F16" s="107">
        <v>39079.610326574206</v>
      </c>
      <c r="G16" s="107">
        <v>130265.36775524737</v>
      </c>
      <c r="H16" s="107">
        <v>0</v>
      </c>
      <c r="I16" s="107">
        <f>SUM(C16:H16)</f>
        <v>354973.12713304907</v>
      </c>
    </row>
    <row r="17" spans="2:9" ht="16.5">
      <c r="B17" s="106" t="s">
        <v>73</v>
      </c>
      <c r="C17" s="107">
        <v>0</v>
      </c>
      <c r="D17" s="107">
        <v>0</v>
      </c>
      <c r="E17" s="107">
        <v>0</v>
      </c>
      <c r="F17" s="107"/>
      <c r="G17" s="107">
        <v>0</v>
      </c>
      <c r="H17" s="107">
        <v>33067.30730341728</v>
      </c>
      <c r="I17" s="107">
        <f>SUM(C17:H17)</f>
        <v>33067.30730341728</v>
      </c>
    </row>
    <row r="18" spans="2:9" ht="16.5">
      <c r="B18" s="111" t="s">
        <v>49</v>
      </c>
      <c r="C18" s="112">
        <f>SUM(C15:C17)</f>
        <v>281457.2448424542</v>
      </c>
      <c r="D18" s="112">
        <f aca="true" t="shared" si="0" ref="D18:I18">SUM(D15:D17)</f>
        <v>86948.49185305943</v>
      </c>
      <c r="E18" s="112">
        <f t="shared" si="0"/>
        <v>71680.97791924742</v>
      </c>
      <c r="F18" s="112">
        <f t="shared" si="0"/>
        <v>39079.610326574206</v>
      </c>
      <c r="G18" s="112">
        <f t="shared" si="0"/>
        <v>130265.36775524737</v>
      </c>
      <c r="H18" s="112">
        <f t="shared" si="0"/>
        <v>33067.30730341728</v>
      </c>
      <c r="I18" s="112">
        <f t="shared" si="0"/>
        <v>642498.9999999999</v>
      </c>
    </row>
    <row r="19" spans="2:9" ht="16.5">
      <c r="B19" s="123"/>
      <c r="C19" s="124"/>
      <c r="D19" s="124"/>
      <c r="E19" s="124"/>
      <c r="F19" s="124"/>
      <c r="G19" s="124"/>
      <c r="H19" s="124"/>
      <c r="I19" s="124"/>
    </row>
    <row r="20" spans="2:9" ht="15.75">
      <c r="B20" s="108" t="s">
        <v>74</v>
      </c>
      <c r="C20" s="61"/>
      <c r="D20" s="61"/>
      <c r="E20" s="61"/>
      <c r="F20" s="61"/>
      <c r="G20" s="61"/>
      <c r="H20" s="61"/>
      <c r="I20" s="61"/>
    </row>
    <row r="21" spans="2:9" ht="17.25" thickBot="1">
      <c r="B21" s="120" t="s">
        <v>71</v>
      </c>
      <c r="C21" s="121">
        <v>1818</v>
      </c>
      <c r="D21" s="121">
        <v>1981</v>
      </c>
      <c r="E21" s="121">
        <v>1822</v>
      </c>
      <c r="F21" s="121">
        <v>1821</v>
      </c>
      <c r="G21" s="121">
        <v>1845</v>
      </c>
      <c r="H21" s="121">
        <v>1925</v>
      </c>
      <c r="I21" s="121" t="s">
        <v>49</v>
      </c>
    </row>
    <row r="22" spans="2:9" ht="16.5">
      <c r="B22" s="118" t="s">
        <v>72</v>
      </c>
      <c r="C22" s="119">
        <f aca="true" t="shared" si="1" ref="C22:H22">+C15*0.94</f>
        <v>90079.35004375313</v>
      </c>
      <c r="D22" s="119">
        <f t="shared" si="1"/>
        <v>81731.58234187587</v>
      </c>
      <c r="E22" s="119">
        <f t="shared" si="1"/>
        <v>67380.11924409258</v>
      </c>
      <c r="F22" s="119">
        <f t="shared" si="1"/>
        <v>0</v>
      </c>
      <c r="G22" s="119">
        <f t="shared" si="1"/>
        <v>0</v>
      </c>
      <c r="H22" s="119">
        <f t="shared" si="1"/>
        <v>0</v>
      </c>
      <c r="I22" s="119">
        <f>SUM(C22:H22)</f>
        <v>239191.05162972157</v>
      </c>
    </row>
    <row r="23" spans="2:9" ht="16.5">
      <c r="B23" s="100" t="s">
        <v>53</v>
      </c>
      <c r="C23" s="107">
        <f aca="true" t="shared" si="2" ref="C23:H23">+C16*0.94</f>
        <v>174490.46010815384</v>
      </c>
      <c r="D23" s="107">
        <f t="shared" si="2"/>
        <v>0</v>
      </c>
      <c r="E23" s="107">
        <f t="shared" si="2"/>
        <v>0</v>
      </c>
      <c r="F23" s="107">
        <f t="shared" si="2"/>
        <v>36734.83370697975</v>
      </c>
      <c r="G23" s="107">
        <f t="shared" si="2"/>
        <v>122449.44568993252</v>
      </c>
      <c r="H23" s="107">
        <f t="shared" si="2"/>
        <v>0</v>
      </c>
      <c r="I23" s="107">
        <f>SUM(C23:H23)</f>
        <v>333674.7395050661</v>
      </c>
    </row>
    <row r="24" spans="2:9" ht="16.5">
      <c r="B24" s="106" t="s">
        <v>73</v>
      </c>
      <c r="C24" s="107">
        <f aca="true" t="shared" si="3" ref="C24:H24">+C17*0.94</f>
        <v>0</v>
      </c>
      <c r="D24" s="107">
        <f t="shared" si="3"/>
        <v>0</v>
      </c>
      <c r="E24" s="107">
        <f t="shared" si="3"/>
        <v>0</v>
      </c>
      <c r="F24" s="107">
        <f t="shared" si="3"/>
        <v>0</v>
      </c>
      <c r="G24" s="107">
        <f t="shared" si="3"/>
        <v>0</v>
      </c>
      <c r="H24" s="107">
        <f t="shared" si="3"/>
        <v>31083.268865212238</v>
      </c>
      <c r="I24" s="107">
        <f>SUM(C24:H24)</f>
        <v>31083.268865212238</v>
      </c>
    </row>
    <row r="25" spans="2:9" ht="16.5">
      <c r="B25" s="111" t="s">
        <v>49</v>
      </c>
      <c r="C25" s="112">
        <f>SUM(C22:C24)</f>
        <v>264569.810151907</v>
      </c>
      <c r="D25" s="112">
        <f aca="true" t="shared" si="4" ref="D25:I25">SUM(D22:D24)</f>
        <v>81731.58234187587</v>
      </c>
      <c r="E25" s="112">
        <f t="shared" si="4"/>
        <v>67380.11924409258</v>
      </c>
      <c r="F25" s="112">
        <f t="shared" si="4"/>
        <v>36734.83370697975</v>
      </c>
      <c r="G25" s="112">
        <f t="shared" si="4"/>
        <v>122449.44568993252</v>
      </c>
      <c r="H25" s="112">
        <f t="shared" si="4"/>
        <v>31083.268865212238</v>
      </c>
      <c r="I25" s="112">
        <f t="shared" si="4"/>
        <v>603949.0599999999</v>
      </c>
    </row>
    <row r="27" ht="15.75">
      <c r="B27" s="51" t="s">
        <v>85</v>
      </c>
    </row>
    <row r="28" ht="15.75">
      <c r="B28" s="51" t="s">
        <v>84</v>
      </c>
    </row>
    <row r="29" ht="15.75">
      <c r="B29" s="51" t="s">
        <v>86</v>
      </c>
    </row>
    <row r="30" ht="15.75">
      <c r="B30" s="51" t="s">
        <v>89</v>
      </c>
    </row>
    <row r="31" ht="15.75">
      <c r="B31" s="51" t="s">
        <v>87</v>
      </c>
    </row>
    <row r="32" ht="15.75">
      <c r="B32" s="51" t="s">
        <v>88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75" r:id="rId1"/>
  <headerFoot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BenumMa</dc:creator>
  <cp:keywords/>
  <dc:description/>
  <cp:lastModifiedBy>Vitalika Quenville</cp:lastModifiedBy>
  <cp:lastPrinted>2013-08-29T13:30:39Z</cp:lastPrinted>
  <dcterms:created xsi:type="dcterms:W3CDTF">2009-03-31T14:51:00Z</dcterms:created>
  <dcterms:modified xsi:type="dcterms:W3CDTF">2014-07-11T12:32:44Z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