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385"/>
  </bookViews>
  <sheets>
    <sheet name="Tables for Report" sheetId="3" r:id="rId1"/>
    <sheet name="Carrying Interest" sheetId="4" r:id="rId2"/>
  </sheets>
  <externalReferences>
    <externalReference r:id="rId3"/>
    <externalReference r:id="rId4"/>
    <externalReference r:id="rId5"/>
  </externalReferences>
  <calcPr calcId="145621" concurrentCalc="0"/>
</workbook>
</file>

<file path=xl/calcChain.xml><?xml version="1.0" encoding="utf-8"?>
<calcChain xmlns="http://schemas.openxmlformats.org/spreadsheetml/2006/main">
  <c r="G152" i="3" l="1"/>
  <c r="G151" i="3"/>
  <c r="G150" i="3"/>
  <c r="G149" i="3"/>
  <c r="G147" i="3"/>
  <c r="G148" i="3"/>
  <c r="G146" i="3"/>
  <c r="G145" i="3"/>
  <c r="G144" i="3"/>
  <c r="G153" i="3"/>
  <c r="B145" i="3"/>
  <c r="D145" i="3"/>
  <c r="C145" i="3"/>
  <c r="E145" i="3"/>
  <c r="F145" i="3"/>
  <c r="B146" i="3"/>
  <c r="D146" i="3"/>
  <c r="C146" i="3"/>
  <c r="E146" i="3"/>
  <c r="F146" i="3"/>
  <c r="B147" i="3"/>
  <c r="D147" i="3"/>
  <c r="C147" i="3"/>
  <c r="E147" i="3"/>
  <c r="F147" i="3"/>
  <c r="D148" i="3"/>
  <c r="C148" i="3"/>
  <c r="E148" i="3"/>
  <c r="F148" i="3"/>
  <c r="B149" i="3"/>
  <c r="D149" i="3"/>
  <c r="C149" i="3"/>
  <c r="E149" i="3"/>
  <c r="F149" i="3"/>
  <c r="B150" i="3"/>
  <c r="D150" i="3"/>
  <c r="C150" i="3"/>
  <c r="E150" i="3"/>
  <c r="F150" i="3"/>
  <c r="C151" i="3"/>
  <c r="E151" i="3"/>
  <c r="F151" i="3"/>
  <c r="C152" i="3"/>
  <c r="E152" i="3"/>
  <c r="F152" i="3"/>
  <c r="B144" i="3"/>
  <c r="D144" i="3"/>
  <c r="C144" i="3"/>
  <c r="E144" i="3"/>
  <c r="F144" i="3"/>
  <c r="E153" i="3"/>
  <c r="F153" i="3"/>
  <c r="F138" i="3"/>
  <c r="F137" i="3"/>
  <c r="F136" i="3"/>
  <c r="F135" i="3"/>
  <c r="F139" i="3"/>
  <c r="C138" i="3"/>
  <c r="C136" i="3"/>
  <c r="C135" i="3"/>
  <c r="B100" i="3"/>
  <c r="B138" i="3"/>
  <c r="B99" i="3"/>
  <c r="B137" i="3"/>
  <c r="B135" i="3"/>
  <c r="D136" i="3"/>
  <c r="B136" i="3"/>
  <c r="E136" i="3"/>
  <c r="D137" i="3"/>
  <c r="E137" i="3"/>
  <c r="D138" i="3"/>
  <c r="E138" i="3"/>
  <c r="D135" i="3"/>
  <c r="E135" i="3"/>
  <c r="E139" i="3"/>
  <c r="C128" i="3"/>
  <c r="D128" i="3"/>
  <c r="E128" i="3"/>
  <c r="C130" i="3"/>
  <c r="C129" i="3"/>
  <c r="C127" i="3"/>
  <c r="C126" i="3"/>
  <c r="C125" i="3"/>
  <c r="B88" i="3"/>
  <c r="B126" i="3"/>
  <c r="B89" i="3"/>
  <c r="B127" i="3"/>
  <c r="B91" i="3"/>
  <c r="B129" i="3"/>
  <c r="B92" i="3"/>
  <c r="B130" i="3"/>
  <c r="B87" i="3"/>
  <c r="B125" i="3"/>
  <c r="D126" i="3"/>
  <c r="E126" i="3"/>
  <c r="D127" i="3"/>
  <c r="E127" i="3"/>
  <c r="D129" i="3"/>
  <c r="E129" i="3"/>
  <c r="D130" i="3"/>
  <c r="E130" i="3"/>
  <c r="D125" i="3"/>
  <c r="E125" i="3"/>
  <c r="D131" i="3"/>
  <c r="E131" i="3"/>
  <c r="D153" i="3"/>
  <c r="C153" i="3"/>
  <c r="B151" i="3"/>
  <c r="B152" i="3"/>
  <c r="B153" i="3"/>
  <c r="D139" i="3"/>
  <c r="C139" i="3"/>
  <c r="B139" i="3"/>
  <c r="C131" i="3"/>
  <c r="B131" i="3"/>
  <c r="B98" i="3"/>
  <c r="D105" i="3"/>
  <c r="D106" i="3"/>
  <c r="D107" i="3"/>
  <c r="D108" i="3"/>
  <c r="D109" i="3"/>
  <c r="D110" i="3"/>
  <c r="D111" i="3"/>
  <c r="D112" i="3"/>
  <c r="D113" i="3"/>
  <c r="C105" i="3"/>
  <c r="C106" i="3"/>
  <c r="C107" i="3"/>
  <c r="C108" i="3"/>
  <c r="C109" i="3"/>
  <c r="C110" i="3"/>
  <c r="C111" i="3"/>
  <c r="C112" i="3"/>
  <c r="C113" i="3"/>
  <c r="B105" i="3"/>
  <c r="B106" i="3"/>
  <c r="B107" i="3"/>
  <c r="B108" i="3"/>
  <c r="B109" i="3"/>
  <c r="B110" i="3"/>
  <c r="B111" i="3"/>
  <c r="B112" i="3"/>
  <c r="B113" i="3"/>
  <c r="B97" i="3"/>
  <c r="C97" i="3"/>
  <c r="C98" i="3"/>
  <c r="C99" i="3"/>
  <c r="C100" i="3"/>
  <c r="C101" i="3"/>
  <c r="D97" i="3"/>
  <c r="D98" i="3"/>
  <c r="D99" i="3"/>
  <c r="D100" i="3"/>
  <c r="D101" i="3"/>
  <c r="B101" i="3"/>
  <c r="C88" i="3"/>
  <c r="C89" i="3"/>
  <c r="B90" i="3"/>
  <c r="C90" i="3"/>
  <c r="C91" i="3"/>
  <c r="C92" i="3"/>
  <c r="C87" i="3"/>
  <c r="C93" i="3"/>
  <c r="B93" i="3"/>
  <c r="A88" i="3"/>
  <c r="A89" i="3"/>
  <c r="A90" i="3"/>
  <c r="A91" i="3"/>
  <c r="A92" i="3"/>
  <c r="A87" i="3"/>
  <c r="C71" i="3"/>
  <c r="C70" i="3"/>
  <c r="C69" i="3"/>
  <c r="D64" i="3"/>
  <c r="F64" i="3"/>
  <c r="D69" i="3"/>
  <c r="F69" i="3"/>
  <c r="F74" i="3"/>
  <c r="D65" i="3"/>
  <c r="F65" i="3"/>
  <c r="D70" i="3"/>
  <c r="F70" i="3"/>
  <c r="F75" i="3"/>
  <c r="D66" i="3"/>
  <c r="F66" i="3"/>
  <c r="D71" i="3"/>
  <c r="F71" i="3"/>
  <c r="F76" i="3"/>
  <c r="F77" i="3"/>
  <c r="D74" i="3"/>
  <c r="D75" i="3"/>
  <c r="D76" i="3"/>
  <c r="D77" i="3"/>
  <c r="C74" i="3"/>
  <c r="C75" i="3"/>
  <c r="C76" i="3"/>
  <c r="C77" i="3"/>
  <c r="F72" i="3"/>
  <c r="D72" i="3"/>
  <c r="C72" i="3"/>
  <c r="F67" i="3"/>
  <c r="D67" i="3"/>
  <c r="C67" i="3"/>
  <c r="C51" i="3"/>
  <c r="C50" i="3"/>
  <c r="C49" i="3"/>
  <c r="D49" i="3"/>
  <c r="F49" i="3"/>
  <c r="D44" i="3"/>
  <c r="F44" i="3"/>
  <c r="F54" i="3"/>
  <c r="D50" i="3"/>
  <c r="F50" i="3"/>
  <c r="D45" i="3"/>
  <c r="F45" i="3"/>
  <c r="F55" i="3"/>
  <c r="D51" i="3"/>
  <c r="F51" i="3"/>
  <c r="D46" i="3"/>
  <c r="F46" i="3"/>
  <c r="F56" i="3"/>
  <c r="D54" i="3"/>
  <c r="D55" i="3"/>
  <c r="D56" i="3"/>
  <c r="C55" i="3"/>
  <c r="C56" i="3"/>
  <c r="C54" i="3"/>
  <c r="F57" i="3"/>
  <c r="D57" i="3"/>
  <c r="C57" i="3"/>
  <c r="F52" i="3"/>
  <c r="D52" i="3"/>
  <c r="C52" i="3"/>
  <c r="F47" i="3"/>
  <c r="C47" i="3"/>
  <c r="D47" i="3"/>
  <c r="A45" i="3"/>
  <c r="A46" i="3"/>
  <c r="A44" i="3"/>
  <c r="F6" i="3"/>
  <c r="B15" i="3"/>
  <c r="F7" i="3"/>
  <c r="B16" i="3"/>
  <c r="F5" i="3"/>
  <c r="B14" i="3"/>
  <c r="B21" i="3"/>
  <c r="D15" i="4"/>
  <c r="C4" i="4"/>
  <c r="D4" i="4"/>
  <c r="B5" i="4"/>
  <c r="H5" i="4"/>
  <c r="I5" i="4"/>
  <c r="C5" i="4"/>
  <c r="D5" i="4"/>
  <c r="B6" i="4"/>
  <c r="H6" i="4"/>
  <c r="I6" i="4"/>
  <c r="C6" i="4"/>
  <c r="D6" i="4"/>
  <c r="B7" i="4"/>
  <c r="H7" i="4"/>
  <c r="I7" i="4"/>
  <c r="C7" i="4"/>
  <c r="D7" i="4"/>
  <c r="B8" i="4"/>
  <c r="H8" i="4"/>
  <c r="I8" i="4"/>
  <c r="C8" i="4"/>
  <c r="D8" i="4"/>
  <c r="B9" i="4"/>
  <c r="H9" i="4"/>
  <c r="I9" i="4"/>
  <c r="C9" i="4"/>
  <c r="D9" i="4"/>
  <c r="B10" i="4"/>
  <c r="H10" i="4"/>
  <c r="I10" i="4"/>
  <c r="C10" i="4"/>
  <c r="D10" i="4"/>
  <c r="B11" i="4"/>
  <c r="H11" i="4"/>
  <c r="I11" i="4"/>
  <c r="C11" i="4"/>
  <c r="D11" i="4"/>
  <c r="B12" i="4"/>
  <c r="H12" i="4"/>
  <c r="I12" i="4"/>
  <c r="C12" i="4"/>
  <c r="D12" i="4"/>
  <c r="B13" i="4"/>
  <c r="H13" i="4"/>
  <c r="I13" i="4"/>
  <c r="C13" i="4"/>
  <c r="D13" i="4"/>
  <c r="B14" i="4"/>
  <c r="H14" i="4"/>
  <c r="I14" i="4"/>
  <c r="C14" i="4"/>
  <c r="D14" i="4"/>
  <c r="B15" i="4"/>
  <c r="H15" i="4"/>
  <c r="I15" i="4"/>
  <c r="N4" i="4"/>
  <c r="B16" i="4"/>
  <c r="F16" i="4"/>
  <c r="G16" i="4"/>
  <c r="H16" i="4"/>
  <c r="I16" i="4"/>
  <c r="G6" i="3"/>
  <c r="C15" i="3"/>
  <c r="G7" i="3"/>
  <c r="C16" i="3"/>
  <c r="G5" i="3"/>
  <c r="C14" i="3"/>
  <c r="C21" i="3"/>
  <c r="C16" i="4"/>
  <c r="D16" i="4"/>
  <c r="B17" i="4"/>
  <c r="H17" i="4"/>
  <c r="I17" i="4"/>
  <c r="C17" i="4"/>
  <c r="D17" i="4"/>
  <c r="B18" i="4"/>
  <c r="F18" i="4"/>
  <c r="G18" i="4"/>
  <c r="H18" i="4"/>
  <c r="I18" i="4"/>
  <c r="C18" i="4"/>
  <c r="D18" i="4"/>
  <c r="B19" i="4"/>
  <c r="F19" i="4"/>
  <c r="G19" i="4"/>
  <c r="H19" i="4"/>
  <c r="I19" i="4"/>
  <c r="C19" i="4"/>
  <c r="D19" i="4"/>
  <c r="B20" i="4"/>
  <c r="F20" i="4"/>
  <c r="G20" i="4"/>
  <c r="H20" i="4"/>
  <c r="I20" i="4"/>
  <c r="C20" i="4"/>
  <c r="D20" i="4"/>
  <c r="B21" i="4"/>
  <c r="F21" i="4"/>
  <c r="G21" i="4"/>
  <c r="H21" i="4"/>
  <c r="I21" i="4"/>
  <c r="C21" i="4"/>
  <c r="D21" i="4"/>
  <c r="B22" i="4"/>
  <c r="F22" i="4"/>
  <c r="G22" i="4"/>
  <c r="H22" i="4"/>
  <c r="I22" i="4"/>
  <c r="C22" i="4"/>
  <c r="D22" i="4"/>
  <c r="B23" i="4"/>
  <c r="F23" i="4"/>
  <c r="G23" i="4"/>
  <c r="H23" i="4"/>
  <c r="I23" i="4"/>
  <c r="C23" i="4"/>
  <c r="D23" i="4"/>
  <c r="B24" i="4"/>
  <c r="F24" i="4"/>
  <c r="G24" i="4"/>
  <c r="H24" i="4"/>
  <c r="I24" i="4"/>
  <c r="C24" i="4"/>
  <c r="D24" i="4"/>
  <c r="B25" i="4"/>
  <c r="F25" i="4"/>
  <c r="G25" i="4"/>
  <c r="H25" i="4"/>
  <c r="I25" i="4"/>
  <c r="C25" i="4"/>
  <c r="D25" i="4"/>
  <c r="B26" i="4"/>
  <c r="F26" i="4"/>
  <c r="G26" i="4"/>
  <c r="H26" i="4"/>
  <c r="I26" i="4"/>
  <c r="C26" i="4"/>
  <c r="D26" i="4"/>
  <c r="B27" i="4"/>
  <c r="F27" i="4"/>
  <c r="G27" i="4"/>
  <c r="H27" i="4"/>
  <c r="I27" i="4"/>
  <c r="N5" i="4"/>
  <c r="C27" i="4"/>
  <c r="D27" i="4"/>
  <c r="B28" i="4"/>
  <c r="F28" i="4"/>
  <c r="G28" i="4"/>
  <c r="H28" i="4"/>
  <c r="I28" i="4"/>
  <c r="D28" i="4"/>
  <c r="B29" i="4"/>
  <c r="F29" i="4"/>
  <c r="G29" i="4"/>
  <c r="H29" i="4"/>
  <c r="I29" i="4"/>
  <c r="D29" i="4"/>
  <c r="B30" i="4"/>
  <c r="F30" i="4"/>
  <c r="G30" i="4"/>
  <c r="H30" i="4"/>
  <c r="I30" i="4"/>
  <c r="D30" i="4"/>
  <c r="B31" i="4"/>
  <c r="F31" i="4"/>
  <c r="G31" i="4"/>
  <c r="H31" i="4"/>
  <c r="I31" i="4"/>
  <c r="D31" i="4"/>
  <c r="B32" i="4"/>
  <c r="F32" i="4"/>
  <c r="G32" i="4"/>
  <c r="H32" i="4"/>
  <c r="I32" i="4"/>
  <c r="D32" i="4"/>
  <c r="B33" i="4"/>
  <c r="F33" i="4"/>
  <c r="G33" i="4"/>
  <c r="H33" i="4"/>
  <c r="I33" i="4"/>
  <c r="D33" i="4"/>
  <c r="B34" i="4"/>
  <c r="F34" i="4"/>
  <c r="G34" i="4"/>
  <c r="H34" i="4"/>
  <c r="I34" i="4"/>
  <c r="D34" i="4"/>
  <c r="B35" i="4"/>
  <c r="F35" i="4"/>
  <c r="G35" i="4"/>
  <c r="H35" i="4"/>
  <c r="I35" i="4"/>
  <c r="D35" i="4"/>
  <c r="B36" i="4"/>
  <c r="F36" i="4"/>
  <c r="G36" i="4"/>
  <c r="H36" i="4"/>
  <c r="I36" i="4"/>
  <c r="D36" i="4"/>
  <c r="B37" i="4"/>
  <c r="F37" i="4"/>
  <c r="G37" i="4"/>
  <c r="H37" i="4"/>
  <c r="I37" i="4"/>
  <c r="D37" i="4"/>
  <c r="B38" i="4"/>
  <c r="F38" i="4"/>
  <c r="G38" i="4"/>
  <c r="H38" i="4"/>
  <c r="I38" i="4"/>
  <c r="D38" i="4"/>
  <c r="B39" i="4"/>
  <c r="F39" i="4"/>
  <c r="G39" i="4"/>
  <c r="H39" i="4"/>
  <c r="I39" i="4"/>
  <c r="N6" i="4"/>
  <c r="D39" i="4"/>
  <c r="B40" i="4"/>
  <c r="H40" i="4"/>
  <c r="I40" i="4"/>
  <c r="D40" i="4"/>
  <c r="B41" i="4"/>
  <c r="H41" i="4"/>
  <c r="I41" i="4"/>
  <c r="D41" i="4"/>
  <c r="B42" i="4"/>
  <c r="H42" i="4"/>
  <c r="I42" i="4"/>
  <c r="D42" i="4"/>
  <c r="B43" i="4"/>
  <c r="H43" i="4"/>
  <c r="I43" i="4"/>
  <c r="D43" i="4"/>
  <c r="B44" i="4"/>
  <c r="H44" i="4"/>
  <c r="I44" i="4"/>
  <c r="D44" i="4"/>
  <c r="B45" i="4"/>
  <c r="H45" i="4"/>
  <c r="I45" i="4"/>
  <c r="D45" i="4"/>
  <c r="B46" i="4"/>
  <c r="H46" i="4"/>
  <c r="I46" i="4"/>
  <c r="D46" i="4"/>
  <c r="B47" i="4"/>
  <c r="H47" i="4"/>
  <c r="I47" i="4"/>
  <c r="D47" i="4"/>
  <c r="B48" i="4"/>
  <c r="H48" i="4"/>
  <c r="I48" i="4"/>
  <c r="D48" i="4"/>
  <c r="B49" i="4"/>
  <c r="H49" i="4"/>
  <c r="I49" i="4"/>
  <c r="D49" i="4"/>
  <c r="B50" i="4"/>
  <c r="H50" i="4"/>
  <c r="I50" i="4"/>
  <c r="D50" i="4"/>
  <c r="B51" i="4"/>
  <c r="H51" i="4"/>
  <c r="I51" i="4"/>
  <c r="N7" i="4"/>
  <c r="N8" i="4"/>
  <c r="D51" i="4"/>
  <c r="M7" i="4"/>
  <c r="M6" i="4"/>
  <c r="M5" i="4"/>
  <c r="M4" i="4"/>
  <c r="F32" i="3"/>
  <c r="C22" i="3"/>
  <c r="C32" i="3"/>
  <c r="B22" i="3"/>
  <c r="H4" i="4"/>
  <c r="G17" i="4"/>
  <c r="G5" i="4"/>
  <c r="G6" i="4"/>
  <c r="G7" i="4"/>
  <c r="G8" i="4"/>
  <c r="G9" i="4"/>
  <c r="G10" i="4"/>
  <c r="G11" i="4"/>
  <c r="G12" i="4"/>
  <c r="G13" i="4"/>
  <c r="G14" i="4"/>
  <c r="G15" i="4"/>
  <c r="G4" i="4"/>
  <c r="G40" i="4"/>
  <c r="G41" i="4"/>
  <c r="G42" i="4"/>
  <c r="G43" i="4"/>
  <c r="G44" i="4"/>
  <c r="G45" i="4"/>
  <c r="G46" i="4"/>
  <c r="G47" i="4"/>
  <c r="G48" i="4"/>
  <c r="G49" i="4"/>
  <c r="G50" i="4"/>
  <c r="G51" i="4"/>
  <c r="I4" i="4"/>
  <c r="F8" i="3"/>
  <c r="G8" i="3"/>
  <c r="G9" i="3"/>
  <c r="B30" i="3"/>
  <c r="E30" i="3"/>
  <c r="J30" i="3"/>
  <c r="B31" i="3"/>
  <c r="B29" i="3"/>
  <c r="B32" i="3"/>
  <c r="C30" i="3"/>
  <c r="E31" i="3"/>
  <c r="E29" i="3"/>
  <c r="E32" i="3"/>
  <c r="F30" i="3"/>
  <c r="H32" i="3"/>
  <c r="H30" i="3"/>
  <c r="I30" i="3"/>
  <c r="K30" i="3"/>
  <c r="L30" i="3"/>
  <c r="J31" i="3"/>
  <c r="C29" i="3"/>
  <c r="C31" i="3"/>
  <c r="F29" i="3"/>
  <c r="F31" i="3"/>
  <c r="H29" i="3"/>
  <c r="H31" i="3"/>
  <c r="I31" i="3"/>
  <c r="K31" i="3"/>
  <c r="L31" i="3"/>
  <c r="I29" i="3"/>
  <c r="K29" i="3"/>
  <c r="J29" i="3"/>
  <c r="L29" i="3"/>
  <c r="I32" i="3"/>
  <c r="I53" i="4"/>
  <c r="E40" i="4"/>
  <c r="E41" i="4"/>
  <c r="E42" i="4"/>
  <c r="E43" i="4"/>
  <c r="E44" i="4"/>
  <c r="E45" i="4"/>
  <c r="E46" i="4"/>
  <c r="E47" i="4"/>
  <c r="E48" i="4"/>
  <c r="E49" i="4"/>
  <c r="E50" i="4"/>
  <c r="E51" i="4"/>
  <c r="E29" i="4"/>
  <c r="E30" i="4"/>
  <c r="E31" i="4"/>
  <c r="E32" i="4"/>
  <c r="E33" i="4"/>
  <c r="E34" i="4"/>
  <c r="E35" i="4"/>
  <c r="E36" i="4"/>
  <c r="E37" i="4"/>
  <c r="E38" i="4"/>
  <c r="E39" i="4"/>
  <c r="E28" i="4"/>
  <c r="G29" i="3"/>
  <c r="D30" i="3"/>
  <c r="G30" i="3"/>
  <c r="B37" i="3"/>
  <c r="D37" i="3"/>
  <c r="E37" i="3"/>
  <c r="D31" i="3"/>
  <c r="G31" i="3"/>
  <c r="B38" i="3"/>
  <c r="D38" i="3"/>
  <c r="E38" i="3"/>
  <c r="D36" i="3"/>
  <c r="D29" i="3"/>
  <c r="B36" i="3"/>
  <c r="E36" i="3"/>
  <c r="A35" i="3"/>
  <c r="J32" i="3"/>
  <c r="K32" i="3"/>
  <c r="L32" i="3"/>
  <c r="G32" i="3"/>
  <c r="D32" i="3"/>
  <c r="A30" i="3"/>
  <c r="A31" i="3"/>
  <c r="A29" i="3"/>
  <c r="A27" i="3"/>
  <c r="D53" i="4"/>
  <c r="I55" i="4"/>
  <c r="C15" i="4"/>
  <c r="C53" i="4"/>
  <c r="H53" i="4"/>
  <c r="E17" i="3"/>
  <c r="E18" i="3"/>
  <c r="E19" i="3"/>
  <c r="E20" i="3"/>
  <c r="D21" i="3"/>
  <c r="E8" i="3"/>
  <c r="D8" i="3"/>
  <c r="E9" i="3"/>
  <c r="C8" i="3"/>
  <c r="B8" i="3"/>
  <c r="C9" i="3"/>
  <c r="E15" i="3"/>
  <c r="E16" i="3"/>
  <c r="E14" i="3"/>
  <c r="E21" i="3"/>
</calcChain>
</file>

<file path=xl/sharedStrings.xml><?xml version="1.0" encoding="utf-8"?>
<sst xmlns="http://schemas.openxmlformats.org/spreadsheetml/2006/main" count="212" uniqueCount="112">
  <si>
    <t>Residential</t>
  </si>
  <si>
    <t>GS&lt;50</t>
  </si>
  <si>
    <t>Total</t>
  </si>
  <si>
    <t>Rate Class</t>
  </si>
  <si>
    <t>GS&gt;50</t>
  </si>
  <si>
    <t xml:space="preserve">       LRAM/VA - Residential</t>
  </si>
  <si>
    <t xml:space="preserve">       LRAM/VA - GS&lt;50</t>
  </si>
  <si>
    <t xml:space="preserve">       LRAM/VA - GS&gt;50</t>
  </si>
  <si>
    <t xml:space="preserve">       LRAM/VA - LU</t>
  </si>
  <si>
    <t xml:space="preserve">       LRAM/VA - USL</t>
  </si>
  <si>
    <t xml:space="preserve">       LRAM/VA - Sentinel</t>
  </si>
  <si>
    <t xml:space="preserve">       LRAM/VA - S/L</t>
  </si>
  <si>
    <t>LRAMVA 
2011 Amount</t>
  </si>
  <si>
    <t>LRAMVA 
2012 Amount</t>
  </si>
  <si>
    <t xml:space="preserve">
2011 Adjustment</t>
  </si>
  <si>
    <t xml:space="preserve">
2012 Adjustment</t>
  </si>
  <si>
    <t>September 2013 OPA Report</t>
  </si>
  <si>
    <t>Revised LRAM/VA</t>
  </si>
  <si>
    <t>2014 IRM (EB-2013-0166)</t>
  </si>
  <si>
    <t>LRAMVA 
2013 Amount</t>
  </si>
  <si>
    <t>Total LRAMVA
2011-2013</t>
  </si>
  <si>
    <t>Actual</t>
  </si>
  <si>
    <t>Estimated</t>
  </si>
  <si>
    <t>Opening Balance 
(Principal)</t>
  </si>
  <si>
    <t>Activity</t>
  </si>
  <si>
    <t>Closing Balance 
(Principal)</t>
  </si>
  <si>
    <t>(Annual) 
Interest Rate</t>
  </si>
  <si>
    <t>Interest 
(on opening balance)</t>
  </si>
  <si>
    <t>Cumulative 
Interest</t>
  </si>
  <si>
    <t>Interest</t>
  </si>
  <si>
    <t>LRAMVA 2011</t>
  </si>
  <si>
    <t>Principal</t>
  </si>
  <si>
    <t>LRAMVA 2012</t>
  </si>
  <si>
    <t xml:space="preserve">Total </t>
  </si>
  <si>
    <t>Total Claim</t>
  </si>
  <si>
    <t>Billin Units 
(2013 RRR 2.1.7)</t>
  </si>
  <si>
    <t>Rate Rider</t>
  </si>
  <si>
    <t>kWh</t>
  </si>
  <si>
    <t>kW</t>
  </si>
  <si>
    <t>Billing 
Type</t>
  </si>
  <si>
    <t>Sub-Total by Year</t>
  </si>
  <si>
    <t>Total by Group - Principal</t>
  </si>
  <si>
    <t># of Days</t>
  </si>
  <si>
    <t>(Monthly)
Interest Rate</t>
  </si>
  <si>
    <t>Calculation of Carrying interest</t>
  </si>
  <si>
    <t>Accrued Interest
on LRAMVA 2011-2012 Balances</t>
  </si>
  <si>
    <t>Total by Year</t>
  </si>
  <si>
    <t>Total LRAMVA 2011-2012
including Accrued Interest</t>
  </si>
  <si>
    <t>Year</t>
  </si>
  <si>
    <t>Closing Balance
(Principal)</t>
  </si>
  <si>
    <t>Interest 
(on opening Balance)</t>
  </si>
  <si>
    <t>Interest Summary</t>
  </si>
  <si>
    <t xml:space="preserve">Notes: </t>
  </si>
  <si>
    <t>1 - 2011-2014 CDM Targets</t>
  </si>
  <si>
    <t>Variance</t>
  </si>
  <si>
    <t>$</t>
  </si>
  <si>
    <t>PowerStream South Rate Zone</t>
  </si>
  <si>
    <t xml:space="preserve">
2011 Board-Approved
Distribution Rate</t>
  </si>
  <si>
    <t>PowerStream Barrie Rate Zone</t>
  </si>
  <si>
    <t>2011 PowerStream Combined</t>
  </si>
  <si>
    <t xml:space="preserve">
2012 Board-Approved
Distribution Rate</t>
  </si>
  <si>
    <t>2012 PowerStream Combined</t>
  </si>
  <si>
    <r>
      <t xml:space="preserve">2011 Approved CDM Savings
incl. in Load Forecast </t>
    </r>
    <r>
      <rPr>
        <b/>
        <vertAlign val="superscript"/>
        <sz val="11"/>
        <color theme="1"/>
        <rFont val="Arial Narrow"/>
        <family val="2"/>
      </rPr>
      <t>1</t>
    </r>
  </si>
  <si>
    <r>
      <t>2011 Actual Achieved
CDM Savings</t>
    </r>
    <r>
      <rPr>
        <b/>
        <vertAlign val="superscript"/>
        <sz val="11"/>
        <color theme="1"/>
        <rFont val="Arial Narrow"/>
        <family val="2"/>
      </rPr>
      <t>2</t>
    </r>
    <r>
      <rPr>
        <b/>
        <sz val="11"/>
        <color theme="1"/>
        <rFont val="Arial Narrow"/>
        <family val="2"/>
      </rPr>
      <t xml:space="preserve"> </t>
    </r>
  </si>
  <si>
    <r>
      <t xml:space="preserve">2012 Approved CDM Savings
incl. in Load Forecast </t>
    </r>
    <r>
      <rPr>
        <b/>
        <vertAlign val="superscript"/>
        <sz val="11"/>
        <color theme="1"/>
        <rFont val="Arial Narrow"/>
        <family val="2"/>
      </rPr>
      <t>1</t>
    </r>
  </si>
  <si>
    <r>
      <t>2012 Actual Achieved
CDM Savings</t>
    </r>
    <r>
      <rPr>
        <b/>
        <vertAlign val="superscript"/>
        <sz val="11"/>
        <color theme="1"/>
        <rFont val="Arial Narrow"/>
        <family val="2"/>
      </rPr>
      <t>2</t>
    </r>
    <r>
      <rPr>
        <b/>
        <sz val="11"/>
        <color theme="1"/>
        <rFont val="Arial Narrow"/>
        <family val="2"/>
      </rPr>
      <t xml:space="preserve"> </t>
    </r>
  </si>
  <si>
    <t>kWh/kW</t>
  </si>
  <si>
    <t>$/kWh/kW</t>
  </si>
  <si>
    <t>CDM Initiative</t>
  </si>
  <si>
    <t>Residential Rate Classification</t>
  </si>
  <si>
    <t>Half-Year Rule</t>
  </si>
  <si>
    <t>Residential Total</t>
  </si>
  <si>
    <t>NOTES:</t>
  </si>
  <si>
    <t>1 - OPA Final 2012 Report</t>
  </si>
  <si>
    <t>GS&lt;50 Total</t>
  </si>
  <si>
    <t>GS &lt;50 &amp; GS&gt;50 Rate Classification</t>
  </si>
  <si>
    <t>GS&lt;50 Share</t>
  </si>
  <si>
    <t>Multi-Family efficiency rebates: pre-2011</t>
  </si>
  <si>
    <t>ERIP: Retrofit Business</t>
  </si>
  <si>
    <t>Direct Installed Lighting</t>
  </si>
  <si>
    <t>ERIP: pre-2011</t>
  </si>
  <si>
    <t>2 - for pre-2011 programs a half-year rule does not apply; instead full savings are allocated.</t>
  </si>
  <si>
    <t>GS&gt;50 Share</t>
  </si>
  <si>
    <t>GS&gt;50 Total</t>
  </si>
  <si>
    <t>ERIP: Retrofit Industrial</t>
  </si>
  <si>
    <t>New Construction and Major Renovation</t>
  </si>
  <si>
    <t>Energy Audit</t>
  </si>
  <si>
    <t>DR3 Industrial</t>
  </si>
  <si>
    <t>DR3 Business</t>
  </si>
  <si>
    <t xml:space="preserve">3 - net annual peak demand savings are converted to billable demand savings at the ratio of 6.5 for all programs except 'DR'. </t>
  </si>
  <si>
    <t>DR savings are converted at the ratio of 3 (June through August - 3 months impact).</t>
  </si>
  <si>
    <r>
      <t>ERIP: pre-2011</t>
    </r>
    <r>
      <rPr>
        <vertAlign val="superscript"/>
        <sz val="11"/>
        <color theme="1"/>
        <rFont val="Arial Narrow"/>
        <family val="2"/>
      </rPr>
      <t>2</t>
    </r>
  </si>
  <si>
    <r>
      <t>2011 Net Annual Savings</t>
    </r>
    <r>
      <rPr>
        <b/>
        <vertAlign val="superscript"/>
        <sz val="11"/>
        <color theme="1"/>
        <rFont val="Arial Narrow"/>
        <family val="2"/>
      </rPr>
      <t>1</t>
    </r>
  </si>
  <si>
    <t>High Performance New Construction: pre-2011</t>
  </si>
  <si>
    <t>2012 Net Annual Savings</t>
  </si>
  <si>
    <t>Half Year Rule for 2012</t>
  </si>
  <si>
    <t>2011-2012 Total</t>
  </si>
  <si>
    <t>no persistence</t>
  </si>
  <si>
    <t>2011 Persistence</t>
  </si>
  <si>
    <t>Fridge Pick Up</t>
  </si>
  <si>
    <t>HVAC Rebates</t>
  </si>
  <si>
    <t>Coupons (and retailers events)</t>
  </si>
  <si>
    <t>Peaksaver</t>
  </si>
  <si>
    <t xml:space="preserve">Retailer Co-Op/Sears </t>
  </si>
  <si>
    <t>Residential New Construction</t>
  </si>
  <si>
    <t>Energy Manager</t>
  </si>
  <si>
    <r>
      <t>Converted to Billable kW</t>
    </r>
    <r>
      <rPr>
        <vertAlign val="superscript"/>
        <sz val="11"/>
        <color theme="1"/>
        <rFont val="Arial Narrow"/>
        <family val="2"/>
      </rPr>
      <t>3</t>
    </r>
  </si>
  <si>
    <t>2011 Converted to Billable kW</t>
  </si>
  <si>
    <t>2012 Converted to Billable kW</t>
  </si>
  <si>
    <t>Net kW Savings X 6.5</t>
  </si>
  <si>
    <t>Net kW Savings X 12</t>
  </si>
  <si>
    <t>2011-2012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</si>
</sst>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#,##0_);\(&quot;$&quot;#,##0\)"/>
    <numFmt numFmtId="165" formatCode="&quot;$&quot;#,##0.00_);\(&quot;$&quot;#,##0.0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9" formatCode="[$-409]mmm\-yy;@"/>
    <numFmt numFmtId="170" formatCode="&quot;$&quot;#,##0"/>
    <numFmt numFmtId="171" formatCode="&quot;$&quot;#,##0.0000_);\(&quot;$&quot;#,##0.0000\)"/>
    <numFmt numFmtId="172" formatCode="0.000%"/>
    <numFmt numFmtId="173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1"/>
      <color theme="1"/>
      <name val="Arial Narrow"/>
      <family val="2"/>
    </font>
    <font>
      <sz val="11"/>
      <color theme="0"/>
      <name val="Arial Narrow"/>
      <family val="2"/>
    </font>
    <font>
      <vertAlign val="superscript"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49" fontId="0" fillId="0" borderId="0" xfId="0" applyNumberFormat="1"/>
    <xf numFmtId="167" fontId="0" fillId="0" borderId="0" xfId="0" applyNumberFormat="1"/>
    <xf numFmtId="0" fontId="3" fillId="0" borderId="0" xfId="0" applyFont="1"/>
    <xf numFmtId="0" fontId="4" fillId="0" borderId="1" xfId="0" applyFont="1" applyFill="1" applyBorder="1"/>
    <xf numFmtId="167" fontId="4" fillId="0" borderId="4" xfId="1" quotePrefix="1" applyFont="1" applyFill="1" applyBorder="1" applyAlignment="1">
      <alignment horizontal="center" wrapText="1"/>
    </xf>
    <xf numFmtId="167" fontId="4" fillId="0" borderId="5" xfId="1" quotePrefix="1" applyFont="1" applyFill="1" applyBorder="1" applyAlignment="1">
      <alignment horizontal="center" wrapText="1"/>
    </xf>
    <xf numFmtId="167" fontId="4" fillId="0" borderId="1" xfId="1" quotePrefix="1" applyFont="1" applyFill="1" applyBorder="1" applyAlignment="1">
      <alignment horizontal="center" wrapText="1"/>
    </xf>
    <xf numFmtId="0" fontId="5" fillId="2" borderId="6" xfId="0" applyFont="1" applyFill="1" applyBorder="1"/>
    <xf numFmtId="49" fontId="7" fillId="0" borderId="0" xfId="0" applyNumberFormat="1" applyFont="1" applyFill="1" applyBorder="1"/>
    <xf numFmtId="164" fontId="7" fillId="0" borderId="9" xfId="1" applyNumberFormat="1" applyFont="1" applyFill="1" applyBorder="1"/>
    <xf numFmtId="164" fontId="7" fillId="0" borderId="10" xfId="1" applyNumberFormat="1" applyFont="1" applyFill="1" applyBorder="1"/>
    <xf numFmtId="164" fontId="7" fillId="0" borderId="0" xfId="1" applyNumberFormat="1" applyFont="1" applyFill="1" applyBorder="1"/>
    <xf numFmtId="37" fontId="7" fillId="0" borderId="9" xfId="1" applyNumberFormat="1" applyFont="1" applyFill="1" applyBorder="1"/>
    <xf numFmtId="37" fontId="7" fillId="0" borderId="10" xfId="1" applyNumberFormat="1" applyFont="1" applyFill="1" applyBorder="1"/>
    <xf numFmtId="37" fontId="7" fillId="0" borderId="0" xfId="1" applyNumberFormat="1" applyFont="1" applyFill="1" applyBorder="1"/>
    <xf numFmtId="49" fontId="4" fillId="0" borderId="2" xfId="0" applyNumberFormat="1" applyFont="1" applyFill="1" applyBorder="1"/>
    <xf numFmtId="164" fontId="4" fillId="0" borderId="11" xfId="1" applyNumberFormat="1" applyFont="1" applyFill="1" applyBorder="1"/>
    <xf numFmtId="164" fontId="4" fillId="0" borderId="2" xfId="1" applyNumberFormat="1" applyFont="1" applyFill="1" applyBorder="1"/>
    <xf numFmtId="167" fontId="4" fillId="0" borderId="0" xfId="1" quotePrefix="1" applyFont="1" applyFill="1" applyBorder="1" applyAlignment="1">
      <alignment horizontal="center" wrapText="1"/>
    </xf>
    <xf numFmtId="164" fontId="4" fillId="0" borderId="0" xfId="1" applyNumberFormat="1" applyFont="1" applyFill="1" applyBorder="1"/>
    <xf numFmtId="0" fontId="0" fillId="0" borderId="0" xfId="0" applyBorder="1"/>
    <xf numFmtId="167" fontId="6" fillId="2" borderId="6" xfId="1" quotePrefix="1" applyFont="1" applyFill="1" applyBorder="1" applyAlignment="1">
      <alignment wrapText="1"/>
    </xf>
    <xf numFmtId="167" fontId="6" fillId="2" borderId="7" xfId="1" quotePrefix="1" applyFont="1" applyFill="1" applyBorder="1" applyAlignment="1">
      <alignment horizontal="center" wrapText="1"/>
    </xf>
    <xf numFmtId="167" fontId="6" fillId="2" borderId="6" xfId="1" quotePrefix="1" applyFont="1" applyFill="1" applyBorder="1" applyAlignment="1">
      <alignment horizontal="center" wrapText="1"/>
    </xf>
    <xf numFmtId="164" fontId="0" fillId="0" borderId="0" xfId="0" applyNumberFormat="1"/>
    <xf numFmtId="169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/>
    <xf numFmtId="169" fontId="8" fillId="0" borderId="0" xfId="0" applyNumberFormat="1" applyFont="1"/>
    <xf numFmtId="10" fontId="8" fillId="0" borderId="0" xfId="0" applyNumberFormat="1" applyFont="1" applyAlignment="1">
      <alignment horizontal="center" wrapText="1"/>
    </xf>
    <xf numFmtId="169" fontId="9" fillId="0" borderId="0" xfId="0" applyNumberFormat="1" applyFont="1"/>
    <xf numFmtId="166" fontId="0" fillId="0" borderId="0" xfId="0" applyNumberFormat="1"/>
    <xf numFmtId="166" fontId="8" fillId="0" borderId="0" xfId="0" applyNumberFormat="1" applyFont="1" applyAlignment="1">
      <alignment horizontal="center" wrapText="1"/>
    </xf>
    <xf numFmtId="166" fontId="8" fillId="0" borderId="0" xfId="0" applyNumberFormat="1" applyFont="1" applyAlignment="1">
      <alignment horizontal="center"/>
    </xf>
    <xf numFmtId="166" fontId="2" fillId="0" borderId="6" xfId="0" applyNumberFormat="1" applyFont="1" applyBorder="1"/>
    <xf numFmtId="10" fontId="2" fillId="0" borderId="6" xfId="0" applyNumberFormat="1" applyFont="1" applyBorder="1" applyAlignment="1">
      <alignment horizontal="center"/>
    </xf>
    <xf numFmtId="169" fontId="10" fillId="0" borderId="0" xfId="0" applyNumberFormat="1" applyFont="1"/>
    <xf numFmtId="0" fontId="7" fillId="0" borderId="0" xfId="0" applyFont="1"/>
    <xf numFmtId="49" fontId="7" fillId="0" borderId="0" xfId="0" applyNumberFormat="1" applyFont="1"/>
    <xf numFmtId="0" fontId="7" fillId="0" borderId="0" xfId="0" applyFont="1" applyBorder="1"/>
    <xf numFmtId="49" fontId="7" fillId="0" borderId="0" xfId="0" applyNumberFormat="1" applyFont="1" applyBorder="1"/>
    <xf numFmtId="49" fontId="7" fillId="0" borderId="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9" fontId="4" fillId="0" borderId="2" xfId="0" applyNumberFormat="1" applyFont="1" applyBorder="1"/>
    <xf numFmtId="164" fontId="4" fillId="0" borderId="11" xfId="0" applyNumberFormat="1" applyFont="1" applyBorder="1"/>
    <xf numFmtId="166" fontId="4" fillId="0" borderId="2" xfId="0" applyNumberFormat="1" applyFont="1" applyBorder="1"/>
    <xf numFmtId="164" fontId="4" fillId="0" borderId="12" xfId="0" applyNumberFormat="1" applyFont="1" applyBorder="1"/>
    <xf numFmtId="164" fontId="4" fillId="0" borderId="2" xfId="0" applyNumberFormat="1" applyFont="1" applyBorder="1"/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0" fontId="7" fillId="0" borderId="9" xfId="0" applyNumberFormat="1" applyFont="1" applyBorder="1"/>
    <xf numFmtId="170" fontId="7" fillId="0" borderId="0" xfId="0" applyNumberFormat="1" applyFont="1" applyBorder="1"/>
    <xf numFmtId="170" fontId="7" fillId="0" borderId="10" xfId="0" applyNumberFormat="1" applyFont="1" applyBorder="1"/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/>
    <xf numFmtId="170" fontId="7" fillId="0" borderId="3" xfId="0" applyNumberFormat="1" applyFont="1" applyBorder="1"/>
    <xf numFmtId="3" fontId="7" fillId="0" borderId="3" xfId="0" applyNumberFormat="1" applyFont="1" applyBorder="1"/>
    <xf numFmtId="0" fontId="4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71" fontId="4" fillId="0" borderId="0" xfId="0" applyNumberFormat="1" applyFont="1" applyBorder="1" applyAlignment="1">
      <alignment horizontal="center"/>
    </xf>
    <xf numFmtId="171" fontId="4" fillId="0" borderId="3" xfId="0" applyNumberFormat="1" applyFont="1" applyBorder="1" applyAlignment="1">
      <alignment horizontal="center"/>
    </xf>
    <xf numFmtId="166" fontId="11" fillId="0" borderId="0" xfId="0" applyNumberFormat="1" applyFont="1"/>
    <xf numFmtId="166" fontId="4" fillId="0" borderId="11" xfId="0" applyNumberFormat="1" applyFont="1" applyBorder="1"/>
    <xf numFmtId="166" fontId="4" fillId="0" borderId="12" xfId="0" applyNumberFormat="1" applyFont="1" applyBorder="1"/>
    <xf numFmtId="0" fontId="4" fillId="0" borderId="1" xfId="0" applyFont="1" applyBorder="1" applyAlignment="1">
      <alignment horizontal="center" wrapText="1"/>
    </xf>
    <xf numFmtId="49" fontId="4" fillId="0" borderId="17" xfId="0" applyNumberFormat="1" applyFont="1" applyFill="1" applyBorder="1"/>
    <xf numFmtId="164" fontId="4" fillId="0" borderId="18" xfId="1" applyNumberFormat="1" applyFont="1" applyFill="1" applyBorder="1"/>
    <xf numFmtId="164" fontId="4" fillId="0" borderId="19" xfId="1" applyNumberFormat="1" applyFont="1" applyFill="1" applyBorder="1"/>
    <xf numFmtId="164" fontId="4" fillId="0" borderId="17" xfId="1" applyNumberFormat="1" applyFont="1" applyFill="1" applyBorder="1"/>
    <xf numFmtId="49" fontId="4" fillId="0" borderId="3" xfId="0" applyNumberFormat="1" applyFont="1" applyFill="1" applyBorder="1"/>
    <xf numFmtId="164" fontId="4" fillId="0" borderId="3" xfId="1" applyNumberFormat="1" applyFont="1" applyFill="1" applyBorder="1"/>
    <xf numFmtId="3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 wrapText="1"/>
    </xf>
    <xf numFmtId="3" fontId="2" fillId="0" borderId="6" xfId="0" applyNumberFormat="1" applyFont="1" applyBorder="1" applyAlignment="1">
      <alignment horizontal="center"/>
    </xf>
    <xf numFmtId="172" fontId="0" fillId="0" borderId="0" xfId="0" applyNumberFormat="1" applyAlignment="1">
      <alignment horizontal="center"/>
    </xf>
    <xf numFmtId="172" fontId="8" fillId="0" borderId="0" xfId="0" applyNumberFormat="1" applyFont="1" applyAlignment="1">
      <alignment horizontal="center" wrapText="1"/>
    </xf>
    <xf numFmtId="172" fontId="2" fillId="0" borderId="6" xfId="0" applyNumberFormat="1" applyFont="1" applyBorder="1" applyAlignment="1">
      <alignment horizontal="center"/>
    </xf>
    <xf numFmtId="164" fontId="4" fillId="0" borderId="20" xfId="1" applyNumberFormat="1" applyFont="1" applyFill="1" applyBorder="1"/>
    <xf numFmtId="164" fontId="4" fillId="0" borderId="21" xfId="1" applyNumberFormat="1" applyFont="1" applyFill="1" applyBorder="1"/>
    <xf numFmtId="166" fontId="0" fillId="0" borderId="0" xfId="0" applyNumberFormat="1" applyBorder="1"/>
    <xf numFmtId="0" fontId="0" fillId="0" borderId="3" xfId="0" applyBorder="1"/>
    <xf numFmtId="0" fontId="2" fillId="0" borderId="0" xfId="0" applyFont="1" applyBorder="1"/>
    <xf numFmtId="166" fontId="2" fillId="0" borderId="13" xfId="0" applyNumberFormat="1" applyFont="1" applyBorder="1"/>
    <xf numFmtId="0" fontId="8" fillId="0" borderId="1" xfId="0" applyFont="1" applyBorder="1" applyAlignment="1">
      <alignment horizontal="center"/>
    </xf>
    <xf numFmtId="166" fontId="8" fillId="0" borderId="1" xfId="0" applyNumberFormat="1" applyFont="1" applyBorder="1" applyAlignment="1">
      <alignment horizontal="center" wrapText="1"/>
    </xf>
    <xf numFmtId="166" fontId="2" fillId="0" borderId="13" xfId="0" applyNumberFormat="1" applyFont="1" applyFill="1" applyBorder="1"/>
    <xf numFmtId="0" fontId="0" fillId="0" borderId="0" xfId="0" applyAlignment="1"/>
    <xf numFmtId="166" fontId="2" fillId="0" borderId="0" xfId="0" applyNumberFormat="1" applyFont="1"/>
    <xf numFmtId="49" fontId="4" fillId="0" borderId="1" xfId="0" applyNumberFormat="1" applyFont="1" applyFill="1" applyBorder="1"/>
    <xf numFmtId="0" fontId="7" fillId="4" borderId="6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/>
    </xf>
    <xf numFmtId="38" fontId="7" fillId="3" borderId="17" xfId="0" applyNumberFormat="1" applyFont="1" applyFill="1" applyBorder="1"/>
    <xf numFmtId="38" fontId="7" fillId="0" borderId="0" xfId="0" applyNumberFormat="1" applyFont="1" applyBorder="1"/>
    <xf numFmtId="166" fontId="7" fillId="0" borderId="0" xfId="0" applyNumberFormat="1" applyFont="1" applyBorder="1"/>
    <xf numFmtId="38" fontId="7" fillId="3" borderId="0" xfId="0" applyNumberFormat="1" applyFont="1" applyFill="1" applyBorder="1"/>
    <xf numFmtId="0" fontId="4" fillId="0" borderId="0" xfId="0" applyFont="1" applyBorder="1"/>
    <xf numFmtId="38" fontId="4" fillId="3" borderId="0" xfId="0" applyNumberFormat="1" applyFont="1" applyFill="1" applyBorder="1"/>
    <xf numFmtId="38" fontId="4" fillId="0" borderId="6" xfId="0" applyNumberFormat="1" applyFont="1" applyBorder="1"/>
    <xf numFmtId="0" fontId="4" fillId="0" borderId="6" xfId="0" applyFont="1" applyBorder="1"/>
    <xf numFmtId="166" fontId="4" fillId="0" borderId="6" xfId="0" applyNumberFormat="1" applyFont="1" applyBorder="1"/>
    <xf numFmtId="0" fontId="7" fillId="0" borderId="3" xfId="0" applyFont="1" applyBorder="1"/>
    <xf numFmtId="173" fontId="7" fillId="0" borderId="0" xfId="0" applyNumberFormat="1" applyFont="1" applyBorder="1" applyAlignment="1">
      <alignment horizontal="center"/>
    </xf>
    <xf numFmtId="3" fontId="0" fillId="0" borderId="0" xfId="0" applyNumberFormat="1"/>
    <xf numFmtId="3" fontId="2" fillId="0" borderId="0" xfId="0" applyNumberFormat="1" applyFont="1"/>
    <xf numFmtId="0" fontId="13" fillId="6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0" borderId="0" xfId="0" applyFont="1" applyBorder="1" applyAlignment="1"/>
    <xf numFmtId="3" fontId="4" fillId="0" borderId="0" xfId="0" applyNumberFormat="1" applyFont="1" applyBorder="1"/>
    <xf numFmtId="0" fontId="4" fillId="0" borderId="0" xfId="0" applyFont="1" applyBorder="1" applyAlignment="1">
      <alignment horizontal="left" indent="1"/>
    </xf>
    <xf numFmtId="3" fontId="4" fillId="0" borderId="6" xfId="0" applyNumberFormat="1" applyFont="1" applyBorder="1"/>
    <xf numFmtId="38" fontId="4" fillId="0" borderId="0" xfId="0" applyNumberFormat="1" applyFont="1" applyBorder="1"/>
    <xf numFmtId="0" fontId="4" fillId="0" borderId="1" xfId="0" applyFont="1" applyBorder="1" applyAlignment="1"/>
    <xf numFmtId="0" fontId="2" fillId="0" borderId="0" xfId="0" applyFont="1" applyAlignment="1"/>
    <xf numFmtId="0" fontId="7" fillId="0" borderId="0" xfId="0" applyFont="1" applyAlignment="1">
      <alignment horizontal="left" indent="2"/>
    </xf>
    <xf numFmtId="3" fontId="7" fillId="0" borderId="0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22" xfId="0" applyFont="1" applyBorder="1"/>
    <xf numFmtId="0" fontId="7" fillId="0" borderId="22" xfId="0" applyFont="1" applyBorder="1"/>
    <xf numFmtId="0" fontId="0" fillId="0" borderId="22" xfId="0" applyBorder="1"/>
    <xf numFmtId="0" fontId="13" fillId="6" borderId="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67" fontId="4" fillId="0" borderId="4" xfId="0" applyNumberFormat="1" applyFont="1" applyBorder="1" applyAlignment="1">
      <alignment horizontal="center" wrapText="1"/>
    </xf>
    <xf numFmtId="167" fontId="4" fillId="0" borderId="5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7" fontId="4" fillId="0" borderId="15" xfId="0" applyNumberFormat="1" applyFont="1" applyBorder="1" applyAlignment="1">
      <alignment horizontal="center" wrapText="1"/>
    </xf>
    <xf numFmtId="167" fontId="4" fillId="0" borderId="14" xfId="0" applyNumberFormat="1" applyFont="1" applyBorder="1" applyAlignment="1">
      <alignment horizontal="center" wrapText="1"/>
    </xf>
    <xf numFmtId="167" fontId="4" fillId="0" borderId="16" xfId="0" applyNumberFormat="1" applyFont="1" applyBorder="1" applyAlignment="1">
      <alignment horizontal="center" wrapText="1"/>
    </xf>
    <xf numFmtId="167" fontId="6" fillId="0" borderId="0" xfId="1" quotePrefix="1" applyFont="1" applyFill="1" applyBorder="1" applyAlignment="1">
      <alignment horizontal="center" wrapText="1"/>
    </xf>
    <xf numFmtId="167" fontId="6" fillId="2" borderId="7" xfId="1" quotePrefix="1" applyFont="1" applyFill="1" applyBorder="1" applyAlignment="1">
      <alignment horizontal="center" wrapText="1"/>
    </xf>
    <xf numFmtId="167" fontId="6" fillId="2" borderId="8" xfId="1" quotePrefix="1" applyFont="1" applyFill="1" applyBorder="1" applyAlignment="1">
      <alignment horizontal="center" wrapText="1"/>
    </xf>
    <xf numFmtId="167" fontId="6" fillId="2" borderId="6" xfId="1" quotePrefix="1" applyFont="1" applyFill="1" applyBorder="1" applyAlignment="1">
      <alignment horizontal="center" wrapText="1"/>
    </xf>
    <xf numFmtId="0" fontId="13" fillId="5" borderId="7" xfId="0" applyFont="1" applyFill="1" applyBorder="1" applyAlignment="1">
      <alignment horizontal="center"/>
    </xf>
    <xf numFmtId="0" fontId="13" fillId="5" borderId="6" xfId="0" applyFont="1" applyFill="1" applyBorder="1" applyAlignment="1">
      <alignment horizontal="center"/>
    </xf>
    <xf numFmtId="0" fontId="13" fillId="5" borderId="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Group/SRA/LRAMVA/1568%20Reconciliations/Account%201568%20LRAMV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Group/SRA/2015%20IRM/Models/2015%20IRM%20Rate%20Generator_july8_V4_VQ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Group/SRA/LRAMVA/LRAMVA%202011_2012/LRAMVA%20Account%201568_true%20up%202011_2012_analy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2"/>
      <sheetName val="Carrying Interest"/>
      <sheetName val="JE12139"/>
      <sheetName val="Details Jan8"/>
    </sheetNames>
    <sheetDataSet>
      <sheetData sheetId="0"/>
      <sheetData sheetId="1">
        <row r="5">
          <cell r="C5">
            <v>303723.40000000002</v>
          </cell>
        </row>
      </sheetData>
      <sheetData sheetId="2">
        <row r="7">
          <cell r="F7">
            <v>31</v>
          </cell>
        </row>
        <row r="9">
          <cell r="F9">
            <v>31</v>
          </cell>
        </row>
        <row r="10">
          <cell r="F10">
            <v>30</v>
          </cell>
        </row>
        <row r="11">
          <cell r="F11">
            <v>31</v>
          </cell>
        </row>
        <row r="12">
          <cell r="F12">
            <v>30</v>
          </cell>
        </row>
        <row r="13">
          <cell r="F13">
            <v>31</v>
          </cell>
        </row>
        <row r="14">
          <cell r="F14">
            <v>31</v>
          </cell>
        </row>
        <row r="15">
          <cell r="F15">
            <v>30</v>
          </cell>
        </row>
        <row r="16">
          <cell r="F16">
            <v>31</v>
          </cell>
        </row>
        <row r="17">
          <cell r="F17">
            <v>30</v>
          </cell>
        </row>
        <row r="18">
          <cell r="F18">
            <v>31</v>
          </cell>
        </row>
        <row r="19">
          <cell r="F19">
            <v>31</v>
          </cell>
        </row>
        <row r="20">
          <cell r="F20">
            <v>28</v>
          </cell>
        </row>
        <row r="21">
          <cell r="F21">
            <v>31</v>
          </cell>
        </row>
        <row r="22">
          <cell r="F22">
            <v>30</v>
          </cell>
        </row>
        <row r="23">
          <cell r="F23">
            <v>31</v>
          </cell>
        </row>
        <row r="24">
          <cell r="F24">
            <v>30</v>
          </cell>
        </row>
        <row r="25">
          <cell r="F25">
            <v>31</v>
          </cell>
        </row>
        <row r="26">
          <cell r="F26">
            <v>31</v>
          </cell>
        </row>
        <row r="27">
          <cell r="F27">
            <v>30</v>
          </cell>
        </row>
        <row r="28">
          <cell r="F28">
            <v>31</v>
          </cell>
        </row>
        <row r="29">
          <cell r="F29">
            <v>30</v>
          </cell>
        </row>
        <row r="30">
          <cell r="F30">
            <v>31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STS - Billing Det &amp; Rates"/>
      <sheetName val="10. STS - Rebased Rev"/>
      <sheetName val="9. STS - Billing Det &amp; Rate HID"/>
      <sheetName val="11. STS - Tax Change"/>
      <sheetName val="12. STS - Tax Change Rate Rider"/>
      <sheetName val="13. RTSR Rate Sheet"/>
      <sheetName val="14. RTSR RRR Data"/>
      <sheetName val="14. RTSR RRR Data Copy"/>
      <sheetName val="15. RTSR - UTRs &amp; Sub-Tx"/>
      <sheetName val="16. RTSR - Historical Wholesale"/>
      <sheetName val="17. RTSR - Current Wholesale"/>
      <sheetName val="18. RTSR - Forecast Wholesale"/>
      <sheetName val="19. RTSR Ntwrk to Curren WS"/>
      <sheetName val="20. RTSR Adj Conn to Current WS"/>
      <sheetName val="21. RTSR Adj Ntwk to Forcast WS"/>
      <sheetName val="22. RTSR Adj Conn. to Forcst WS"/>
      <sheetName val="23. RTSR Final 2015 RTS Rates"/>
      <sheetName val="24. Rev2Cost_GDPIPI"/>
      <sheetName val="24. hidden"/>
      <sheetName val="25. Other Charges &amp; LF"/>
      <sheetName val="26. Proposed Rates"/>
      <sheetName val="26. Hidden"/>
      <sheetName val="27. Final Tariff Schedule"/>
      <sheetName val="14. Bill Impacts"/>
      <sheetName val="28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C18">
            <v>1023964951.2607555</v>
          </cell>
        </row>
        <row r="19">
          <cell r="D19">
            <v>12304410.097933691</v>
          </cell>
        </row>
      </sheetData>
      <sheetData sheetId="7"/>
      <sheetData sheetId="8"/>
      <sheetData sheetId="9">
        <row r="20">
          <cell r="C20">
            <v>2691200334.7134218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RAMVA (original)"/>
      <sheetName val="LRAMVA (Total)"/>
      <sheetName val="FCST CDM (2009)"/>
      <sheetName val="FCST CDM (2013)"/>
      <sheetName val="JE1024"/>
      <sheetName val="Analysis_Volumes"/>
      <sheetName val="Analysis"/>
      <sheetName val="Summary"/>
      <sheetName val="LRAMVA for 2012"/>
      <sheetName val="2012 Savings_revised"/>
      <sheetName val="Demand Calc 2012"/>
      <sheetName val="LRAMVA for 2011"/>
      <sheetName val="2011 Savings_revised"/>
      <sheetName val="Demand Calc"/>
      <sheetName val="LRAM 2011 Estimates"/>
      <sheetName val="2011 Savings-Estimated"/>
      <sheetName val="2011 Savings - Summary"/>
      <sheetName val="2010 OPA FINAL report"/>
      <sheetName val="2010 OPA FINAL details"/>
      <sheetName val="2012 Savings"/>
      <sheetName val="2012 Split Details Dec"/>
      <sheetName val="2011 Split Details"/>
      <sheetName val="2011 OPA report FINAL"/>
      <sheetName val="OPA 2011 _3.1.1 Summary - LDC"/>
      <sheetName val="Rates"/>
      <sheetName val="ClassZone Split"/>
      <sheetName val="2011 Savings - OLD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3">
          <cell r="F23">
            <v>2909242.5609209212</v>
          </cell>
        </row>
        <row r="24">
          <cell r="F24">
            <v>8276520.6223485712</v>
          </cell>
        </row>
        <row r="26">
          <cell r="G26">
            <v>15870.552686485433</v>
          </cell>
        </row>
      </sheetData>
      <sheetData sheetId="9">
        <row r="7">
          <cell r="F7">
            <v>690707</v>
          </cell>
        </row>
        <row r="8">
          <cell r="F8">
            <v>2761285</v>
          </cell>
        </row>
        <row r="9">
          <cell r="F9">
            <v>1870675</v>
          </cell>
        </row>
        <row r="10">
          <cell r="F10">
            <v>28587</v>
          </cell>
        </row>
        <row r="11">
          <cell r="F11">
            <v>0</v>
          </cell>
        </row>
        <row r="12">
          <cell r="F12">
            <v>0</v>
          </cell>
        </row>
        <row r="15">
          <cell r="F15">
            <v>0</v>
          </cell>
          <cell r="S15">
            <v>52718.822400000005</v>
          </cell>
        </row>
        <row r="17">
          <cell r="D17">
            <v>8936865.7330579869</v>
          </cell>
          <cell r="E17">
            <v>4690</v>
          </cell>
          <cell r="F17">
            <v>25834397</v>
          </cell>
          <cell r="S17">
            <v>17264710.744115815</v>
          </cell>
          <cell r="Z17">
            <v>10019.574256937864</v>
          </cell>
        </row>
        <row r="18">
          <cell r="E18">
            <v>0</v>
          </cell>
          <cell r="Z18">
            <v>6019.0310254542383</v>
          </cell>
        </row>
        <row r="19">
          <cell r="F19">
            <v>5424343</v>
          </cell>
          <cell r="S19">
            <v>8013401.0227071671</v>
          </cell>
        </row>
        <row r="20">
          <cell r="E20">
            <v>0</v>
          </cell>
          <cell r="Z20">
            <v>125.27999999999999</v>
          </cell>
        </row>
        <row r="21">
          <cell r="E21">
            <v>52</v>
          </cell>
          <cell r="Z21">
            <v>338</v>
          </cell>
        </row>
        <row r="22">
          <cell r="E22">
            <v>19</v>
          </cell>
          <cell r="Z22">
            <v>123.50000000000001</v>
          </cell>
        </row>
        <row r="25">
          <cell r="E25">
            <v>0</v>
          </cell>
          <cell r="S25">
            <v>39427.994824509668</v>
          </cell>
          <cell r="Z25">
            <v>4967.8007979547046</v>
          </cell>
        </row>
        <row r="26">
          <cell r="E26">
            <v>644</v>
          </cell>
          <cell r="Z26">
            <v>1816.9824276336808</v>
          </cell>
        </row>
        <row r="30">
          <cell r="E30">
            <v>3186</v>
          </cell>
          <cell r="Z30">
            <v>9558</v>
          </cell>
        </row>
        <row r="31">
          <cell r="E31">
            <v>1232</v>
          </cell>
        </row>
      </sheetData>
      <sheetData sheetId="10"/>
      <sheetData sheetId="11">
        <row r="23">
          <cell r="F23">
            <v>921329.09965566848</v>
          </cell>
        </row>
        <row r="24">
          <cell r="F24">
            <v>798650.13620571559</v>
          </cell>
        </row>
        <row r="26">
          <cell r="G26">
            <v>6069.8156965274748</v>
          </cell>
        </row>
      </sheetData>
      <sheetData sheetId="12">
        <row r="7">
          <cell r="B7" t="str">
            <v>Fridge Pick Up</v>
          </cell>
          <cell r="D7">
            <v>1179908.6492101145</v>
          </cell>
        </row>
        <row r="8">
          <cell r="B8" t="str">
            <v>HVAC Rebates</v>
          </cell>
          <cell r="D8">
            <v>4377639.1124493228</v>
          </cell>
        </row>
        <row r="9">
          <cell r="B9" t="str">
            <v>Coupons (and retailers events)</v>
          </cell>
          <cell r="D9">
            <v>3409232.7015841892</v>
          </cell>
        </row>
        <row r="10">
          <cell r="B10" t="str">
            <v>Peaksaver</v>
          </cell>
          <cell r="D10">
            <v>3239.2999999999997</v>
          </cell>
        </row>
        <row r="11">
          <cell r="B11" t="str">
            <v xml:space="preserve">Retailer Co-Op/Sears </v>
          </cell>
          <cell r="D11">
            <v>2334.8122765756216</v>
          </cell>
        </row>
        <row r="12">
          <cell r="B12" t="str">
            <v>Residential New Construction</v>
          </cell>
          <cell r="D12">
            <v>2436</v>
          </cell>
        </row>
        <row r="15">
          <cell r="D15">
            <v>194534.39999999999</v>
          </cell>
          <cell r="N15">
            <v>52718.822400000005</v>
          </cell>
        </row>
        <row r="17">
          <cell r="C17">
            <v>1435.6048638642312</v>
          </cell>
          <cell r="D17">
            <v>8936865.7330579869</v>
          </cell>
          <cell r="E17">
            <v>9331.4316151175026</v>
          </cell>
          <cell r="O17">
            <v>3530061.9645579057</v>
          </cell>
          <cell r="V17">
            <v>1959.6006391746755</v>
          </cell>
        </row>
        <row r="18">
          <cell r="C18">
            <v>501.58591878785319</v>
          </cell>
          <cell r="E18">
            <v>3260.3084721210457</v>
          </cell>
          <cell r="V18">
            <v>3260.3084721210457</v>
          </cell>
        </row>
        <row r="19">
          <cell r="D19">
            <v>5301229.522707168</v>
          </cell>
          <cell r="O19">
            <v>2650614.761353584</v>
          </cell>
        </row>
        <row r="20">
          <cell r="C20">
            <v>10.440000000000001</v>
          </cell>
          <cell r="E20">
            <v>67.86</v>
          </cell>
          <cell r="V20">
            <v>67.86</v>
          </cell>
        </row>
        <row r="21">
          <cell r="C21">
            <v>5</v>
          </cell>
          <cell r="E21">
            <v>32.5</v>
          </cell>
          <cell r="V21">
            <v>32.5</v>
          </cell>
        </row>
        <row r="25">
          <cell r="C25">
            <v>1958.1697823311224</v>
          </cell>
          <cell r="D25">
            <v>9540023.7042951919</v>
          </cell>
          <cell r="E25">
            <v>12728.103585152297</v>
          </cell>
          <cell r="O25">
            <v>39427.994824509668</v>
          </cell>
          <cell r="V25">
            <v>2690.8920988921323</v>
          </cell>
        </row>
        <row r="26">
          <cell r="C26">
            <v>541.84432727141211</v>
          </cell>
          <cell r="E26">
            <v>3521.9881272641787</v>
          </cell>
          <cell r="V26">
            <v>598.7379816349104</v>
          </cell>
        </row>
        <row r="30">
          <cell r="C30">
            <v>2633.625</v>
          </cell>
          <cell r="E30">
            <v>7902</v>
          </cell>
          <cell r="V30">
            <v>7902</v>
          </cell>
        </row>
        <row r="31">
          <cell r="C31">
            <v>1243</v>
          </cell>
          <cell r="E31">
            <v>3729</v>
          </cell>
          <cell r="V31">
            <v>3729.0000000000005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59"/>
  <sheetViews>
    <sheetView tabSelected="1" topLeftCell="A95" zoomScale="85" zoomScaleNormal="85" workbookViewId="0">
      <selection activeCell="B144" sqref="B144:G152"/>
    </sheetView>
  </sheetViews>
  <sheetFormatPr defaultRowHeight="15" x14ac:dyDescent="0.25"/>
  <cols>
    <col min="1" max="1" width="38.5703125" customWidth="1"/>
    <col min="2" max="2" width="23.28515625" customWidth="1"/>
    <col min="3" max="3" width="22.85546875" customWidth="1"/>
    <col min="4" max="4" width="23.7109375" customWidth="1"/>
    <col min="5" max="5" width="22.28515625" customWidth="1"/>
    <col min="6" max="6" width="18.85546875" customWidth="1"/>
    <col min="7" max="7" width="16.7109375" customWidth="1"/>
    <col min="8" max="11" width="13.140625" customWidth="1"/>
    <col min="12" max="12" width="10.42578125" customWidth="1"/>
  </cols>
  <sheetData>
    <row r="2" spans="1:8" ht="15.75" thickBot="1" x14ac:dyDescent="0.3">
      <c r="B2" s="125"/>
      <c r="C2" s="125"/>
      <c r="F2" s="125"/>
      <c r="G2" s="125"/>
    </row>
    <row r="3" spans="1:8" ht="33" x14ac:dyDescent="0.3">
      <c r="A3" s="5" t="s">
        <v>3</v>
      </c>
      <c r="B3" s="6" t="s">
        <v>12</v>
      </c>
      <c r="C3" s="7" t="s">
        <v>13</v>
      </c>
      <c r="D3" s="6" t="s">
        <v>14</v>
      </c>
      <c r="E3" s="7" t="s">
        <v>15</v>
      </c>
      <c r="F3" s="6" t="s">
        <v>12</v>
      </c>
      <c r="G3" s="8" t="s">
        <v>13</v>
      </c>
    </row>
    <row r="4" spans="1:8" s="4" customFormat="1" ht="13.5" x14ac:dyDescent="0.25">
      <c r="A4" s="9"/>
      <c r="B4" s="133" t="s">
        <v>18</v>
      </c>
      <c r="C4" s="134"/>
      <c r="D4" s="133" t="s">
        <v>16</v>
      </c>
      <c r="E4" s="134"/>
      <c r="F4" s="133" t="s">
        <v>17</v>
      </c>
      <c r="G4" s="135"/>
    </row>
    <row r="5" spans="1:8" ht="16.5" x14ac:dyDescent="0.3">
      <c r="A5" s="10" t="s">
        <v>5</v>
      </c>
      <c r="B5" s="11">
        <v>126255.39</v>
      </c>
      <c r="C5" s="12">
        <v>177468.01</v>
      </c>
      <c r="D5" s="11">
        <v>-67378.378820377111</v>
      </c>
      <c r="E5" s="12">
        <v>-24889.974590685364</v>
      </c>
      <c r="F5" s="11">
        <f>SUM(B5,D5)</f>
        <v>58877.011179622888</v>
      </c>
      <c r="G5" s="13">
        <f>SUM(C5,E5)</f>
        <v>152578.03540931465</v>
      </c>
      <c r="H5" s="26"/>
    </row>
    <row r="6" spans="1:8" ht="16.5" x14ac:dyDescent="0.3">
      <c r="A6" s="10" t="s">
        <v>6</v>
      </c>
      <c r="B6" s="14">
        <v>164248.17000000001</v>
      </c>
      <c r="C6" s="15">
        <v>226133.87</v>
      </c>
      <c r="D6" s="14">
        <v>-89611.608322396365</v>
      </c>
      <c r="E6" s="15">
        <v>99449.698924774886</v>
      </c>
      <c r="F6" s="14">
        <f t="shared" ref="F6:G7" si="0">SUM(B6,D6)</f>
        <v>74636.561677603648</v>
      </c>
      <c r="G6" s="16">
        <f t="shared" si="0"/>
        <v>325583.56892477488</v>
      </c>
      <c r="H6" s="26"/>
    </row>
    <row r="7" spans="1:8" ht="16.5" x14ac:dyDescent="0.3">
      <c r="A7" s="10" t="s">
        <v>7</v>
      </c>
      <c r="B7" s="14">
        <v>2054.16</v>
      </c>
      <c r="C7" s="15">
        <v>20750.39</v>
      </c>
      <c r="D7" s="14">
        <v>57429.203308568773</v>
      </c>
      <c r="E7" s="15">
        <v>79057.675837741961</v>
      </c>
      <c r="F7" s="14">
        <f t="shared" si="0"/>
        <v>59483.363308568776</v>
      </c>
      <c r="G7" s="16">
        <f t="shared" si="0"/>
        <v>99808.06583774196</v>
      </c>
      <c r="H7" s="26"/>
    </row>
    <row r="8" spans="1:8" ht="16.5" x14ac:dyDescent="0.3">
      <c r="A8" s="70" t="s">
        <v>40</v>
      </c>
      <c r="B8" s="71">
        <f t="shared" ref="B8:G8" si="1">SUM(B5:B7)</f>
        <v>292557.71999999997</v>
      </c>
      <c r="C8" s="72">
        <f t="shared" si="1"/>
        <v>424352.27</v>
      </c>
      <c r="D8" s="71">
        <f t="shared" si="1"/>
        <v>-99560.783834204689</v>
      </c>
      <c r="E8" s="72">
        <f t="shared" si="1"/>
        <v>153617.40017183148</v>
      </c>
      <c r="F8" s="71">
        <f t="shared" si="1"/>
        <v>192996.93616579531</v>
      </c>
      <c r="G8" s="73">
        <f t="shared" si="1"/>
        <v>577969.6701718315</v>
      </c>
    </row>
    <row r="9" spans="1:8" ht="17.25" thickBot="1" x14ac:dyDescent="0.35">
      <c r="A9" s="74" t="s">
        <v>41</v>
      </c>
      <c r="B9" s="82"/>
      <c r="C9" s="83">
        <f>SUM(B8:C8)</f>
        <v>716909.99</v>
      </c>
      <c r="D9" s="82"/>
      <c r="E9" s="83">
        <f>SUM(D8:E8)</f>
        <v>54056.616337626794</v>
      </c>
      <c r="F9" s="82"/>
      <c r="G9" s="75">
        <f>SUM(F8:G8)</f>
        <v>770966.60633762681</v>
      </c>
    </row>
    <row r="11" spans="1:8" ht="15.75" thickBot="1" x14ac:dyDescent="0.3"/>
    <row r="12" spans="1:8" ht="33" x14ac:dyDescent="0.3">
      <c r="A12" s="5" t="s">
        <v>3</v>
      </c>
      <c r="B12" s="6" t="s">
        <v>12</v>
      </c>
      <c r="C12" s="8" t="s">
        <v>13</v>
      </c>
      <c r="D12" s="8" t="s">
        <v>19</v>
      </c>
      <c r="E12" s="8" t="s">
        <v>20</v>
      </c>
      <c r="F12" s="20"/>
      <c r="G12" s="20"/>
    </row>
    <row r="13" spans="1:8" s="4" customFormat="1" ht="13.5" x14ac:dyDescent="0.25">
      <c r="A13" s="9"/>
      <c r="B13" s="24" t="s">
        <v>21</v>
      </c>
      <c r="C13" s="25" t="s">
        <v>21</v>
      </c>
      <c r="D13" s="25" t="s">
        <v>22</v>
      </c>
      <c r="E13" s="23"/>
      <c r="F13" s="132"/>
      <c r="G13" s="132"/>
    </row>
    <row r="14" spans="1:8" ht="16.5" x14ac:dyDescent="0.3">
      <c r="A14" s="10" t="s">
        <v>5</v>
      </c>
      <c r="B14" s="11">
        <f t="shared" ref="B14:C16" si="2">F5</f>
        <v>58877.011179622888</v>
      </c>
      <c r="C14" s="13">
        <f t="shared" si="2"/>
        <v>152578.03540931465</v>
      </c>
      <c r="D14" s="13">
        <v>-377820.81</v>
      </c>
      <c r="E14" s="21">
        <f>SUM(B14:D14)</f>
        <v>-166365.76341106248</v>
      </c>
      <c r="F14" s="13"/>
      <c r="G14" s="13"/>
    </row>
    <row r="15" spans="1:8" ht="16.5" x14ac:dyDescent="0.3">
      <c r="A15" s="10" t="s">
        <v>6</v>
      </c>
      <c r="B15" s="14">
        <f t="shared" si="2"/>
        <v>74636.561677603648</v>
      </c>
      <c r="C15" s="16">
        <f t="shared" si="2"/>
        <v>325583.56892477488</v>
      </c>
      <c r="D15" s="16">
        <v>35902.379999999997</v>
      </c>
      <c r="E15" s="21">
        <f t="shared" ref="E15:E20" si="3">SUM(B15:D15)</f>
        <v>436122.51060237852</v>
      </c>
      <c r="F15" s="16"/>
      <c r="G15" s="16"/>
    </row>
    <row r="16" spans="1:8" ht="16.5" x14ac:dyDescent="0.3">
      <c r="A16" s="10" t="s">
        <v>7</v>
      </c>
      <c r="B16" s="14">
        <f t="shared" si="2"/>
        <v>59483.363308568776</v>
      </c>
      <c r="C16" s="16">
        <f t="shared" si="2"/>
        <v>99808.06583774196</v>
      </c>
      <c r="D16" s="16">
        <v>-198985.77</v>
      </c>
      <c r="E16" s="21">
        <f t="shared" si="3"/>
        <v>-39694.340853689268</v>
      </c>
      <c r="F16" s="16"/>
      <c r="G16" s="16"/>
    </row>
    <row r="17" spans="1:12" ht="16.5" x14ac:dyDescent="0.3">
      <c r="A17" s="10" t="s">
        <v>8</v>
      </c>
      <c r="B17" s="14"/>
      <c r="C17" s="16"/>
      <c r="D17" s="16">
        <v>-5144.03</v>
      </c>
      <c r="E17" s="21">
        <f t="shared" si="3"/>
        <v>-5144.03</v>
      </c>
      <c r="F17" s="16"/>
      <c r="G17" s="16"/>
    </row>
    <row r="18" spans="1:12" ht="16.5" x14ac:dyDescent="0.3">
      <c r="A18" s="10" t="s">
        <v>9</v>
      </c>
      <c r="B18" s="14"/>
      <c r="C18" s="16"/>
      <c r="D18" s="16">
        <v>-3233.72</v>
      </c>
      <c r="E18" s="21">
        <f t="shared" si="3"/>
        <v>-3233.72</v>
      </c>
      <c r="F18" s="16"/>
      <c r="G18" s="16"/>
    </row>
    <row r="19" spans="1:12" ht="16.5" x14ac:dyDescent="0.3">
      <c r="A19" s="10" t="s">
        <v>10</v>
      </c>
      <c r="B19" s="14"/>
      <c r="C19" s="16"/>
      <c r="D19" s="16">
        <v>-156.78</v>
      </c>
      <c r="E19" s="21">
        <f t="shared" si="3"/>
        <v>-156.78</v>
      </c>
      <c r="F19" s="16"/>
      <c r="G19" s="16"/>
    </row>
    <row r="20" spans="1:12" ht="16.5" x14ac:dyDescent="0.3">
      <c r="A20" s="10" t="s">
        <v>11</v>
      </c>
      <c r="B20" s="14"/>
      <c r="C20" s="16"/>
      <c r="D20" s="16">
        <v>-18579.02</v>
      </c>
      <c r="E20" s="21">
        <f t="shared" si="3"/>
        <v>-18579.02</v>
      </c>
      <c r="F20" s="16"/>
      <c r="G20" s="16"/>
    </row>
    <row r="21" spans="1:12" ht="17.25" thickBot="1" x14ac:dyDescent="0.35">
      <c r="A21" s="17" t="s">
        <v>2</v>
      </c>
      <c r="B21" s="18">
        <f t="shared" ref="B21" si="4">SUM(B14:B20)</f>
        <v>192996.93616579531</v>
      </c>
      <c r="C21" s="19">
        <f>SUM(C14:C20)</f>
        <v>577969.6701718315</v>
      </c>
      <c r="D21" s="19">
        <f t="shared" ref="D21:E21" si="5">SUM(D14:D20)</f>
        <v>-568017.75</v>
      </c>
      <c r="E21" s="19">
        <f t="shared" si="5"/>
        <v>202948.85633762678</v>
      </c>
      <c r="F21" s="21"/>
      <c r="G21" s="21"/>
    </row>
    <row r="22" spans="1:12" x14ac:dyDescent="0.25">
      <c r="B22" s="34">
        <f>C32</f>
        <v>1306.4702871283596</v>
      </c>
      <c r="C22" s="34">
        <f>F32</f>
        <v>6740.7979210587118</v>
      </c>
      <c r="F22" s="22"/>
      <c r="G22" s="22"/>
    </row>
    <row r="23" spans="1:12" x14ac:dyDescent="0.25">
      <c r="F23" s="22"/>
      <c r="G23" s="22"/>
    </row>
    <row r="24" spans="1:12" x14ac:dyDescent="0.25">
      <c r="F24" s="22"/>
      <c r="G24" s="22"/>
    </row>
    <row r="25" spans="1:12" x14ac:dyDescent="0.25">
      <c r="F25" s="22"/>
      <c r="G25" s="22"/>
    </row>
    <row r="26" spans="1:12" ht="15.75" thickBot="1" x14ac:dyDescent="0.3">
      <c r="F26" s="22"/>
      <c r="G26" s="22"/>
    </row>
    <row r="27" spans="1:12" ht="57.75" customHeight="1" x14ac:dyDescent="0.3">
      <c r="A27" s="45" t="str">
        <f>A3</f>
        <v>Rate Class</v>
      </c>
      <c r="B27" s="129" t="s">
        <v>30</v>
      </c>
      <c r="C27" s="130"/>
      <c r="D27" s="131"/>
      <c r="E27" s="129" t="s">
        <v>32</v>
      </c>
      <c r="F27" s="130"/>
      <c r="G27" s="131"/>
      <c r="H27" s="126" t="s">
        <v>45</v>
      </c>
      <c r="I27" s="127"/>
      <c r="J27" s="128" t="s">
        <v>47</v>
      </c>
      <c r="K27" s="128"/>
      <c r="L27" s="128"/>
    </row>
    <row r="28" spans="1:12" s="29" customFormat="1" ht="16.5" x14ac:dyDescent="0.3">
      <c r="A28" s="52"/>
      <c r="B28" s="53" t="s">
        <v>31</v>
      </c>
      <c r="C28" s="52" t="s">
        <v>29</v>
      </c>
      <c r="D28" s="54" t="s">
        <v>33</v>
      </c>
      <c r="E28" s="53" t="s">
        <v>31</v>
      </c>
      <c r="F28" s="52" t="s">
        <v>29</v>
      </c>
      <c r="G28" s="54" t="s">
        <v>2</v>
      </c>
      <c r="H28" s="53">
        <v>2013</v>
      </c>
      <c r="I28" s="54">
        <v>2014</v>
      </c>
      <c r="J28" s="52" t="s">
        <v>31</v>
      </c>
      <c r="K28" s="52" t="s">
        <v>29</v>
      </c>
      <c r="L28" s="52" t="s">
        <v>2</v>
      </c>
    </row>
    <row r="29" spans="1:12" ht="16.5" x14ac:dyDescent="0.3">
      <c r="A29" s="43" t="str">
        <f>A5</f>
        <v xml:space="preserve">       LRAM/VA - Residential</v>
      </c>
      <c r="B29" s="55">
        <f>F5</f>
        <v>58877.011179622888</v>
      </c>
      <c r="C29" s="56">
        <f>C32*B29/B32</f>
        <v>398.56107163805956</v>
      </c>
      <c r="D29" s="57">
        <f>SUM(B29:C29)</f>
        <v>59275.57225126095</v>
      </c>
      <c r="E29" s="55">
        <f>G5</f>
        <v>152578.03540931465</v>
      </c>
      <c r="F29" s="56">
        <f>F32*E29/E32</f>
        <v>1779.5011692924238</v>
      </c>
      <c r="G29" s="57">
        <f>SUM(E29:F29)</f>
        <v>154357.53657860708</v>
      </c>
      <c r="H29" s="55">
        <f>H32*E29/E32</f>
        <v>2991.8503869853171</v>
      </c>
      <c r="I29" s="57">
        <f>H29</f>
        <v>2991.8503869853171</v>
      </c>
      <c r="J29" s="56">
        <f>SUM(B29,E29)</f>
        <v>211455.04658893752</v>
      </c>
      <c r="K29" s="56">
        <f>SUM(C29,F29,H29,I29)</f>
        <v>8161.7630149011184</v>
      </c>
      <c r="L29" s="56">
        <f>SUM(J29:K29)</f>
        <v>219616.80960383863</v>
      </c>
    </row>
    <row r="30" spans="1:12" ht="16.5" x14ac:dyDescent="0.3">
      <c r="A30" s="43" t="str">
        <f>A6</f>
        <v xml:space="preserve">       LRAM/VA - GS&lt;50</v>
      </c>
      <c r="B30" s="55">
        <f>F6</f>
        <v>74636.561677603648</v>
      </c>
      <c r="C30" s="56">
        <f>C32*B30/B32</f>
        <v>505.24351371798645</v>
      </c>
      <c r="D30" s="57">
        <f t="shared" ref="D30:D31" si="6">SUM(B30:C30)</f>
        <v>75141.805191321633</v>
      </c>
      <c r="E30" s="55">
        <f>G6</f>
        <v>325583.56892477488</v>
      </c>
      <c r="F30" s="56">
        <f>F32*E30/E32</f>
        <v>3797.2460456039357</v>
      </c>
      <c r="G30" s="57">
        <f t="shared" ref="G30:G31" si="7">SUM(E30:F30)</f>
        <v>329380.81497037882</v>
      </c>
      <c r="H30" s="55">
        <f>H32*E30/E32</f>
        <v>6384.2565810372289</v>
      </c>
      <c r="I30" s="57">
        <f t="shared" ref="I30:I31" si="8">H30</f>
        <v>6384.2565810372289</v>
      </c>
      <c r="J30" s="56">
        <f>SUM(B30,E30)</f>
        <v>400220.13060237851</v>
      </c>
      <c r="K30" s="56">
        <f t="shared" ref="K30:K31" si="9">SUM(C30,F30,H30,I30)</f>
        <v>17071.00272139638</v>
      </c>
      <c r="L30" s="56">
        <f t="shared" ref="L30:L31" si="10">SUM(J30:K30)</f>
        <v>417291.13332377491</v>
      </c>
    </row>
    <row r="31" spans="1:12" ht="16.5" x14ac:dyDescent="0.3">
      <c r="A31" s="43" t="str">
        <f>A7</f>
        <v xml:space="preserve">       LRAM/VA - GS&gt;50</v>
      </c>
      <c r="B31" s="55">
        <f>F7</f>
        <v>59483.363308568776</v>
      </c>
      <c r="C31" s="56">
        <f>C32-C30-C29</f>
        <v>402.66570177231364</v>
      </c>
      <c r="D31" s="57">
        <f t="shared" si="6"/>
        <v>59886.029010341088</v>
      </c>
      <c r="E31" s="55">
        <f>G7</f>
        <v>99808.06583774196</v>
      </c>
      <c r="F31" s="56">
        <f>F32-F30-F29</f>
        <v>1164.0507061623523</v>
      </c>
      <c r="G31" s="57">
        <f t="shared" si="7"/>
        <v>100972.11654390431</v>
      </c>
      <c r="H31" s="55">
        <f>H32-H30-H29</f>
        <v>1957.1021451405763</v>
      </c>
      <c r="I31" s="57">
        <f t="shared" si="8"/>
        <v>1957.1021451405763</v>
      </c>
      <c r="J31" s="56">
        <f>SUM(B31,E31)</f>
        <v>159291.42914631072</v>
      </c>
      <c r="K31" s="56">
        <f t="shared" si="9"/>
        <v>5480.9206982158194</v>
      </c>
      <c r="L31" s="56">
        <f t="shared" si="10"/>
        <v>164772.34984452653</v>
      </c>
    </row>
    <row r="32" spans="1:12" s="1" customFormat="1" ht="17.25" thickBot="1" x14ac:dyDescent="0.35">
      <c r="A32" s="47" t="s">
        <v>46</v>
      </c>
      <c r="B32" s="48">
        <f>SUM(B29:B31)</f>
        <v>192996.93616579531</v>
      </c>
      <c r="C32" s="49">
        <f>'Carrying Interest'!I15</f>
        <v>1306.4702871283596</v>
      </c>
      <c r="D32" s="50">
        <f>SUM(D29:D31)</f>
        <v>194303.40645292366</v>
      </c>
      <c r="E32" s="48">
        <f>SUM(E29:E31)</f>
        <v>577969.6701718315</v>
      </c>
      <c r="F32" s="49">
        <f>'Carrying Interest'!I27-'Carrying Interest'!I15</f>
        <v>6740.7979210587118</v>
      </c>
      <c r="G32" s="50">
        <f>SUM(G29:G31)</f>
        <v>584710.46809289022</v>
      </c>
      <c r="H32" s="67">
        <f>'Carrying Interest'!I39-'Carrying Interest'!I27</f>
        <v>11333.209113163122</v>
      </c>
      <c r="I32" s="68">
        <f>'Carrying Interest'!I51-'Carrying Interest'!I39</f>
        <v>11333.20911316312</v>
      </c>
      <c r="J32" s="51">
        <f>SUM(J29:J31)</f>
        <v>770966.6063376267</v>
      </c>
      <c r="K32" s="51">
        <f>SUM(K29:K31)</f>
        <v>30713.686434513322</v>
      </c>
      <c r="L32" s="51">
        <f>SUM(L29:L31)</f>
        <v>801680.29277214</v>
      </c>
    </row>
    <row r="33" spans="1:11" ht="16.5" x14ac:dyDescent="0.3">
      <c r="A33" s="41"/>
      <c r="B33" s="40"/>
      <c r="C33" s="40"/>
      <c r="D33" s="40"/>
      <c r="E33" s="40"/>
      <c r="F33" s="40"/>
      <c r="G33" s="40"/>
      <c r="H33" s="40"/>
      <c r="I33" s="40"/>
    </row>
    <row r="34" spans="1:11" ht="15.75" thickBot="1" x14ac:dyDescent="0.3">
      <c r="A34" s="2"/>
    </row>
    <row r="35" spans="1:11" ht="39.75" customHeight="1" x14ac:dyDescent="0.3">
      <c r="A35" s="62" t="str">
        <f>A12</f>
        <v>Rate Class</v>
      </c>
      <c r="B35" s="62" t="s">
        <v>34</v>
      </c>
      <c r="C35" s="46" t="s">
        <v>39</v>
      </c>
      <c r="D35" s="46" t="s">
        <v>35</v>
      </c>
      <c r="E35" s="62" t="s">
        <v>36</v>
      </c>
    </row>
    <row r="36" spans="1:11" ht="16.5" x14ac:dyDescent="0.3">
      <c r="A36" s="43" t="s">
        <v>0</v>
      </c>
      <c r="B36" s="56">
        <f>L29</f>
        <v>219616.80960383863</v>
      </c>
      <c r="C36" s="58" t="s">
        <v>37</v>
      </c>
      <c r="D36" s="59">
        <f>'[2]8. Calculation of Def-Var RR'!$C$20</f>
        <v>2691200334.7134218</v>
      </c>
      <c r="E36" s="64">
        <f>B36/D36</f>
        <v>8.1605522551045974E-5</v>
      </c>
    </row>
    <row r="37" spans="1:11" ht="16.5" x14ac:dyDescent="0.3">
      <c r="A37" s="43" t="s">
        <v>1</v>
      </c>
      <c r="B37" s="56">
        <f>L30</f>
        <v>417291.13332377491</v>
      </c>
      <c r="C37" s="58" t="s">
        <v>37</v>
      </c>
      <c r="D37" s="59">
        <f>'[2]6. Billing Det. for Def-Var'!$C$18</f>
        <v>1023964951.2607555</v>
      </c>
      <c r="E37" s="64">
        <f t="shared" ref="E37:E38" si="11">B37/D37</f>
        <v>4.0752482085444988E-4</v>
      </c>
    </row>
    <row r="38" spans="1:11" ht="17.25" thickBot="1" x14ac:dyDescent="0.35">
      <c r="A38" s="44" t="s">
        <v>4</v>
      </c>
      <c r="B38" s="60">
        <f>L31</f>
        <v>164772.34984452653</v>
      </c>
      <c r="C38" s="63" t="s">
        <v>38</v>
      </c>
      <c r="D38" s="61">
        <f>'[2]6. Billing Det. for Def-Var'!$D$19</f>
        <v>12304410.097933691</v>
      </c>
      <c r="E38" s="65">
        <f t="shared" si="11"/>
        <v>1.3391324617195353E-2</v>
      </c>
    </row>
    <row r="39" spans="1:11" ht="16.5" x14ac:dyDescent="0.3">
      <c r="A39" s="43"/>
      <c r="B39" s="40"/>
      <c r="C39" s="40"/>
      <c r="D39" s="40"/>
      <c r="E39" s="40"/>
    </row>
    <row r="40" spans="1:11" ht="15.75" thickBot="1" x14ac:dyDescent="0.3"/>
    <row r="41" spans="1:11" ht="51.75" customHeight="1" x14ac:dyDescent="0.3">
      <c r="A41" s="93" t="s">
        <v>3</v>
      </c>
      <c r="B41" s="69" t="s">
        <v>62</v>
      </c>
      <c r="C41" s="69" t="s">
        <v>63</v>
      </c>
      <c r="D41" s="62" t="s">
        <v>54</v>
      </c>
      <c r="E41" s="69" t="s">
        <v>57</v>
      </c>
      <c r="F41" s="62" t="s">
        <v>30</v>
      </c>
      <c r="G41" s="91"/>
      <c r="H41" s="91"/>
      <c r="I41" s="91"/>
      <c r="J41" s="91"/>
      <c r="K41" s="91"/>
    </row>
    <row r="42" spans="1:11" s="29" customFormat="1" ht="16.5" x14ac:dyDescent="0.3">
      <c r="A42" s="94"/>
      <c r="B42" s="95" t="s">
        <v>66</v>
      </c>
      <c r="C42" s="95" t="s">
        <v>66</v>
      </c>
      <c r="D42" s="95" t="s">
        <v>66</v>
      </c>
      <c r="E42" s="95" t="s">
        <v>67</v>
      </c>
      <c r="F42" s="95" t="s">
        <v>55</v>
      </c>
    </row>
    <row r="43" spans="1:11" s="29" customFormat="1" ht="16.5" x14ac:dyDescent="0.3">
      <c r="A43" s="58"/>
      <c r="B43" s="136" t="s">
        <v>56</v>
      </c>
      <c r="C43" s="137"/>
      <c r="D43" s="137"/>
      <c r="E43" s="137"/>
      <c r="F43" s="138"/>
      <c r="G43" s="91"/>
    </row>
    <row r="44" spans="1:11" ht="16.5" x14ac:dyDescent="0.3">
      <c r="A44" s="43" t="str">
        <f>A36</f>
        <v>Residential</v>
      </c>
      <c r="B44" s="96"/>
      <c r="C44" s="97">
        <v>3566066.1881044321</v>
      </c>
      <c r="D44" s="97">
        <f>C44-B44</f>
        <v>3566066.1881044321</v>
      </c>
      <c r="E44" s="58">
        <v>1.3100000000000001E-2</v>
      </c>
      <c r="F44" s="98">
        <f>D44*E44</f>
        <v>46715.467064168064</v>
      </c>
      <c r="G44" s="34"/>
    </row>
    <row r="45" spans="1:11" ht="16.5" x14ac:dyDescent="0.3">
      <c r="A45" s="43" t="str">
        <f t="shared" ref="A45:A46" si="12">A37</f>
        <v>GS&lt;50</v>
      </c>
      <c r="B45" s="99"/>
      <c r="C45" s="97">
        <v>5474173.4069302836</v>
      </c>
      <c r="D45" s="97">
        <f>C45-B45</f>
        <v>5474173.4069302836</v>
      </c>
      <c r="E45" s="58">
        <v>1.1299999999999999E-2</v>
      </c>
      <c r="F45" s="98">
        <f>D45*E45</f>
        <v>61858.159498312198</v>
      </c>
      <c r="G45" s="34"/>
    </row>
    <row r="46" spans="1:11" ht="16.5" x14ac:dyDescent="0.3">
      <c r="A46" s="43" t="str">
        <f t="shared" si="12"/>
        <v>GS&gt;50</v>
      </c>
      <c r="B46" s="99"/>
      <c r="C46" s="97">
        <v>14171.08349529529</v>
      </c>
      <c r="D46" s="97">
        <f>C46-B46</f>
        <v>14171.08349529529</v>
      </c>
      <c r="E46" s="58">
        <v>3.4354</v>
      </c>
      <c r="F46" s="98">
        <f>D46*E46</f>
        <v>48683.340239737438</v>
      </c>
      <c r="G46" s="34"/>
    </row>
    <row r="47" spans="1:11" s="1" customFormat="1" ht="16.5" x14ac:dyDescent="0.3">
      <c r="A47" s="100" t="s">
        <v>2</v>
      </c>
      <c r="B47" s="101"/>
      <c r="C47" s="102">
        <f t="shared" ref="C47:D47" si="13">SUM(C44:C46)</f>
        <v>9054410.6785300095</v>
      </c>
      <c r="D47" s="102">
        <f t="shared" si="13"/>
        <v>9054410.6785300095</v>
      </c>
      <c r="E47" s="103"/>
      <c r="F47" s="104">
        <f>SUM(F44:F46)</f>
        <v>157256.96680221771</v>
      </c>
      <c r="G47" s="92"/>
    </row>
    <row r="48" spans="1:11" ht="16.5" x14ac:dyDescent="0.3">
      <c r="A48" s="42"/>
      <c r="B48" s="136" t="s">
        <v>58</v>
      </c>
      <c r="C48" s="137"/>
      <c r="D48" s="137"/>
      <c r="E48" s="137"/>
      <c r="F48" s="138"/>
      <c r="G48" s="91"/>
    </row>
    <row r="49" spans="1:11" ht="16.5" x14ac:dyDescent="0.3">
      <c r="A49" s="43" t="s">
        <v>0</v>
      </c>
      <c r="B49" s="96"/>
      <c r="C49" s="97">
        <f>'[3]LRAMVA for 2011'!$F$23</f>
        <v>921329.09965566848</v>
      </c>
      <c r="D49" s="97">
        <f>C49-B49</f>
        <v>921329.09965566848</v>
      </c>
      <c r="E49" s="106">
        <v>1.32E-2</v>
      </c>
      <c r="F49" s="98">
        <f>D49*E49</f>
        <v>12161.544115454824</v>
      </c>
      <c r="G49" s="34"/>
    </row>
    <row r="50" spans="1:11" ht="16.5" x14ac:dyDescent="0.3">
      <c r="A50" s="43" t="s">
        <v>1</v>
      </c>
      <c r="B50" s="99"/>
      <c r="C50" s="97">
        <f>'[3]LRAMVA for 2011'!$F$24</f>
        <v>798650.13620571559</v>
      </c>
      <c r="D50" s="97">
        <f>C50-B50</f>
        <v>798650.13620571559</v>
      </c>
      <c r="E50" s="106">
        <v>1.6E-2</v>
      </c>
      <c r="F50" s="98">
        <f>D50*E50</f>
        <v>12778.40217929145</v>
      </c>
      <c r="G50" s="34"/>
    </row>
    <row r="51" spans="1:11" ht="16.5" x14ac:dyDescent="0.3">
      <c r="A51" s="43" t="s">
        <v>4</v>
      </c>
      <c r="B51" s="99"/>
      <c r="C51" s="97">
        <f>'[3]LRAMVA for 2011'!$G$26</f>
        <v>6069.8156965274748</v>
      </c>
      <c r="D51" s="97">
        <f>C51-B51</f>
        <v>6069.8156965274748</v>
      </c>
      <c r="E51" s="106">
        <v>1.7793000000000001</v>
      </c>
      <c r="F51" s="98">
        <f>D51*E51</f>
        <v>10800.023068831337</v>
      </c>
      <c r="G51" s="34"/>
    </row>
    <row r="52" spans="1:11" s="1" customFormat="1" ht="16.5" x14ac:dyDescent="0.3">
      <c r="A52" s="100" t="s">
        <v>2</v>
      </c>
      <c r="B52" s="101"/>
      <c r="C52" s="102">
        <f t="shared" ref="C52" si="14">SUM(C49:C51)</f>
        <v>1726049.0515579116</v>
      </c>
      <c r="D52" s="102">
        <f t="shared" ref="D52" si="15">SUM(D49:D51)</f>
        <v>1726049.0515579116</v>
      </c>
      <c r="E52" s="103"/>
      <c r="F52" s="104">
        <f>SUM(F49:F51)</f>
        <v>35739.969363577613</v>
      </c>
      <c r="G52" s="92"/>
    </row>
    <row r="53" spans="1:11" ht="16.5" x14ac:dyDescent="0.3">
      <c r="A53" s="42"/>
      <c r="B53" s="136" t="s">
        <v>59</v>
      </c>
      <c r="C53" s="137"/>
      <c r="D53" s="137"/>
      <c r="E53" s="137"/>
      <c r="F53" s="138"/>
      <c r="G53" s="91"/>
    </row>
    <row r="54" spans="1:11" ht="16.5" x14ac:dyDescent="0.3">
      <c r="A54" s="43" t="s">
        <v>0</v>
      </c>
      <c r="B54" s="96"/>
      <c r="C54" s="97">
        <f t="shared" ref="C54:D56" si="16">C44+C49</f>
        <v>4487395.2877601003</v>
      </c>
      <c r="D54" s="97">
        <f t="shared" si="16"/>
        <v>4487395.2877601003</v>
      </c>
      <c r="E54" s="97"/>
      <c r="F54" s="98">
        <f>F44+F49</f>
        <v>58877.011179622888</v>
      </c>
      <c r="G54" s="34"/>
    </row>
    <row r="55" spans="1:11" ht="16.5" x14ac:dyDescent="0.3">
      <c r="A55" s="43" t="s">
        <v>1</v>
      </c>
      <c r="B55" s="99"/>
      <c r="C55" s="97">
        <f t="shared" si="16"/>
        <v>6272823.5431359988</v>
      </c>
      <c r="D55" s="97">
        <f t="shared" si="16"/>
        <v>6272823.5431359988</v>
      </c>
      <c r="E55" s="97"/>
      <c r="F55" s="98">
        <f>F45+F50</f>
        <v>74636.561677603648</v>
      </c>
      <c r="G55" s="34"/>
    </row>
    <row r="56" spans="1:11" ht="16.5" x14ac:dyDescent="0.3">
      <c r="A56" s="43" t="s">
        <v>4</v>
      </c>
      <c r="B56" s="99"/>
      <c r="C56" s="97">
        <f t="shared" si="16"/>
        <v>20240.899191822766</v>
      </c>
      <c r="D56" s="97">
        <f t="shared" si="16"/>
        <v>20240.899191822766</v>
      </c>
      <c r="E56" s="97"/>
      <c r="F56" s="98">
        <f>F46+F51</f>
        <v>59483.363308568776</v>
      </c>
      <c r="G56" s="34"/>
    </row>
    <row r="57" spans="1:11" s="1" customFormat="1" ht="16.5" x14ac:dyDescent="0.3">
      <c r="A57" s="100" t="s">
        <v>2</v>
      </c>
      <c r="B57" s="101"/>
      <c r="C57" s="102">
        <f t="shared" ref="C57" si="17">SUM(C54:C56)</f>
        <v>10780459.730087921</v>
      </c>
      <c r="D57" s="102">
        <f t="shared" ref="D57" si="18">SUM(D54:D56)</f>
        <v>10780459.730087921</v>
      </c>
      <c r="E57" s="103"/>
      <c r="F57" s="104">
        <f>SUM(F54:F56)</f>
        <v>192996.93616579531</v>
      </c>
      <c r="G57" s="92"/>
    </row>
    <row r="58" spans="1:11" ht="17.25" thickBot="1" x14ac:dyDescent="0.35">
      <c r="A58" s="105"/>
      <c r="B58" s="105"/>
      <c r="C58" s="105"/>
      <c r="D58" s="105"/>
      <c r="E58" s="105"/>
      <c r="F58" s="105"/>
      <c r="K58" s="34"/>
    </row>
    <row r="60" spans="1:11" ht="15.75" thickBot="1" x14ac:dyDescent="0.3"/>
    <row r="61" spans="1:11" ht="49.5" customHeight="1" x14ac:dyDescent="0.3">
      <c r="A61" s="93" t="s">
        <v>3</v>
      </c>
      <c r="B61" s="69" t="s">
        <v>64</v>
      </c>
      <c r="C61" s="69" t="s">
        <v>65</v>
      </c>
      <c r="D61" s="62" t="s">
        <v>54</v>
      </c>
      <c r="E61" s="69" t="s">
        <v>60</v>
      </c>
      <c r="F61" s="62" t="s">
        <v>32</v>
      </c>
    </row>
    <row r="62" spans="1:11" ht="16.5" x14ac:dyDescent="0.3">
      <c r="A62" s="94"/>
      <c r="B62" s="95" t="s">
        <v>66</v>
      </c>
      <c r="C62" s="95" t="s">
        <v>66</v>
      </c>
      <c r="D62" s="95" t="s">
        <v>66</v>
      </c>
      <c r="E62" s="95" t="s">
        <v>67</v>
      </c>
      <c r="F62" s="95" t="s">
        <v>55</v>
      </c>
    </row>
    <row r="63" spans="1:11" ht="16.5" x14ac:dyDescent="0.3">
      <c r="A63" s="58"/>
      <c r="B63" s="136" t="s">
        <v>56</v>
      </c>
      <c r="C63" s="137"/>
      <c r="D63" s="137"/>
      <c r="E63" s="137"/>
      <c r="F63" s="138"/>
    </row>
    <row r="64" spans="1:11" ht="16.5" x14ac:dyDescent="0.3">
      <c r="A64" s="43" t="s">
        <v>0</v>
      </c>
      <c r="B64" s="96"/>
      <c r="C64" s="97">
        <v>8737935.7145992815</v>
      </c>
      <c r="D64" s="97">
        <f>C64-B64</f>
        <v>8737935.7145992815</v>
      </c>
      <c r="E64" s="58">
        <v>1.3100000000000001E-2</v>
      </c>
      <c r="F64" s="98">
        <f>D64*E64</f>
        <v>114466.95786125059</v>
      </c>
    </row>
    <row r="65" spans="1:6" ht="16.5" x14ac:dyDescent="0.3">
      <c r="A65" s="43" t="s">
        <v>1</v>
      </c>
      <c r="B65" s="99"/>
      <c r="C65" s="97">
        <v>17093737.96169892</v>
      </c>
      <c r="D65" s="97">
        <f>C65-B65</f>
        <v>17093737.96169892</v>
      </c>
      <c r="E65" s="58">
        <v>1.1299999999999999E-2</v>
      </c>
      <c r="F65" s="98">
        <f>D65*E65</f>
        <v>193159.23896719777</v>
      </c>
    </row>
    <row r="66" spans="1:6" ht="16.5" x14ac:dyDescent="0.3">
      <c r="A66" s="43" t="s">
        <v>4</v>
      </c>
      <c r="B66" s="99"/>
      <c r="C66" s="97">
        <v>20793.615821495052</v>
      </c>
      <c r="D66" s="97">
        <f>C66-B66</f>
        <v>20793.615821495052</v>
      </c>
      <c r="E66" s="58">
        <v>3.4460999999999999</v>
      </c>
      <c r="F66" s="98">
        <f>D66*E66</f>
        <v>71656.879482454096</v>
      </c>
    </row>
    <row r="67" spans="1:6" ht="16.5" x14ac:dyDescent="0.3">
      <c r="A67" s="100" t="s">
        <v>2</v>
      </c>
      <c r="B67" s="101"/>
      <c r="C67" s="102">
        <f t="shared" ref="C67" si="19">SUM(C64:C66)</f>
        <v>25852467.292119697</v>
      </c>
      <c r="D67" s="102">
        <f t="shared" ref="D67" si="20">SUM(D64:D66)</f>
        <v>25852467.292119697</v>
      </c>
      <c r="E67" s="103"/>
      <c r="F67" s="104">
        <f>SUM(F64:F66)</f>
        <v>379283.07631090243</v>
      </c>
    </row>
    <row r="68" spans="1:6" ht="16.5" x14ac:dyDescent="0.3">
      <c r="A68" s="42"/>
      <c r="B68" s="136" t="s">
        <v>58</v>
      </c>
      <c r="C68" s="137"/>
      <c r="D68" s="137"/>
      <c r="E68" s="137"/>
      <c r="F68" s="138"/>
    </row>
    <row r="69" spans="1:6" ht="16.5" x14ac:dyDescent="0.3">
      <c r="A69" s="43" t="s">
        <v>0</v>
      </c>
      <c r="B69" s="96"/>
      <c r="C69" s="97">
        <f>'[3]LRAMVA for 2012'!$F$23</f>
        <v>2909242.5609209212</v>
      </c>
      <c r="D69" s="97">
        <f>C69-B69</f>
        <v>2909242.5609209212</v>
      </c>
      <c r="E69" s="106">
        <v>1.3100000000000001E-2</v>
      </c>
      <c r="F69" s="98">
        <f>D69*E69</f>
        <v>38111.077548064066</v>
      </c>
    </row>
    <row r="70" spans="1:6" ht="16.5" x14ac:dyDescent="0.3">
      <c r="A70" s="43" t="s">
        <v>1</v>
      </c>
      <c r="B70" s="99"/>
      <c r="C70" s="97">
        <f>'[3]LRAMVA for 2012'!$F$24</f>
        <v>8276520.6223485712</v>
      </c>
      <c r="D70" s="97">
        <f>C70-B70</f>
        <v>8276520.6223485712</v>
      </c>
      <c r="E70" s="106">
        <v>1.6E-2</v>
      </c>
      <c r="F70" s="98">
        <f>D70*E70</f>
        <v>132424.32995757714</v>
      </c>
    </row>
    <row r="71" spans="1:6" ht="16.5" x14ac:dyDescent="0.3">
      <c r="A71" s="43" t="s">
        <v>4</v>
      </c>
      <c r="B71" s="99"/>
      <c r="C71" s="97">
        <f>'[3]LRAMVA for 2012'!$G$26</f>
        <v>15870.552686485433</v>
      </c>
      <c r="D71" s="97">
        <f>C71-B71</f>
        <v>15870.552686485433</v>
      </c>
      <c r="E71" s="106">
        <v>1.7738</v>
      </c>
      <c r="F71" s="98">
        <f>D71*E71</f>
        <v>28151.18635528786</v>
      </c>
    </row>
    <row r="72" spans="1:6" ht="16.5" x14ac:dyDescent="0.3">
      <c r="A72" s="100" t="s">
        <v>2</v>
      </c>
      <c r="B72" s="101"/>
      <c r="C72" s="102">
        <f t="shared" ref="C72" si="21">SUM(C69:C71)</f>
        <v>11201633.735955978</v>
      </c>
      <c r="D72" s="102">
        <f t="shared" ref="D72" si="22">SUM(D69:D71)</f>
        <v>11201633.735955978</v>
      </c>
      <c r="E72" s="103"/>
      <c r="F72" s="104">
        <f>SUM(F69:F71)</f>
        <v>198686.59386092905</v>
      </c>
    </row>
    <row r="73" spans="1:6" ht="16.5" x14ac:dyDescent="0.3">
      <c r="A73" s="42"/>
      <c r="B73" s="136" t="s">
        <v>61</v>
      </c>
      <c r="C73" s="137"/>
      <c r="D73" s="137"/>
      <c r="E73" s="137"/>
      <c r="F73" s="138"/>
    </row>
    <row r="74" spans="1:6" ht="16.5" x14ac:dyDescent="0.3">
      <c r="A74" s="43" t="s">
        <v>0</v>
      </c>
      <c r="B74" s="96"/>
      <c r="C74" s="97">
        <f t="shared" ref="C74:D76" si="23">C64+C69</f>
        <v>11647178.275520202</v>
      </c>
      <c r="D74" s="97">
        <f t="shared" si="23"/>
        <v>11647178.275520202</v>
      </c>
      <c r="E74" s="97"/>
      <c r="F74" s="98">
        <f>F64+F69</f>
        <v>152578.03540931465</v>
      </c>
    </row>
    <row r="75" spans="1:6" ht="16.5" x14ac:dyDescent="0.3">
      <c r="A75" s="43" t="s">
        <v>1</v>
      </c>
      <c r="B75" s="99"/>
      <c r="C75" s="97">
        <f t="shared" si="23"/>
        <v>25370258.584047489</v>
      </c>
      <c r="D75" s="97">
        <f t="shared" si="23"/>
        <v>25370258.584047489</v>
      </c>
      <c r="E75" s="97"/>
      <c r="F75" s="98">
        <f>F65+F70</f>
        <v>325583.56892477488</v>
      </c>
    </row>
    <row r="76" spans="1:6" ht="16.5" x14ac:dyDescent="0.3">
      <c r="A76" s="43" t="s">
        <v>4</v>
      </c>
      <c r="B76" s="99"/>
      <c r="C76" s="97">
        <f t="shared" si="23"/>
        <v>36664.168507980488</v>
      </c>
      <c r="D76" s="97">
        <f t="shared" si="23"/>
        <v>36664.168507980488</v>
      </c>
      <c r="E76" s="97"/>
      <c r="F76" s="98">
        <f>F66+F71</f>
        <v>99808.06583774196</v>
      </c>
    </row>
    <row r="77" spans="1:6" ht="16.5" x14ac:dyDescent="0.3">
      <c r="A77" s="100" t="s">
        <v>2</v>
      </c>
      <c r="B77" s="101"/>
      <c r="C77" s="102">
        <f t="shared" ref="C77" si="24">SUM(C74:C76)</f>
        <v>37054101.028075665</v>
      </c>
      <c r="D77" s="102">
        <f t="shared" ref="D77" si="25">SUM(D74:D76)</f>
        <v>37054101.028075665</v>
      </c>
      <c r="E77" s="103"/>
      <c r="F77" s="104">
        <f>SUM(F74:F76)</f>
        <v>577969.6701718315</v>
      </c>
    </row>
    <row r="78" spans="1:6" ht="17.25" thickBot="1" x14ac:dyDescent="0.35">
      <c r="A78" s="105"/>
      <c r="B78" s="105"/>
      <c r="C78" s="105"/>
      <c r="D78" s="105"/>
      <c r="E78" s="105"/>
      <c r="F78" s="105"/>
    </row>
    <row r="80" spans="1:6" x14ac:dyDescent="0.25">
      <c r="A80" t="s">
        <v>52</v>
      </c>
    </row>
    <row r="81" spans="1:5" x14ac:dyDescent="0.25">
      <c r="A81" t="s">
        <v>53</v>
      </c>
    </row>
    <row r="83" spans="1:5" ht="15.75" thickBot="1" x14ac:dyDescent="0.3"/>
    <row r="84" spans="1:5" s="1" customFormat="1" ht="18" x14ac:dyDescent="0.3">
      <c r="A84" s="62" t="s">
        <v>68</v>
      </c>
      <c r="B84" s="62" t="s">
        <v>92</v>
      </c>
      <c r="C84" s="62" t="s">
        <v>70</v>
      </c>
      <c r="D84" s="116"/>
      <c r="E84" s="117"/>
    </row>
    <row r="85" spans="1:5" ht="16.5" x14ac:dyDescent="0.3">
      <c r="A85" s="58"/>
      <c r="B85" s="124" t="s">
        <v>69</v>
      </c>
      <c r="C85" s="124"/>
      <c r="D85" s="109"/>
      <c r="E85" s="29"/>
    </row>
    <row r="86" spans="1:5" ht="16.5" x14ac:dyDescent="0.3">
      <c r="A86" s="42"/>
      <c r="B86" s="110" t="s">
        <v>37</v>
      </c>
      <c r="C86" s="110" t="s">
        <v>37</v>
      </c>
      <c r="D86" s="111"/>
      <c r="E86" s="91"/>
    </row>
    <row r="87" spans="1:5" ht="16.5" x14ac:dyDescent="0.3">
      <c r="A87" s="42" t="str">
        <f>'[3]2011 Savings_revised'!$B7</f>
        <v>Fridge Pick Up</v>
      </c>
      <c r="B87" s="59">
        <f>'[3]2011 Savings_revised'!$D7</f>
        <v>1179908.6492101145</v>
      </c>
      <c r="C87" s="112">
        <f>B87/2</f>
        <v>589954.32460505725</v>
      </c>
      <c r="D87" s="42"/>
    </row>
    <row r="88" spans="1:5" ht="16.5" x14ac:dyDescent="0.3">
      <c r="A88" s="42" t="str">
        <f>'[3]2011 Savings_revised'!$B8</f>
        <v>HVAC Rebates</v>
      </c>
      <c r="B88" s="59">
        <f>'[3]2011 Savings_revised'!$D8</f>
        <v>4377639.1124493228</v>
      </c>
      <c r="C88" s="112">
        <f t="shared" ref="C88:C92" si="26">B88/2</f>
        <v>2188819.5562246614</v>
      </c>
      <c r="D88" s="42"/>
    </row>
    <row r="89" spans="1:5" ht="16.5" x14ac:dyDescent="0.3">
      <c r="A89" s="42" t="str">
        <f>'[3]2011 Savings_revised'!$B9</f>
        <v>Coupons (and retailers events)</v>
      </c>
      <c r="B89" s="59">
        <f>'[3]2011 Savings_revised'!$D9</f>
        <v>3409232.7015841892</v>
      </c>
      <c r="C89" s="112">
        <f t="shared" si="26"/>
        <v>1704616.3507920946</v>
      </c>
      <c r="D89" s="42"/>
    </row>
    <row r="90" spans="1:5" ht="16.5" x14ac:dyDescent="0.3">
      <c r="A90" s="42" t="str">
        <f>'[3]2011 Savings_revised'!$B10</f>
        <v>Peaksaver</v>
      </c>
      <c r="B90" s="59">
        <f>'[3]2011 Savings_revised'!$D10</f>
        <v>3239.2999999999997</v>
      </c>
      <c r="C90" s="112">
        <f t="shared" si="26"/>
        <v>1619.6499999999999</v>
      </c>
      <c r="D90" s="42"/>
    </row>
    <row r="91" spans="1:5" ht="16.5" x14ac:dyDescent="0.3">
      <c r="A91" s="42" t="str">
        <f>'[3]2011 Savings_revised'!$B11</f>
        <v xml:space="preserve">Retailer Co-Op/Sears </v>
      </c>
      <c r="B91" s="59">
        <f>'[3]2011 Savings_revised'!$D11</f>
        <v>2334.8122765756216</v>
      </c>
      <c r="C91" s="112">
        <f t="shared" si="26"/>
        <v>1167.4061382878108</v>
      </c>
      <c r="D91" s="42"/>
    </row>
    <row r="92" spans="1:5" ht="16.5" x14ac:dyDescent="0.3">
      <c r="A92" s="42" t="str">
        <f>'[3]2011 Savings_revised'!$B12</f>
        <v>Residential New Construction</v>
      </c>
      <c r="B92" s="59">
        <f>'[3]2011 Savings_revised'!$D12</f>
        <v>2436</v>
      </c>
      <c r="C92" s="112">
        <f t="shared" si="26"/>
        <v>1218</v>
      </c>
      <c r="D92" s="42"/>
    </row>
    <row r="93" spans="1:5" s="1" customFormat="1" ht="16.5" x14ac:dyDescent="0.3">
      <c r="A93" s="113" t="s">
        <v>71</v>
      </c>
      <c r="B93" s="114">
        <f>SUM(B87:B92)</f>
        <v>8974790.5755202025</v>
      </c>
      <c r="C93" s="114">
        <f>SUM(C87:C92)</f>
        <v>4487395.2877601013</v>
      </c>
      <c r="D93" s="112"/>
      <c r="E93" s="108"/>
    </row>
    <row r="94" spans="1:5" ht="18" customHeight="1" x14ac:dyDescent="0.3">
      <c r="A94" s="42"/>
      <c r="B94" s="42"/>
      <c r="C94" s="42"/>
      <c r="D94" s="42"/>
    </row>
    <row r="95" spans="1:5" ht="16.5" x14ac:dyDescent="0.3">
      <c r="A95" s="42"/>
      <c r="B95" s="124" t="s">
        <v>75</v>
      </c>
      <c r="C95" s="124"/>
      <c r="D95" s="109" t="s">
        <v>76</v>
      </c>
    </row>
    <row r="96" spans="1:5" ht="16.5" x14ac:dyDescent="0.3">
      <c r="A96" s="42"/>
      <c r="B96" s="110" t="s">
        <v>37</v>
      </c>
      <c r="C96" s="110" t="s">
        <v>37</v>
      </c>
      <c r="D96" s="110" t="s">
        <v>37</v>
      </c>
    </row>
    <row r="97" spans="1:4" ht="16.5" x14ac:dyDescent="0.3">
      <c r="A97" s="42" t="s">
        <v>78</v>
      </c>
      <c r="B97" s="59">
        <f>'[3]2011 Savings_revised'!$D$17</f>
        <v>8936865.7330579869</v>
      </c>
      <c r="C97" s="59">
        <f>B97/2</f>
        <v>4468432.8665289935</v>
      </c>
      <c r="D97" s="112">
        <f>'[3]2011 Savings_revised'!$O$17</f>
        <v>3530061.9645579057</v>
      </c>
    </row>
    <row r="98" spans="1:4" ht="16.5" x14ac:dyDescent="0.3">
      <c r="A98" s="42" t="s">
        <v>79</v>
      </c>
      <c r="B98" s="59">
        <f>'[3]2011 Savings_revised'!$D$19</f>
        <v>5301229.522707168</v>
      </c>
      <c r="C98" s="59">
        <f t="shared" ref="C98" si="27">B98/2</f>
        <v>2650614.761353584</v>
      </c>
      <c r="D98" s="112">
        <f>'[3]2011 Savings_revised'!$O$19</f>
        <v>2650614.761353584</v>
      </c>
    </row>
    <row r="99" spans="1:4" ht="18" x14ac:dyDescent="0.3">
      <c r="A99" s="42" t="s">
        <v>91</v>
      </c>
      <c r="B99" s="59">
        <f>'[3]2011 Savings_revised'!$D$25</f>
        <v>9540023.7042951919</v>
      </c>
      <c r="C99" s="59">
        <f>B99</f>
        <v>9540023.7042951919</v>
      </c>
      <c r="D99" s="112">
        <f>'[3]2011 Savings_revised'!$O$25</f>
        <v>39427.994824509668</v>
      </c>
    </row>
    <row r="100" spans="1:4" ht="16.5" x14ac:dyDescent="0.3">
      <c r="A100" s="42" t="s">
        <v>77</v>
      </c>
      <c r="B100" s="59">
        <f>'[3]2011 Savings_revised'!$D$15</f>
        <v>194534.39999999999</v>
      </c>
      <c r="C100" s="59">
        <f>B100</f>
        <v>194534.39999999999</v>
      </c>
      <c r="D100" s="112">
        <f>'[3]2011 Savings_revised'!$N$15</f>
        <v>52718.822400000005</v>
      </c>
    </row>
    <row r="101" spans="1:4" s="1" customFormat="1" ht="16.5" x14ac:dyDescent="0.3">
      <c r="A101" s="113" t="s">
        <v>74</v>
      </c>
      <c r="B101" s="114">
        <f>SUM(B97:B100)</f>
        <v>23972653.360060345</v>
      </c>
      <c r="C101" s="114">
        <f t="shared" ref="C101:D101" si="28">SUM(C97:C100)</f>
        <v>16853605.732177768</v>
      </c>
      <c r="D101" s="114">
        <f t="shared" si="28"/>
        <v>6272823.5431359997</v>
      </c>
    </row>
    <row r="102" spans="1:4" ht="16.5" x14ac:dyDescent="0.3">
      <c r="A102" s="42"/>
      <c r="B102" s="42"/>
      <c r="C102" s="42"/>
      <c r="D102" s="42"/>
    </row>
    <row r="103" spans="1:4" ht="16.5" x14ac:dyDescent="0.3">
      <c r="A103" s="42"/>
      <c r="B103" s="124" t="s">
        <v>75</v>
      </c>
      <c r="C103" s="124"/>
      <c r="D103" s="109" t="s">
        <v>82</v>
      </c>
    </row>
    <row r="104" spans="1:4" ht="18" x14ac:dyDescent="0.3">
      <c r="A104" s="42"/>
      <c r="B104" s="110" t="s">
        <v>38</v>
      </c>
      <c r="C104" s="110" t="s">
        <v>106</v>
      </c>
      <c r="D104" s="110" t="s">
        <v>38</v>
      </c>
    </row>
    <row r="105" spans="1:4" ht="16.5" x14ac:dyDescent="0.3">
      <c r="A105" s="42" t="s">
        <v>78</v>
      </c>
      <c r="B105" s="97">
        <f>'[3]2011 Savings_revised'!$C$17</f>
        <v>1435.6048638642312</v>
      </c>
      <c r="C105" s="97">
        <f>'[3]2011 Savings_revised'!$E$17</f>
        <v>9331.4316151175026</v>
      </c>
      <c r="D105" s="115">
        <f>'[3]2011 Savings_revised'!$V$17</f>
        <v>1959.6006391746755</v>
      </c>
    </row>
    <row r="106" spans="1:4" ht="16.5" x14ac:dyDescent="0.3">
      <c r="A106" s="42" t="s">
        <v>84</v>
      </c>
      <c r="B106" s="97">
        <f>'[3]2011 Savings_revised'!$C$18</f>
        <v>501.58591878785319</v>
      </c>
      <c r="C106" s="97">
        <f>'[3]2011 Savings_revised'!$E$18</f>
        <v>3260.3084721210457</v>
      </c>
      <c r="D106" s="115">
        <f>'[3]2011 Savings_revised'!$V$18</f>
        <v>3260.3084721210457</v>
      </c>
    </row>
    <row r="107" spans="1:4" ht="16.5" x14ac:dyDescent="0.3">
      <c r="A107" s="42" t="s">
        <v>85</v>
      </c>
      <c r="B107" s="97">
        <f>'[3]2011 Savings_revised'!$C$20</f>
        <v>10.440000000000001</v>
      </c>
      <c r="C107" s="97">
        <f>'[3]2011 Savings_revised'!$E$20</f>
        <v>67.86</v>
      </c>
      <c r="D107" s="115">
        <f>'[3]2011 Savings_revised'!$V$20</f>
        <v>67.86</v>
      </c>
    </row>
    <row r="108" spans="1:4" ht="16.5" x14ac:dyDescent="0.3">
      <c r="A108" s="42" t="s">
        <v>86</v>
      </c>
      <c r="B108" s="97">
        <f>'[3]2011 Savings_revised'!$C$21</f>
        <v>5</v>
      </c>
      <c r="C108" s="97">
        <f>'[3]2011 Savings_revised'!$E$21</f>
        <v>32.5</v>
      </c>
      <c r="D108" s="115">
        <f>'[3]2011 Savings_revised'!$V$21</f>
        <v>32.5</v>
      </c>
    </row>
    <row r="109" spans="1:4" ht="16.5" x14ac:dyDescent="0.3">
      <c r="A109" s="42" t="s">
        <v>80</v>
      </c>
      <c r="B109" s="97">
        <f>'[3]2011 Savings_revised'!$C$25</f>
        <v>1958.1697823311224</v>
      </c>
      <c r="C109" s="97">
        <f>'[3]2011 Savings_revised'!$E$25</f>
        <v>12728.103585152297</v>
      </c>
      <c r="D109" s="115">
        <f>'[3]2011 Savings_revised'!$V$25</f>
        <v>2690.8920988921323</v>
      </c>
    </row>
    <row r="110" spans="1:4" ht="16.5" x14ac:dyDescent="0.3">
      <c r="A110" s="42" t="s">
        <v>93</v>
      </c>
      <c r="B110" s="97">
        <f>'[3]2011 Savings_revised'!$C$26</f>
        <v>541.84432727141211</v>
      </c>
      <c r="C110" s="97">
        <f>'[3]2011 Savings_revised'!$E$26</f>
        <v>3521.9881272641787</v>
      </c>
      <c r="D110" s="115">
        <f>'[3]2011 Savings_revised'!$V$26</f>
        <v>598.7379816349104</v>
      </c>
    </row>
    <row r="111" spans="1:4" ht="16.5" x14ac:dyDescent="0.3">
      <c r="A111" s="42" t="s">
        <v>87</v>
      </c>
      <c r="B111" s="97">
        <f>'[3]2011 Savings_revised'!$C$30</f>
        <v>2633.625</v>
      </c>
      <c r="C111" s="97">
        <f>'[3]2011 Savings_revised'!$E$30</f>
        <v>7902</v>
      </c>
      <c r="D111" s="115">
        <f>'[3]2011 Savings_revised'!$V$30</f>
        <v>7902</v>
      </c>
    </row>
    <row r="112" spans="1:4" ht="16.5" x14ac:dyDescent="0.3">
      <c r="A112" s="42" t="s">
        <v>88</v>
      </c>
      <c r="B112" s="97">
        <f>'[3]2011 Savings_revised'!$C$31</f>
        <v>1243</v>
      </c>
      <c r="C112" s="97">
        <f>'[3]2011 Savings_revised'!$E$31</f>
        <v>3729</v>
      </c>
      <c r="D112" s="115">
        <f>'[3]2011 Savings_revised'!$V$31</f>
        <v>3729.0000000000005</v>
      </c>
    </row>
    <row r="113" spans="1:7" s="1" customFormat="1" ht="16.5" x14ac:dyDescent="0.3">
      <c r="A113" s="113" t="s">
        <v>83</v>
      </c>
      <c r="B113" s="102">
        <f>SUM(B105:B112)</f>
        <v>8329.2698922546188</v>
      </c>
      <c r="C113" s="102">
        <f>SUM(C105:C112)</f>
        <v>40573.191799655026</v>
      </c>
      <c r="D113" s="102">
        <f>SUM(D105:D112)</f>
        <v>20240.899191822762</v>
      </c>
    </row>
    <row r="114" spans="1:7" ht="17.25" thickBot="1" x14ac:dyDescent="0.35">
      <c r="A114" s="105"/>
      <c r="B114" s="105"/>
      <c r="C114" s="105"/>
      <c r="D114" s="105"/>
    </row>
    <row r="115" spans="1:7" s="40" customFormat="1" ht="16.5" x14ac:dyDescent="0.3">
      <c r="A115" s="40" t="s">
        <v>72</v>
      </c>
    </row>
    <row r="116" spans="1:7" s="40" customFormat="1" ht="16.5" x14ac:dyDescent="0.3">
      <c r="A116" s="40" t="s">
        <v>73</v>
      </c>
    </row>
    <row r="117" spans="1:7" s="40" customFormat="1" ht="16.5" x14ac:dyDescent="0.3">
      <c r="A117" s="40" t="s">
        <v>81</v>
      </c>
    </row>
    <row r="118" spans="1:7" s="40" customFormat="1" ht="16.5" x14ac:dyDescent="0.3">
      <c r="A118" s="40" t="s">
        <v>89</v>
      </c>
    </row>
    <row r="119" spans="1:7" s="40" customFormat="1" ht="16.5" x14ac:dyDescent="0.3">
      <c r="A119" s="118" t="s">
        <v>90</v>
      </c>
    </row>
    <row r="121" spans="1:7" ht="15.75" thickBot="1" x14ac:dyDescent="0.3"/>
    <row r="122" spans="1:7" s="1" customFormat="1" ht="17.25" thickBot="1" x14ac:dyDescent="0.35">
      <c r="A122" s="120" t="s">
        <v>68</v>
      </c>
      <c r="B122" s="120" t="s">
        <v>98</v>
      </c>
      <c r="C122" s="120" t="s">
        <v>94</v>
      </c>
      <c r="D122" s="120" t="s">
        <v>95</v>
      </c>
      <c r="E122" s="120" t="s">
        <v>96</v>
      </c>
      <c r="F122" s="121"/>
      <c r="G122" s="121"/>
    </row>
    <row r="123" spans="1:7" ht="16.5" x14ac:dyDescent="0.3">
      <c r="A123" s="58"/>
      <c r="B123" s="124" t="s">
        <v>69</v>
      </c>
      <c r="C123" s="124"/>
      <c r="D123" s="124"/>
      <c r="E123" s="124"/>
    </row>
    <row r="124" spans="1:7" ht="16.5" x14ac:dyDescent="0.3">
      <c r="A124" s="42"/>
      <c r="B124" s="110" t="s">
        <v>37</v>
      </c>
      <c r="C124" s="110" t="s">
        <v>37</v>
      </c>
      <c r="D124" s="110" t="s">
        <v>37</v>
      </c>
      <c r="E124" s="110" t="s">
        <v>37</v>
      </c>
    </row>
    <row r="125" spans="1:7" ht="16.5" x14ac:dyDescent="0.3">
      <c r="A125" s="42" t="s">
        <v>99</v>
      </c>
      <c r="B125" s="59">
        <f>B87</f>
        <v>1179908.6492101145</v>
      </c>
      <c r="C125" s="59">
        <f>'[3]2012 Savings_revised'!$F7</f>
        <v>690707</v>
      </c>
      <c r="D125" s="59">
        <f>C125/2</f>
        <v>345353.5</v>
      </c>
      <c r="E125" s="112">
        <f>B125+D125</f>
        <v>1525262.1492101145</v>
      </c>
    </row>
    <row r="126" spans="1:7" ht="16.5" x14ac:dyDescent="0.3">
      <c r="A126" s="42" t="s">
        <v>100</v>
      </c>
      <c r="B126" s="59">
        <f t="shared" ref="B126:B130" si="29">B88</f>
        <v>4377639.1124493228</v>
      </c>
      <c r="C126" s="59">
        <f>'[3]2012 Savings_revised'!$F8</f>
        <v>2761285</v>
      </c>
      <c r="D126" s="59">
        <f t="shared" ref="D126:D130" si="30">C126/2</f>
        <v>1380642.5</v>
      </c>
      <c r="E126" s="112">
        <f t="shared" ref="E126:E130" si="31">B126+D126</f>
        <v>5758281.6124493228</v>
      </c>
    </row>
    <row r="127" spans="1:7" ht="16.5" x14ac:dyDescent="0.3">
      <c r="A127" s="42" t="s">
        <v>101</v>
      </c>
      <c r="B127" s="59">
        <f t="shared" si="29"/>
        <v>3409232.7015841892</v>
      </c>
      <c r="C127" s="59">
        <f>'[3]2012 Savings_revised'!$F9</f>
        <v>1870675</v>
      </c>
      <c r="D127" s="59">
        <f t="shared" si="30"/>
        <v>935337.5</v>
      </c>
      <c r="E127" s="112">
        <f t="shared" si="31"/>
        <v>4344570.2015841892</v>
      </c>
    </row>
    <row r="128" spans="1:7" ht="16.5" x14ac:dyDescent="0.3">
      <c r="A128" s="42" t="s">
        <v>102</v>
      </c>
      <c r="B128" s="119" t="s">
        <v>97</v>
      </c>
      <c r="C128" s="59">
        <f>'[3]2012 Savings_revised'!$F10</f>
        <v>28587</v>
      </c>
      <c r="D128" s="59">
        <f t="shared" si="30"/>
        <v>14293.5</v>
      </c>
      <c r="E128" s="112">
        <f>D128</f>
        <v>14293.5</v>
      </c>
    </row>
    <row r="129" spans="1:7" ht="16.5" x14ac:dyDescent="0.3">
      <c r="A129" s="42" t="s">
        <v>103</v>
      </c>
      <c r="B129" s="59">
        <f t="shared" si="29"/>
        <v>2334.8122765756216</v>
      </c>
      <c r="C129" s="59">
        <f>'[3]2012 Savings_revised'!$F11</f>
        <v>0</v>
      </c>
      <c r="D129" s="59">
        <f t="shared" si="30"/>
        <v>0</v>
      </c>
      <c r="E129" s="112">
        <f t="shared" si="31"/>
        <v>2334.8122765756216</v>
      </c>
    </row>
    <row r="130" spans="1:7" ht="16.5" x14ac:dyDescent="0.3">
      <c r="A130" s="42" t="s">
        <v>104</v>
      </c>
      <c r="B130" s="59">
        <f t="shared" si="29"/>
        <v>2436</v>
      </c>
      <c r="C130" s="59">
        <f>'[3]2012 Savings_revised'!$F12</f>
        <v>0</v>
      </c>
      <c r="D130" s="59">
        <f t="shared" si="30"/>
        <v>0</v>
      </c>
      <c r="E130" s="112">
        <f t="shared" si="31"/>
        <v>2436</v>
      </c>
    </row>
    <row r="131" spans="1:7" s="1" customFormat="1" ht="16.5" x14ac:dyDescent="0.3">
      <c r="A131" s="113" t="s">
        <v>71</v>
      </c>
      <c r="B131" s="114">
        <f>SUM(B125:B130)</f>
        <v>8971551.2755202018</v>
      </c>
      <c r="C131" s="114">
        <f>SUM(C125:C130)</f>
        <v>5351254</v>
      </c>
      <c r="D131" s="114">
        <f t="shared" ref="D131:E131" si="32">SUM(D125:D130)</f>
        <v>2675627</v>
      </c>
      <c r="E131" s="114">
        <f t="shared" si="32"/>
        <v>11647178.275520202</v>
      </c>
    </row>
    <row r="132" spans="1:7" ht="18" customHeight="1" x14ac:dyDescent="0.3">
      <c r="A132" s="42"/>
      <c r="B132" s="42"/>
      <c r="C132" s="42"/>
      <c r="D132" s="42"/>
    </row>
    <row r="133" spans="1:7" ht="16.5" x14ac:dyDescent="0.3">
      <c r="A133" s="42"/>
      <c r="B133" s="124" t="s">
        <v>75</v>
      </c>
      <c r="C133" s="124"/>
      <c r="D133" s="124"/>
      <c r="E133" s="124"/>
      <c r="F133" s="109" t="s">
        <v>76</v>
      </c>
    </row>
    <row r="134" spans="1:7" ht="16.5" x14ac:dyDescent="0.3">
      <c r="A134" s="42"/>
      <c r="B134" s="110" t="s">
        <v>37</v>
      </c>
      <c r="C134" s="110" t="s">
        <v>37</v>
      </c>
      <c r="D134" s="110" t="s">
        <v>37</v>
      </c>
      <c r="E134" s="110" t="s">
        <v>37</v>
      </c>
      <c r="F134" s="110" t="s">
        <v>37</v>
      </c>
    </row>
    <row r="135" spans="1:7" ht="16.5" x14ac:dyDescent="0.3">
      <c r="A135" s="42" t="s">
        <v>78</v>
      </c>
      <c r="B135" s="59">
        <f>'[3]2012 Savings_revised'!$D$17</f>
        <v>8936865.7330579869</v>
      </c>
      <c r="C135" s="59">
        <f>'[3]2012 Savings_revised'!$F$17</f>
        <v>25834397</v>
      </c>
      <c r="D135" s="59">
        <f>C135/2</f>
        <v>12917198.5</v>
      </c>
      <c r="E135" s="107">
        <f>B135+D135</f>
        <v>21854064.233057987</v>
      </c>
      <c r="F135" s="108">
        <f>'[3]2012 Savings_revised'!$S$17</f>
        <v>17264710.744115815</v>
      </c>
    </row>
    <row r="136" spans="1:7" ht="16.5" x14ac:dyDescent="0.3">
      <c r="A136" s="42" t="s">
        <v>79</v>
      </c>
      <c r="B136" s="59">
        <f>'[3]2011 Savings_revised'!$D$19</f>
        <v>5301229.522707168</v>
      </c>
      <c r="C136" s="59">
        <f>'[3]2012 Savings_revised'!$F$19</f>
        <v>5424343</v>
      </c>
      <c r="D136" s="59">
        <f t="shared" ref="D136:D138" si="33">C136/2</f>
        <v>2712171.5</v>
      </c>
      <c r="E136" s="107">
        <f t="shared" ref="E136:E138" si="34">B136+D136</f>
        <v>8013401.022707168</v>
      </c>
      <c r="F136" s="108">
        <f>'[3]2012 Savings_revised'!$S$19</f>
        <v>8013401.0227071671</v>
      </c>
    </row>
    <row r="137" spans="1:7" ht="18" x14ac:dyDescent="0.3">
      <c r="A137" s="42" t="s">
        <v>91</v>
      </c>
      <c r="B137" s="59">
        <f>B99</f>
        <v>9540023.7042951919</v>
      </c>
      <c r="C137" s="59">
        <v>0</v>
      </c>
      <c r="D137" s="59">
        <f t="shared" si="33"/>
        <v>0</v>
      </c>
      <c r="E137" s="107">
        <f t="shared" si="34"/>
        <v>9540023.7042951919</v>
      </c>
      <c r="F137" s="108">
        <f>'[3]2012 Savings_revised'!$S$25</f>
        <v>39427.994824509668</v>
      </c>
    </row>
    <row r="138" spans="1:7" ht="16.5" x14ac:dyDescent="0.3">
      <c r="A138" s="42" t="s">
        <v>77</v>
      </c>
      <c r="B138" s="59">
        <f>B100</f>
        <v>194534.39999999999</v>
      </c>
      <c r="C138" s="59">
        <f>'[3]2012 Savings_revised'!$F$15</f>
        <v>0</v>
      </c>
      <c r="D138" s="59">
        <f t="shared" si="33"/>
        <v>0</v>
      </c>
      <c r="E138" s="107">
        <f t="shared" si="34"/>
        <v>194534.39999999999</v>
      </c>
      <c r="F138" s="108">
        <f>'[3]2012 Savings_revised'!$S$15</f>
        <v>52718.822400000005</v>
      </c>
    </row>
    <row r="139" spans="1:7" s="1" customFormat="1" ht="16.5" x14ac:dyDescent="0.3">
      <c r="A139" s="113" t="s">
        <v>74</v>
      </c>
      <c r="B139" s="114">
        <f>SUM(B135:B138)</f>
        <v>23972653.360060345</v>
      </c>
      <c r="C139" s="114">
        <f t="shared" ref="C139" si="35">SUM(C135:C138)</f>
        <v>31258740</v>
      </c>
      <c r="D139" s="114">
        <f t="shared" ref="D139:F139" si="36">SUM(D135:D138)</f>
        <v>15629370</v>
      </c>
      <c r="E139" s="114">
        <f t="shared" si="36"/>
        <v>39602023.360060342</v>
      </c>
      <c r="F139" s="114">
        <f t="shared" si="36"/>
        <v>25370258.584047493</v>
      </c>
    </row>
    <row r="140" spans="1:7" ht="16.5" x14ac:dyDescent="0.3">
      <c r="A140" s="42"/>
      <c r="B140" s="42"/>
      <c r="C140" s="42"/>
      <c r="D140" s="42"/>
    </row>
    <row r="141" spans="1:7" ht="16.5" x14ac:dyDescent="0.3">
      <c r="A141" s="42"/>
      <c r="B141" s="124" t="s">
        <v>75</v>
      </c>
      <c r="C141" s="124"/>
      <c r="D141" s="124"/>
      <c r="E141" s="124"/>
      <c r="F141" s="124"/>
      <c r="G141" s="109" t="s">
        <v>82</v>
      </c>
    </row>
    <row r="142" spans="1:7" ht="16.5" x14ac:dyDescent="0.3">
      <c r="A142" s="42"/>
      <c r="B142" s="110" t="s">
        <v>38</v>
      </c>
      <c r="C142" s="110" t="s">
        <v>38</v>
      </c>
      <c r="D142" s="110" t="s">
        <v>107</v>
      </c>
      <c r="E142" s="110" t="s">
        <v>108</v>
      </c>
      <c r="F142" s="110" t="s">
        <v>111</v>
      </c>
      <c r="G142" s="110" t="s">
        <v>38</v>
      </c>
    </row>
    <row r="143" spans="1:7" ht="16.5" x14ac:dyDescent="0.3">
      <c r="A143" s="42"/>
      <c r="B143" s="110"/>
      <c r="C143" s="110"/>
      <c r="D143" s="110" t="s">
        <v>110</v>
      </c>
      <c r="E143" s="110" t="s">
        <v>109</v>
      </c>
      <c r="F143" s="110" t="s">
        <v>2</v>
      </c>
      <c r="G143" s="110"/>
    </row>
    <row r="144" spans="1:7" ht="16.5" x14ac:dyDescent="0.3">
      <c r="A144" s="42" t="s">
        <v>78</v>
      </c>
      <c r="B144" s="97">
        <f>'[3]2011 Savings_revised'!$C$17</f>
        <v>1435.6048638642312</v>
      </c>
      <c r="C144" s="97">
        <f>'[3]2012 Savings_revised'!$E$17</f>
        <v>4690</v>
      </c>
      <c r="D144" s="97">
        <f>B144*12</f>
        <v>17227.258366370774</v>
      </c>
      <c r="E144" s="97">
        <f>C144*6.5</f>
        <v>30485</v>
      </c>
      <c r="F144" s="97">
        <f>SUM(D144:E144)</f>
        <v>47712.258366370777</v>
      </c>
      <c r="G144" s="115">
        <f>'[3]2012 Savings_revised'!$Z$17</f>
        <v>10019.574256937864</v>
      </c>
    </row>
    <row r="145" spans="1:7" ht="16.5" x14ac:dyDescent="0.3">
      <c r="A145" s="42" t="s">
        <v>84</v>
      </c>
      <c r="B145" s="97">
        <f>'[3]2011 Savings_revised'!$C$18</f>
        <v>501.58591878785319</v>
      </c>
      <c r="C145" s="97">
        <f>'[3]2012 Savings_revised'!$E$18</f>
        <v>0</v>
      </c>
      <c r="D145" s="97">
        <f t="shared" ref="D145:D150" si="37">B145*12</f>
        <v>6019.0310254542383</v>
      </c>
      <c r="E145" s="97">
        <f t="shared" ref="E145:E150" si="38">C145*6.5</f>
        <v>0</v>
      </c>
      <c r="F145" s="97">
        <f t="shared" ref="F145:F152" si="39">SUM(D145:E145)</f>
        <v>6019.0310254542383</v>
      </c>
      <c r="G145" s="115">
        <f>'[3]2012 Savings_revised'!$Z$18</f>
        <v>6019.0310254542383</v>
      </c>
    </row>
    <row r="146" spans="1:7" ht="16.5" x14ac:dyDescent="0.3">
      <c r="A146" s="42" t="s">
        <v>85</v>
      </c>
      <c r="B146" s="97">
        <f>'[3]2011 Savings_revised'!$C$20</f>
        <v>10.440000000000001</v>
      </c>
      <c r="C146" s="97">
        <f>'[3]2012 Savings_revised'!$E$20</f>
        <v>0</v>
      </c>
      <c r="D146" s="97">
        <f t="shared" si="37"/>
        <v>125.28000000000002</v>
      </c>
      <c r="E146" s="97">
        <f t="shared" si="38"/>
        <v>0</v>
      </c>
      <c r="F146" s="97">
        <f t="shared" si="39"/>
        <v>125.28000000000002</v>
      </c>
      <c r="G146" s="115">
        <f>'[3]2012 Savings_revised'!$Z20</f>
        <v>125.27999999999999</v>
      </c>
    </row>
    <row r="147" spans="1:7" ht="16.5" x14ac:dyDescent="0.3">
      <c r="A147" s="42" t="s">
        <v>86</v>
      </c>
      <c r="B147" s="97">
        <f>'[3]2011 Savings_revised'!$C$21</f>
        <v>5</v>
      </c>
      <c r="C147" s="97">
        <f>'[3]2012 Savings_revised'!$E$21</f>
        <v>52</v>
      </c>
      <c r="D147" s="97">
        <f t="shared" si="37"/>
        <v>60</v>
      </c>
      <c r="E147" s="97">
        <f t="shared" si="38"/>
        <v>338</v>
      </c>
      <c r="F147" s="97">
        <f t="shared" si="39"/>
        <v>398</v>
      </c>
      <c r="G147" s="115">
        <f>'[3]2012 Savings_revised'!$Z21</f>
        <v>338</v>
      </c>
    </row>
    <row r="148" spans="1:7" ht="16.5" x14ac:dyDescent="0.3">
      <c r="A148" s="42" t="s">
        <v>105</v>
      </c>
      <c r="B148" s="97">
        <v>0</v>
      </c>
      <c r="C148" s="97">
        <f>'[3]2012 Savings_revised'!$E$22</f>
        <v>19</v>
      </c>
      <c r="D148" s="97">
        <f t="shared" si="37"/>
        <v>0</v>
      </c>
      <c r="E148" s="97">
        <f t="shared" si="38"/>
        <v>123.5</v>
      </c>
      <c r="F148" s="97">
        <f t="shared" si="39"/>
        <v>123.5</v>
      </c>
      <c r="G148" s="115">
        <f>'[3]2012 Savings_revised'!$Z22</f>
        <v>123.50000000000001</v>
      </c>
    </row>
    <row r="149" spans="1:7" ht="16.5" x14ac:dyDescent="0.3">
      <c r="A149" s="42" t="s">
        <v>80</v>
      </c>
      <c r="B149" s="97">
        <f>'[3]2011 Savings_revised'!$C$25</f>
        <v>1958.1697823311224</v>
      </c>
      <c r="C149" s="97">
        <f>'[3]2012 Savings_revised'!$E$25</f>
        <v>0</v>
      </c>
      <c r="D149" s="97">
        <f t="shared" si="37"/>
        <v>23498.037387973469</v>
      </c>
      <c r="E149" s="97">
        <f t="shared" si="38"/>
        <v>0</v>
      </c>
      <c r="F149" s="97">
        <f t="shared" si="39"/>
        <v>23498.037387973469</v>
      </c>
      <c r="G149" s="115">
        <f>'[3]2012 Savings_revised'!$Z$25</f>
        <v>4967.8007979547046</v>
      </c>
    </row>
    <row r="150" spans="1:7" ht="16.5" x14ac:dyDescent="0.3">
      <c r="A150" s="42" t="s">
        <v>93</v>
      </c>
      <c r="B150" s="97">
        <f>'[3]2011 Savings_revised'!$C$26</f>
        <v>541.84432727141211</v>
      </c>
      <c r="C150" s="97">
        <f>'[3]2012 Savings_revised'!$E$26</f>
        <v>644</v>
      </c>
      <c r="D150" s="97">
        <f t="shared" si="37"/>
        <v>6502.1319272569453</v>
      </c>
      <c r="E150" s="97">
        <f t="shared" si="38"/>
        <v>4186</v>
      </c>
      <c r="F150" s="97">
        <f t="shared" si="39"/>
        <v>10688.131927256945</v>
      </c>
      <c r="G150" s="115">
        <f>'[3]2012 Savings_revised'!$Z$26</f>
        <v>1816.9824276336808</v>
      </c>
    </row>
    <row r="151" spans="1:7" ht="16.5" x14ac:dyDescent="0.3">
      <c r="A151" s="42" t="s">
        <v>87</v>
      </c>
      <c r="B151" s="97">
        <f>'[3]2011 Savings_revised'!$C$30</f>
        <v>2633.625</v>
      </c>
      <c r="C151" s="97">
        <f>'[3]2012 Savings_revised'!$E$30</f>
        <v>3186</v>
      </c>
      <c r="D151" s="97"/>
      <c r="E151" s="97">
        <f>C151*3</f>
        <v>9558</v>
      </c>
      <c r="F151" s="97">
        <f t="shared" si="39"/>
        <v>9558</v>
      </c>
      <c r="G151" s="115">
        <f>'[3]2012 Savings_revised'!$Z$30</f>
        <v>9558</v>
      </c>
    </row>
    <row r="152" spans="1:7" ht="16.5" x14ac:dyDescent="0.3">
      <c r="A152" s="42" t="s">
        <v>88</v>
      </c>
      <c r="B152" s="97">
        <f>'[3]2011 Savings_revised'!$C$31</f>
        <v>1243</v>
      </c>
      <c r="C152" s="97">
        <f>'[3]2012 Savings_revised'!$E$31</f>
        <v>1232</v>
      </c>
      <c r="D152" s="97"/>
      <c r="E152" s="97">
        <f>C152*3</f>
        <v>3696</v>
      </c>
      <c r="F152" s="97">
        <f t="shared" si="39"/>
        <v>3696</v>
      </c>
      <c r="G152" s="115">
        <f>F152</f>
        <v>3696</v>
      </c>
    </row>
    <row r="153" spans="1:7" s="1" customFormat="1" ht="17.25" thickBot="1" x14ac:dyDescent="0.35">
      <c r="A153" s="113" t="s">
        <v>83</v>
      </c>
      <c r="B153" s="102">
        <f>SUM(B144:B152)</f>
        <v>8329.2698922546188</v>
      </c>
      <c r="C153" s="102">
        <f>SUM(C144:C152)</f>
        <v>9823</v>
      </c>
      <c r="D153" s="102">
        <f>SUM(D144:D152)</f>
        <v>53431.738707055425</v>
      </c>
      <c r="E153" s="102">
        <f t="shared" ref="E153:G153" si="40">SUM(E144:E152)</f>
        <v>48386.5</v>
      </c>
      <c r="F153" s="102">
        <f t="shared" si="40"/>
        <v>101818.23870705543</v>
      </c>
      <c r="G153" s="102">
        <f t="shared" si="40"/>
        <v>36664.168507980488</v>
      </c>
    </row>
    <row r="154" spans="1:7" ht="17.25" thickBot="1" x14ac:dyDescent="0.35">
      <c r="A154" s="122"/>
      <c r="B154" s="122"/>
      <c r="C154" s="122"/>
      <c r="D154" s="122"/>
      <c r="E154" s="123"/>
      <c r="F154" s="123"/>
      <c r="G154" s="123"/>
    </row>
    <row r="155" spans="1:7" s="40" customFormat="1" ht="16.5" x14ac:dyDescent="0.3">
      <c r="A155" s="40" t="s">
        <v>72</v>
      </c>
    </row>
    <row r="156" spans="1:7" s="40" customFormat="1" ht="16.5" x14ac:dyDescent="0.3">
      <c r="A156" s="40" t="s">
        <v>73</v>
      </c>
    </row>
    <row r="157" spans="1:7" s="40" customFormat="1" ht="16.5" x14ac:dyDescent="0.3">
      <c r="A157" s="40" t="s">
        <v>81</v>
      </c>
    </row>
    <row r="158" spans="1:7" s="40" customFormat="1" ht="16.5" x14ac:dyDescent="0.3">
      <c r="A158" s="40" t="s">
        <v>89</v>
      </c>
    </row>
    <row r="159" spans="1:7" s="40" customFormat="1" ht="16.5" x14ac:dyDescent="0.3">
      <c r="A159" s="118" t="s">
        <v>90</v>
      </c>
    </row>
  </sheetData>
  <mergeCells count="22">
    <mergeCell ref="B63:F63"/>
    <mergeCell ref="B68:F68"/>
    <mergeCell ref="B73:F73"/>
    <mergeCell ref="B43:F43"/>
    <mergeCell ref="B48:F48"/>
    <mergeCell ref="B53:F53"/>
    <mergeCell ref="B2:C2"/>
    <mergeCell ref="F2:G2"/>
    <mergeCell ref="H27:I27"/>
    <mergeCell ref="J27:L27"/>
    <mergeCell ref="B27:D27"/>
    <mergeCell ref="E27:G27"/>
    <mergeCell ref="F13:G13"/>
    <mergeCell ref="B4:C4"/>
    <mergeCell ref="D4:E4"/>
    <mergeCell ref="F4:G4"/>
    <mergeCell ref="B103:C103"/>
    <mergeCell ref="B123:E123"/>
    <mergeCell ref="B133:E133"/>
    <mergeCell ref="B141:F141"/>
    <mergeCell ref="B85:C85"/>
    <mergeCell ref="B95:C95"/>
  </mergeCells>
  <pageMargins left="0.7" right="0.7" top="0.75" bottom="0.75" header="0.3" footer="0.3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zoomScale="85" zoomScaleNormal="85" workbookViewId="0">
      <selection activeCell="O16" sqref="O16"/>
    </sheetView>
  </sheetViews>
  <sheetFormatPr defaultRowHeight="15" x14ac:dyDescent="0.25"/>
  <cols>
    <col min="1" max="1" width="9.140625" style="27"/>
    <col min="2" max="4" width="13.42578125" style="34" customWidth="1"/>
    <col min="5" max="5" width="13.42578125" style="28" customWidth="1"/>
    <col min="6" max="6" width="13.42578125" style="76" customWidth="1"/>
    <col min="7" max="7" width="13.42578125" style="79" customWidth="1"/>
    <col min="8" max="9" width="13.42578125" style="34" customWidth="1"/>
    <col min="10" max="10" width="10.85546875" bestFit="1" customWidth="1"/>
    <col min="13" max="14" width="17.5703125" customWidth="1"/>
  </cols>
  <sheetData>
    <row r="1" spans="1:14" ht="18.75" x14ac:dyDescent="0.3">
      <c r="A1" s="33" t="s">
        <v>44</v>
      </c>
    </row>
    <row r="2" spans="1:14" ht="15.75" thickBot="1" x14ac:dyDescent="0.3">
      <c r="L2" s="1" t="s">
        <v>51</v>
      </c>
    </row>
    <row r="3" spans="1:14" ht="39" x14ac:dyDescent="0.25">
      <c r="A3" s="31"/>
      <c r="B3" s="35" t="s">
        <v>23</v>
      </c>
      <c r="C3" s="36" t="s">
        <v>24</v>
      </c>
      <c r="D3" s="35" t="s">
        <v>25</v>
      </c>
      <c r="E3" s="32" t="s">
        <v>26</v>
      </c>
      <c r="F3" s="77" t="s">
        <v>42</v>
      </c>
      <c r="G3" s="80" t="s">
        <v>43</v>
      </c>
      <c r="H3" s="35" t="s">
        <v>27</v>
      </c>
      <c r="I3" s="35" t="s">
        <v>28</v>
      </c>
      <c r="L3" s="88" t="s">
        <v>48</v>
      </c>
      <c r="M3" s="89" t="s">
        <v>49</v>
      </c>
      <c r="N3" s="89" t="s">
        <v>50</v>
      </c>
    </row>
    <row r="4" spans="1:14" x14ac:dyDescent="0.25">
      <c r="A4" s="39">
        <v>40544</v>
      </c>
      <c r="B4" s="34">
        <v>0</v>
      </c>
      <c r="C4" s="34">
        <f>D15/12</f>
        <v>16083.078013816275</v>
      </c>
      <c r="D4" s="34">
        <f>SUM(B4:C4)</f>
        <v>16083.078013816275</v>
      </c>
      <c r="E4" s="28">
        <v>1.47E-2</v>
      </c>
      <c r="F4" s="76">
        <v>31</v>
      </c>
      <c r="G4" s="79">
        <f>E4/365*F4</f>
        <v>1.2484931506849316E-3</v>
      </c>
      <c r="H4" s="34">
        <f>B4*G4</f>
        <v>0</v>
      </c>
      <c r="I4" s="34">
        <f>H4</f>
        <v>0</v>
      </c>
      <c r="J4" s="30"/>
      <c r="L4" s="22">
        <v>2011</v>
      </c>
      <c r="M4" s="84">
        <f>D15</f>
        <v>192996.93616579531</v>
      </c>
      <c r="N4" s="84">
        <f>I15</f>
        <v>1306.4702871283596</v>
      </c>
    </row>
    <row r="5" spans="1:14" x14ac:dyDescent="0.25">
      <c r="A5" s="39">
        <v>40575</v>
      </c>
      <c r="B5" s="34">
        <f>D4</f>
        <v>16083.078013816275</v>
      </c>
      <c r="C5" s="34">
        <f>C4</f>
        <v>16083.078013816275</v>
      </c>
      <c r="D5" s="34">
        <f t="shared" ref="D5:D39" si="0">SUM(B5:C5)</f>
        <v>32166.156027632551</v>
      </c>
      <c r="E5" s="28">
        <v>1.47E-2</v>
      </c>
      <c r="F5" s="76">
        <v>28</v>
      </c>
      <c r="G5" s="79">
        <f t="shared" ref="G5:G15" si="1">E5/365*F5</f>
        <v>1.1276712328767123E-3</v>
      </c>
      <c r="H5" s="34">
        <f t="shared" ref="H5:H51" si="2">B5*G5</f>
        <v>18.136424412292545</v>
      </c>
      <c r="I5" s="34">
        <f>I4+H5</f>
        <v>18.136424412292545</v>
      </c>
      <c r="L5" s="22">
        <v>2012</v>
      </c>
      <c r="M5" s="84">
        <f>D27</f>
        <v>770966.60633762693</v>
      </c>
      <c r="N5" s="84">
        <f>I27-I15</f>
        <v>6740.7979210587118</v>
      </c>
    </row>
    <row r="6" spans="1:14" x14ac:dyDescent="0.25">
      <c r="A6" s="39">
        <v>40603</v>
      </c>
      <c r="B6" s="34">
        <f t="shared" ref="B6:B39" si="3">D5</f>
        <v>32166.156027632551</v>
      </c>
      <c r="C6" s="34">
        <f t="shared" ref="C6:C15" si="4">C5</f>
        <v>16083.078013816275</v>
      </c>
      <c r="D6" s="34">
        <f t="shared" si="0"/>
        <v>48249.234041448828</v>
      </c>
      <c r="E6" s="28">
        <v>1.47E-2</v>
      </c>
      <c r="F6" s="76">
        <v>31</v>
      </c>
      <c r="G6" s="79">
        <f t="shared" si="1"/>
        <v>1.2484931506849316E-3</v>
      </c>
      <c r="H6" s="34">
        <f t="shared" si="2"/>
        <v>40.159225484362068</v>
      </c>
      <c r="I6" s="34">
        <f t="shared" ref="I6:I27" si="5">I5+H6</f>
        <v>58.295649896654609</v>
      </c>
      <c r="L6" s="22">
        <v>2013</v>
      </c>
      <c r="M6" s="84">
        <f>D32</f>
        <v>770966.60633762693</v>
      </c>
      <c r="N6" s="84">
        <f>I39-I27</f>
        <v>11333.209113163122</v>
      </c>
    </row>
    <row r="7" spans="1:14" x14ac:dyDescent="0.25">
      <c r="A7" s="39">
        <v>40634</v>
      </c>
      <c r="B7" s="34">
        <f t="shared" si="3"/>
        <v>48249.234041448828</v>
      </c>
      <c r="C7" s="34">
        <f t="shared" si="4"/>
        <v>16083.078013816275</v>
      </c>
      <c r="D7" s="34">
        <f t="shared" si="0"/>
        <v>64332.312055265102</v>
      </c>
      <c r="E7" s="28">
        <v>1.47E-2</v>
      </c>
      <c r="F7" s="76">
        <v>30</v>
      </c>
      <c r="G7" s="79">
        <f t="shared" si="1"/>
        <v>1.2082191780821917E-3</v>
      </c>
      <c r="H7" s="34">
        <f t="shared" si="2"/>
        <v>58.295649896654609</v>
      </c>
      <c r="I7" s="34">
        <f t="shared" si="5"/>
        <v>116.59129979330922</v>
      </c>
      <c r="L7" s="22">
        <v>2014</v>
      </c>
      <c r="M7" s="84">
        <f>D51</f>
        <v>770966.60633762693</v>
      </c>
      <c r="N7" s="84">
        <f>I51-I39</f>
        <v>11333.20911316312</v>
      </c>
    </row>
    <row r="8" spans="1:14" ht="15.75" thickBot="1" x14ac:dyDescent="0.3">
      <c r="A8" s="39">
        <v>40664</v>
      </c>
      <c r="B8" s="34">
        <f t="shared" si="3"/>
        <v>64332.312055265102</v>
      </c>
      <c r="C8" s="34">
        <f t="shared" si="4"/>
        <v>16083.078013816275</v>
      </c>
      <c r="D8" s="34">
        <f t="shared" si="0"/>
        <v>80415.390069081375</v>
      </c>
      <c r="E8" s="28">
        <v>1.47E-2</v>
      </c>
      <c r="F8" s="76">
        <v>31</v>
      </c>
      <c r="G8" s="79">
        <f t="shared" si="1"/>
        <v>1.2484931506849316E-3</v>
      </c>
      <c r="H8" s="34">
        <f t="shared" si="2"/>
        <v>80.318450968724136</v>
      </c>
      <c r="I8" s="34">
        <f t="shared" si="5"/>
        <v>196.90975076203335</v>
      </c>
      <c r="L8" s="86" t="s">
        <v>33</v>
      </c>
      <c r="M8" s="86"/>
      <c r="N8" s="87">
        <f>SUM(N4:N7)</f>
        <v>30713.686434513314</v>
      </c>
    </row>
    <row r="9" spans="1:14" ht="16.5" thickTop="1" thickBot="1" x14ac:dyDescent="0.3">
      <c r="A9" s="39">
        <v>40695</v>
      </c>
      <c r="B9" s="34">
        <f t="shared" si="3"/>
        <v>80415.390069081375</v>
      </c>
      <c r="C9" s="34">
        <f t="shared" si="4"/>
        <v>16083.078013816275</v>
      </c>
      <c r="D9" s="34">
        <f t="shared" si="0"/>
        <v>96498.468082897656</v>
      </c>
      <c r="E9" s="28">
        <v>1.47E-2</v>
      </c>
      <c r="F9" s="76">
        <v>30</v>
      </c>
      <c r="G9" s="79">
        <f t="shared" si="1"/>
        <v>1.2082191780821917E-3</v>
      </c>
      <c r="H9" s="34">
        <f t="shared" si="2"/>
        <v>97.159416494424349</v>
      </c>
      <c r="I9" s="34">
        <f t="shared" si="5"/>
        <v>294.06916725645772</v>
      </c>
      <c r="L9" s="85"/>
      <c r="M9" s="85"/>
      <c r="N9" s="85"/>
    </row>
    <row r="10" spans="1:14" x14ac:dyDescent="0.25">
      <c r="A10" s="39">
        <v>40725</v>
      </c>
      <c r="B10" s="34">
        <f t="shared" si="3"/>
        <v>96498.468082897656</v>
      </c>
      <c r="C10" s="34">
        <f t="shared" si="4"/>
        <v>16083.078013816275</v>
      </c>
      <c r="D10" s="34">
        <f t="shared" si="0"/>
        <v>112581.54609671394</v>
      </c>
      <c r="E10" s="28">
        <v>1.47E-2</v>
      </c>
      <c r="F10" s="76">
        <v>31</v>
      </c>
      <c r="G10" s="79">
        <f t="shared" si="1"/>
        <v>1.2484931506849316E-3</v>
      </c>
      <c r="H10" s="34">
        <f t="shared" si="2"/>
        <v>120.4776764530862</v>
      </c>
      <c r="I10" s="34">
        <f t="shared" si="5"/>
        <v>414.54684370954391</v>
      </c>
    </row>
    <row r="11" spans="1:14" x14ac:dyDescent="0.25">
      <c r="A11" s="39">
        <v>40756</v>
      </c>
      <c r="B11" s="34">
        <f t="shared" si="3"/>
        <v>112581.54609671394</v>
      </c>
      <c r="C11" s="34">
        <f t="shared" si="4"/>
        <v>16083.078013816275</v>
      </c>
      <c r="D11" s="34">
        <f t="shared" si="0"/>
        <v>128664.62411053022</v>
      </c>
      <c r="E11" s="28">
        <v>1.47E-2</v>
      </c>
      <c r="F11" s="76">
        <v>31</v>
      </c>
      <c r="G11" s="79">
        <f t="shared" si="1"/>
        <v>1.2484931506849316E-3</v>
      </c>
      <c r="H11" s="34">
        <f t="shared" si="2"/>
        <v>140.55728919526726</v>
      </c>
      <c r="I11" s="34">
        <f t="shared" si="5"/>
        <v>555.10413290481119</v>
      </c>
    </row>
    <row r="12" spans="1:14" x14ac:dyDescent="0.25">
      <c r="A12" s="39">
        <v>40787</v>
      </c>
      <c r="B12" s="34">
        <f t="shared" si="3"/>
        <v>128664.62411053022</v>
      </c>
      <c r="C12" s="34">
        <f t="shared" si="4"/>
        <v>16083.078013816275</v>
      </c>
      <c r="D12" s="34">
        <f t="shared" si="0"/>
        <v>144747.70212434648</v>
      </c>
      <c r="E12" s="28">
        <v>1.47E-2</v>
      </c>
      <c r="F12" s="76">
        <v>30</v>
      </c>
      <c r="G12" s="79">
        <f t="shared" si="1"/>
        <v>1.2082191780821917E-3</v>
      </c>
      <c r="H12" s="34">
        <f t="shared" si="2"/>
        <v>155.45506639107896</v>
      </c>
      <c r="I12" s="34">
        <f t="shared" si="5"/>
        <v>710.55919929589015</v>
      </c>
    </row>
    <row r="13" spans="1:14" x14ac:dyDescent="0.25">
      <c r="A13" s="39">
        <v>40817</v>
      </c>
      <c r="B13" s="34">
        <f t="shared" si="3"/>
        <v>144747.70212434648</v>
      </c>
      <c r="C13" s="34">
        <f t="shared" si="4"/>
        <v>16083.078013816275</v>
      </c>
      <c r="D13" s="34">
        <f t="shared" si="0"/>
        <v>160830.78013816275</v>
      </c>
      <c r="E13" s="28">
        <v>1.47E-2</v>
      </c>
      <c r="F13" s="76">
        <v>31</v>
      </c>
      <c r="G13" s="79">
        <f t="shared" si="1"/>
        <v>1.2484931506849316E-3</v>
      </c>
      <c r="H13" s="34">
        <f t="shared" si="2"/>
        <v>180.71651467962931</v>
      </c>
      <c r="I13" s="34">
        <f t="shared" si="5"/>
        <v>891.27571397551947</v>
      </c>
    </row>
    <row r="14" spans="1:14" x14ac:dyDescent="0.25">
      <c r="A14" s="39">
        <v>40848</v>
      </c>
      <c r="B14" s="34">
        <f t="shared" si="3"/>
        <v>160830.78013816275</v>
      </c>
      <c r="C14" s="34">
        <f t="shared" si="4"/>
        <v>16083.078013816275</v>
      </c>
      <c r="D14" s="34">
        <f t="shared" si="0"/>
        <v>176913.85815197902</v>
      </c>
      <c r="E14" s="28">
        <v>1.47E-2</v>
      </c>
      <c r="F14" s="76">
        <v>30</v>
      </c>
      <c r="G14" s="79">
        <f t="shared" si="1"/>
        <v>1.2082191780821917E-3</v>
      </c>
      <c r="H14" s="34">
        <f t="shared" si="2"/>
        <v>194.3188329888487</v>
      </c>
      <c r="I14" s="34">
        <f t="shared" si="5"/>
        <v>1085.5945469643682</v>
      </c>
    </row>
    <row r="15" spans="1:14" x14ac:dyDescent="0.25">
      <c r="A15" s="39">
        <v>40878</v>
      </c>
      <c r="B15" s="34">
        <f t="shared" si="3"/>
        <v>176913.85815197902</v>
      </c>
      <c r="C15" s="34">
        <f t="shared" si="4"/>
        <v>16083.078013816275</v>
      </c>
      <c r="D15" s="34">
        <f>'Tables for Report'!B21</f>
        <v>192996.93616579531</v>
      </c>
      <c r="E15" s="28">
        <v>1.47E-2</v>
      </c>
      <c r="F15" s="76">
        <v>31</v>
      </c>
      <c r="G15" s="79">
        <f t="shared" si="1"/>
        <v>1.2484931506849316E-3</v>
      </c>
      <c r="H15" s="34">
        <f t="shared" si="2"/>
        <v>220.87574016399134</v>
      </c>
      <c r="I15" s="66">
        <f t="shared" si="5"/>
        <v>1306.4702871283596</v>
      </c>
    </row>
    <row r="16" spans="1:14" x14ac:dyDescent="0.25">
      <c r="A16" s="39">
        <v>40909</v>
      </c>
      <c r="B16" s="34">
        <f t="shared" si="3"/>
        <v>192996.93616579531</v>
      </c>
      <c r="C16" s="3">
        <f>'Tables for Report'!$C$21/12</f>
        <v>48164.139180985956</v>
      </c>
      <c r="D16" s="34">
        <f t="shared" si="0"/>
        <v>241161.07534678126</v>
      </c>
      <c r="E16" s="28">
        <v>1.47E-2</v>
      </c>
      <c r="F16" s="76">
        <f>'[1]Carrying Interest'!$F7</f>
        <v>31</v>
      </c>
      <c r="G16" s="79">
        <f>E16/366*F16</f>
        <v>1.2450819672131148E-3</v>
      </c>
      <c r="H16" s="34">
        <f t="shared" si="2"/>
        <v>240.29700494741238</v>
      </c>
      <c r="I16" s="34">
        <f t="shared" si="5"/>
        <v>1546.767292075772</v>
      </c>
    </row>
    <row r="17" spans="1:9" x14ac:dyDescent="0.25">
      <c r="A17" s="39">
        <v>40940</v>
      </c>
      <c r="B17" s="34">
        <f t="shared" si="3"/>
        <v>241161.07534678126</v>
      </c>
      <c r="C17" s="3">
        <f>'Tables for Report'!$C$21/12</f>
        <v>48164.139180985956</v>
      </c>
      <c r="D17" s="34">
        <f t="shared" si="0"/>
        <v>289325.21452776721</v>
      </c>
      <c r="E17" s="28">
        <v>1.47E-2</v>
      </c>
      <c r="F17" s="76">
        <v>29</v>
      </c>
      <c r="G17" s="79">
        <f t="shared" ref="G17:G27" si="6">E17/366*F17</f>
        <v>1.1647540983606558E-3</v>
      </c>
      <c r="H17" s="34">
        <f t="shared" si="2"/>
        <v>280.89335087522642</v>
      </c>
      <c r="I17" s="34">
        <f t="shared" si="5"/>
        <v>1827.6606429509984</v>
      </c>
    </row>
    <row r="18" spans="1:9" x14ac:dyDescent="0.25">
      <c r="A18" s="39">
        <v>40969</v>
      </c>
      <c r="B18" s="34">
        <f t="shared" si="3"/>
        <v>289325.21452776721</v>
      </c>
      <c r="C18" s="3">
        <f>'Tables for Report'!$C$21/12</f>
        <v>48164.139180985956</v>
      </c>
      <c r="D18" s="34">
        <f t="shared" si="0"/>
        <v>337489.35370875319</v>
      </c>
      <c r="E18" s="28">
        <v>1.47E-2</v>
      </c>
      <c r="F18" s="76">
        <f>'[1]Carrying Interest'!$F9</f>
        <v>31</v>
      </c>
      <c r="G18" s="79">
        <f t="shared" si="6"/>
        <v>1.2450819672131148E-3</v>
      </c>
      <c r="H18" s="34">
        <f t="shared" si="2"/>
        <v>360.23360726858886</v>
      </c>
      <c r="I18" s="34">
        <f t="shared" si="5"/>
        <v>2187.8942502195873</v>
      </c>
    </row>
    <row r="19" spans="1:9" x14ac:dyDescent="0.25">
      <c r="A19" s="39">
        <v>41000</v>
      </c>
      <c r="B19" s="34">
        <f t="shared" si="3"/>
        <v>337489.35370875319</v>
      </c>
      <c r="C19" s="3">
        <f>'Tables for Report'!$C$21/12</f>
        <v>48164.139180985956</v>
      </c>
      <c r="D19" s="34">
        <f t="shared" si="0"/>
        <v>385653.49288973917</v>
      </c>
      <c r="E19" s="28">
        <v>1.47E-2</v>
      </c>
      <c r="F19" s="76">
        <f>'[1]Carrying Interest'!$F10</f>
        <v>30</v>
      </c>
      <c r="G19" s="79">
        <f t="shared" si="6"/>
        <v>1.2049180327868853E-3</v>
      </c>
      <c r="H19" s="34">
        <f t="shared" si="2"/>
        <v>406.6470081572682</v>
      </c>
      <c r="I19" s="34">
        <f t="shared" si="5"/>
        <v>2594.5412583768557</v>
      </c>
    </row>
    <row r="20" spans="1:9" x14ac:dyDescent="0.25">
      <c r="A20" s="39">
        <v>41030</v>
      </c>
      <c r="B20" s="34">
        <f t="shared" si="3"/>
        <v>385653.49288973917</v>
      </c>
      <c r="C20" s="3">
        <f>'Tables for Report'!$C$21/12</f>
        <v>48164.139180985956</v>
      </c>
      <c r="D20" s="34">
        <f t="shared" si="0"/>
        <v>433817.63207072514</v>
      </c>
      <c r="E20" s="28">
        <v>1.47E-2</v>
      </c>
      <c r="F20" s="76">
        <f>'[1]Carrying Interest'!$F11</f>
        <v>31</v>
      </c>
      <c r="G20" s="79">
        <f t="shared" si="6"/>
        <v>1.2450819672131148E-3</v>
      </c>
      <c r="H20" s="34">
        <f t="shared" si="2"/>
        <v>480.17020958976542</v>
      </c>
      <c r="I20" s="34">
        <f t="shared" si="5"/>
        <v>3074.7114679666211</v>
      </c>
    </row>
    <row r="21" spans="1:9" x14ac:dyDescent="0.25">
      <c r="A21" s="39">
        <v>41061</v>
      </c>
      <c r="B21" s="34">
        <f t="shared" si="3"/>
        <v>433817.63207072514</v>
      </c>
      <c r="C21" s="3">
        <f>'Tables for Report'!$C$21/12</f>
        <v>48164.139180985956</v>
      </c>
      <c r="D21" s="34">
        <f t="shared" si="0"/>
        <v>481981.77125171112</v>
      </c>
      <c r="E21" s="28">
        <v>1.47E-2</v>
      </c>
      <c r="F21" s="76">
        <f>'[1]Carrying Interest'!$F12</f>
        <v>30</v>
      </c>
      <c r="G21" s="79">
        <f t="shared" si="6"/>
        <v>1.2049180327868853E-3</v>
      </c>
      <c r="H21" s="34">
        <f t="shared" si="2"/>
        <v>522.714687822923</v>
      </c>
      <c r="I21" s="34">
        <f t="shared" si="5"/>
        <v>3597.4261557895443</v>
      </c>
    </row>
    <row r="22" spans="1:9" x14ac:dyDescent="0.25">
      <c r="A22" s="39">
        <v>41091</v>
      </c>
      <c r="B22" s="34">
        <f t="shared" si="3"/>
        <v>481981.77125171112</v>
      </c>
      <c r="C22" s="3">
        <f>'Tables for Report'!$C$21/12</f>
        <v>48164.139180985956</v>
      </c>
      <c r="D22" s="34">
        <f t="shared" si="0"/>
        <v>530145.91043269704</v>
      </c>
      <c r="E22" s="28">
        <v>1.47E-2</v>
      </c>
      <c r="F22" s="76">
        <f>'[1]Carrying Interest'!$F13</f>
        <v>31</v>
      </c>
      <c r="G22" s="79">
        <f t="shared" si="6"/>
        <v>1.2450819672131148E-3</v>
      </c>
      <c r="H22" s="34">
        <f t="shared" si="2"/>
        <v>600.10681191094204</v>
      </c>
      <c r="I22" s="34">
        <f t="shared" si="5"/>
        <v>4197.5329677004866</v>
      </c>
    </row>
    <row r="23" spans="1:9" x14ac:dyDescent="0.25">
      <c r="A23" s="39">
        <v>41122</v>
      </c>
      <c r="B23" s="34">
        <f t="shared" si="3"/>
        <v>530145.91043269704</v>
      </c>
      <c r="C23" s="3">
        <f>'Tables for Report'!$C$21/12</f>
        <v>48164.139180985956</v>
      </c>
      <c r="D23" s="34">
        <f t="shared" si="0"/>
        <v>578310.04961368302</v>
      </c>
      <c r="E23" s="28">
        <v>1.47E-2</v>
      </c>
      <c r="F23" s="76">
        <f>'[1]Carrying Interest'!$F14</f>
        <v>31</v>
      </c>
      <c r="G23" s="79">
        <f t="shared" si="6"/>
        <v>1.2450819672131148E-3</v>
      </c>
      <c r="H23" s="34">
        <f t="shared" si="2"/>
        <v>660.07511307153015</v>
      </c>
      <c r="I23" s="34">
        <f t="shared" si="5"/>
        <v>4857.6080807720164</v>
      </c>
    </row>
    <row r="24" spans="1:9" x14ac:dyDescent="0.25">
      <c r="A24" s="39">
        <v>41153</v>
      </c>
      <c r="B24" s="34">
        <f t="shared" si="3"/>
        <v>578310.04961368302</v>
      </c>
      <c r="C24" s="3">
        <f>'Tables for Report'!$C$21/12</f>
        <v>48164.139180985956</v>
      </c>
      <c r="D24" s="34">
        <f t="shared" si="0"/>
        <v>626474.188794669</v>
      </c>
      <c r="E24" s="28">
        <v>1.47E-2</v>
      </c>
      <c r="F24" s="76">
        <f>'[1]Carrying Interest'!$F15</f>
        <v>30</v>
      </c>
      <c r="G24" s="79">
        <f t="shared" si="6"/>
        <v>1.2049180327868853E-3</v>
      </c>
      <c r="H24" s="34">
        <f t="shared" si="2"/>
        <v>696.81620732140505</v>
      </c>
      <c r="I24" s="34">
        <f t="shared" si="5"/>
        <v>5554.4242880934216</v>
      </c>
    </row>
    <row r="25" spans="1:9" x14ac:dyDescent="0.25">
      <c r="A25" s="39">
        <v>41183</v>
      </c>
      <c r="B25" s="34">
        <f t="shared" si="3"/>
        <v>626474.188794669</v>
      </c>
      <c r="C25" s="3">
        <f>'Tables for Report'!$C$21/12</f>
        <v>48164.139180985956</v>
      </c>
      <c r="D25" s="34">
        <f t="shared" si="0"/>
        <v>674638.32797565497</v>
      </c>
      <c r="E25" s="28">
        <v>1.47E-2</v>
      </c>
      <c r="F25" s="76">
        <f>'[1]Carrying Interest'!$F16</f>
        <v>31</v>
      </c>
      <c r="G25" s="79">
        <f t="shared" si="6"/>
        <v>1.2450819672131148E-3</v>
      </c>
      <c r="H25" s="34">
        <f t="shared" si="2"/>
        <v>780.01171539270672</v>
      </c>
      <c r="I25" s="34">
        <f t="shared" si="5"/>
        <v>6334.4360034861284</v>
      </c>
    </row>
    <row r="26" spans="1:9" x14ac:dyDescent="0.25">
      <c r="A26" s="39">
        <v>41214</v>
      </c>
      <c r="B26" s="34">
        <f t="shared" si="3"/>
        <v>674638.32797565497</v>
      </c>
      <c r="C26" s="3">
        <f>'Tables for Report'!$C$21/12</f>
        <v>48164.139180985956</v>
      </c>
      <c r="D26" s="34">
        <f t="shared" si="0"/>
        <v>722802.46715664095</v>
      </c>
      <c r="E26" s="28">
        <v>1.47E-2</v>
      </c>
      <c r="F26" s="76">
        <f>'[1]Carrying Interest'!$F17</f>
        <v>30</v>
      </c>
      <c r="G26" s="79">
        <f t="shared" si="6"/>
        <v>1.2049180327868853E-3</v>
      </c>
      <c r="H26" s="34">
        <f t="shared" si="2"/>
        <v>812.88388698705978</v>
      </c>
      <c r="I26" s="34">
        <f t="shared" si="5"/>
        <v>7147.319890473188</v>
      </c>
    </row>
    <row r="27" spans="1:9" x14ac:dyDescent="0.25">
      <c r="A27" s="39">
        <v>41244</v>
      </c>
      <c r="B27" s="34">
        <f t="shared" si="3"/>
        <v>722802.46715664095</v>
      </c>
      <c r="C27" s="3">
        <f>'Tables for Report'!$C$21/12</f>
        <v>48164.139180985956</v>
      </c>
      <c r="D27" s="34">
        <f t="shared" si="0"/>
        <v>770966.60633762693</v>
      </c>
      <c r="E27" s="28">
        <v>1.47E-2</v>
      </c>
      <c r="F27" s="76">
        <f>'[1]Carrying Interest'!$F18</f>
        <v>31</v>
      </c>
      <c r="G27" s="79">
        <f t="shared" si="6"/>
        <v>1.2450819672131148E-3</v>
      </c>
      <c r="H27" s="34">
        <f t="shared" si="2"/>
        <v>899.94831771388328</v>
      </c>
      <c r="I27" s="66">
        <f t="shared" si="5"/>
        <v>8047.2682081870717</v>
      </c>
    </row>
    <row r="28" spans="1:9" x14ac:dyDescent="0.25">
      <c r="A28" s="39">
        <v>41275</v>
      </c>
      <c r="B28" s="34">
        <f t="shared" si="3"/>
        <v>770966.60633762693</v>
      </c>
      <c r="C28" s="3"/>
      <c r="D28" s="34">
        <f t="shared" si="0"/>
        <v>770966.60633762693</v>
      </c>
      <c r="E28" s="28">
        <f>E27</f>
        <v>1.47E-2</v>
      </c>
      <c r="F28" s="76">
        <f>'[1]Carrying Interest'!$F19</f>
        <v>31</v>
      </c>
      <c r="G28" s="79">
        <f t="shared" ref="G28:G51" si="7">E28/365*F28</f>
        <v>1.2484931506849316E-3</v>
      </c>
      <c r="H28" s="34">
        <f t="shared" si="2"/>
        <v>962.54652741933319</v>
      </c>
      <c r="I28" s="34">
        <f t="shared" ref="I28:I39" si="8">I27+H28</f>
        <v>9009.8147356064055</v>
      </c>
    </row>
    <row r="29" spans="1:9" x14ac:dyDescent="0.25">
      <c r="A29" s="39">
        <v>41306</v>
      </c>
      <c r="B29" s="34">
        <f t="shared" si="3"/>
        <v>770966.60633762693</v>
      </c>
      <c r="C29" s="3"/>
      <c r="D29" s="34">
        <f t="shared" si="0"/>
        <v>770966.60633762693</v>
      </c>
      <c r="E29" s="28">
        <f t="shared" ref="E29:E39" si="9">E28</f>
        <v>1.47E-2</v>
      </c>
      <c r="F29" s="76">
        <f>'[1]Carrying Interest'!$F20</f>
        <v>28</v>
      </c>
      <c r="G29" s="79">
        <f t="shared" si="7"/>
        <v>1.1276712328767123E-3</v>
      </c>
      <c r="H29" s="34">
        <f t="shared" si="2"/>
        <v>869.39686347552663</v>
      </c>
      <c r="I29" s="34">
        <f t="shared" si="8"/>
        <v>9879.2115990819329</v>
      </c>
    </row>
    <row r="30" spans="1:9" x14ac:dyDescent="0.25">
      <c r="A30" s="39">
        <v>41334</v>
      </c>
      <c r="B30" s="34">
        <f t="shared" si="3"/>
        <v>770966.60633762693</v>
      </c>
      <c r="C30" s="3"/>
      <c r="D30" s="34">
        <f t="shared" si="0"/>
        <v>770966.60633762693</v>
      </c>
      <c r="E30" s="28">
        <f t="shared" si="9"/>
        <v>1.47E-2</v>
      </c>
      <c r="F30" s="76">
        <f>'[1]Carrying Interest'!$F21</f>
        <v>31</v>
      </c>
      <c r="G30" s="79">
        <f t="shared" si="7"/>
        <v>1.2484931506849316E-3</v>
      </c>
      <c r="H30" s="34">
        <f t="shared" si="2"/>
        <v>962.54652741933319</v>
      </c>
      <c r="I30" s="34">
        <f t="shared" si="8"/>
        <v>10841.758126501267</v>
      </c>
    </row>
    <row r="31" spans="1:9" x14ac:dyDescent="0.25">
      <c r="A31" s="39">
        <v>41365</v>
      </c>
      <c r="B31" s="34">
        <f t="shared" si="3"/>
        <v>770966.60633762693</v>
      </c>
      <c r="C31" s="3"/>
      <c r="D31" s="34">
        <f t="shared" si="0"/>
        <v>770966.60633762693</v>
      </c>
      <c r="E31" s="28">
        <f t="shared" si="9"/>
        <v>1.47E-2</v>
      </c>
      <c r="F31" s="76">
        <f>'[1]Carrying Interest'!$F22</f>
        <v>30</v>
      </c>
      <c r="G31" s="79">
        <f t="shared" si="7"/>
        <v>1.2082191780821917E-3</v>
      </c>
      <c r="H31" s="34">
        <f t="shared" si="2"/>
        <v>931.49663943806434</v>
      </c>
      <c r="I31" s="34">
        <f t="shared" si="8"/>
        <v>11773.254765939331</v>
      </c>
    </row>
    <row r="32" spans="1:9" x14ac:dyDescent="0.25">
      <c r="A32" s="39">
        <v>41395</v>
      </c>
      <c r="B32" s="34">
        <f t="shared" si="3"/>
        <v>770966.60633762693</v>
      </c>
      <c r="C32" s="3"/>
      <c r="D32" s="34">
        <f t="shared" si="0"/>
        <v>770966.60633762693</v>
      </c>
      <c r="E32" s="28">
        <f t="shared" si="9"/>
        <v>1.47E-2</v>
      </c>
      <c r="F32" s="76">
        <f>'[1]Carrying Interest'!$F23</f>
        <v>31</v>
      </c>
      <c r="G32" s="79">
        <f t="shared" si="7"/>
        <v>1.2484931506849316E-3</v>
      </c>
      <c r="H32" s="34">
        <f t="shared" si="2"/>
        <v>962.54652741933319</v>
      </c>
      <c r="I32" s="34">
        <f t="shared" si="8"/>
        <v>12735.801293358665</v>
      </c>
    </row>
    <row r="33" spans="1:10" x14ac:dyDescent="0.25">
      <c r="A33" s="39">
        <v>41426</v>
      </c>
      <c r="B33" s="34">
        <f t="shared" si="3"/>
        <v>770966.60633762693</v>
      </c>
      <c r="C33" s="3"/>
      <c r="D33" s="34">
        <f t="shared" si="0"/>
        <v>770966.60633762693</v>
      </c>
      <c r="E33" s="28">
        <f t="shared" si="9"/>
        <v>1.47E-2</v>
      </c>
      <c r="F33" s="76">
        <f>'[1]Carrying Interest'!$F24</f>
        <v>30</v>
      </c>
      <c r="G33" s="79">
        <f t="shared" si="7"/>
        <v>1.2082191780821917E-3</v>
      </c>
      <c r="H33" s="34">
        <f t="shared" si="2"/>
        <v>931.49663943806434</v>
      </c>
      <c r="I33" s="34">
        <f t="shared" si="8"/>
        <v>13667.29793279673</v>
      </c>
    </row>
    <row r="34" spans="1:10" x14ac:dyDescent="0.25">
      <c r="A34" s="39">
        <v>41456</v>
      </c>
      <c r="B34" s="34">
        <f t="shared" si="3"/>
        <v>770966.60633762693</v>
      </c>
      <c r="C34" s="3"/>
      <c r="D34" s="34">
        <f t="shared" si="0"/>
        <v>770966.60633762693</v>
      </c>
      <c r="E34" s="28">
        <f t="shared" si="9"/>
        <v>1.47E-2</v>
      </c>
      <c r="F34" s="76">
        <f>'[1]Carrying Interest'!$F25</f>
        <v>31</v>
      </c>
      <c r="G34" s="79">
        <f t="shared" si="7"/>
        <v>1.2484931506849316E-3</v>
      </c>
      <c r="H34" s="34">
        <f t="shared" si="2"/>
        <v>962.54652741933319</v>
      </c>
      <c r="I34" s="34">
        <f t="shared" si="8"/>
        <v>14629.844460216063</v>
      </c>
    </row>
    <row r="35" spans="1:10" x14ac:dyDescent="0.25">
      <c r="A35" s="39">
        <v>41487</v>
      </c>
      <c r="B35" s="34">
        <f t="shared" si="3"/>
        <v>770966.60633762693</v>
      </c>
      <c r="C35" s="3"/>
      <c r="D35" s="34">
        <f t="shared" si="0"/>
        <v>770966.60633762693</v>
      </c>
      <c r="E35" s="28">
        <f t="shared" si="9"/>
        <v>1.47E-2</v>
      </c>
      <c r="F35" s="76">
        <f>'[1]Carrying Interest'!$F26</f>
        <v>31</v>
      </c>
      <c r="G35" s="79">
        <f t="shared" si="7"/>
        <v>1.2484931506849316E-3</v>
      </c>
      <c r="H35" s="34">
        <f t="shared" si="2"/>
        <v>962.54652741933319</v>
      </c>
      <c r="I35" s="34">
        <f t="shared" si="8"/>
        <v>15592.390987635397</v>
      </c>
    </row>
    <row r="36" spans="1:10" x14ac:dyDescent="0.25">
      <c r="A36" s="39">
        <v>41518</v>
      </c>
      <c r="B36" s="34">
        <f t="shared" si="3"/>
        <v>770966.60633762693</v>
      </c>
      <c r="C36" s="3"/>
      <c r="D36" s="34">
        <f t="shared" si="0"/>
        <v>770966.60633762693</v>
      </c>
      <c r="E36" s="28">
        <f t="shared" si="9"/>
        <v>1.47E-2</v>
      </c>
      <c r="F36" s="76">
        <f>'[1]Carrying Interest'!$F27</f>
        <v>30</v>
      </c>
      <c r="G36" s="79">
        <f t="shared" si="7"/>
        <v>1.2082191780821917E-3</v>
      </c>
      <c r="H36" s="34">
        <f t="shared" si="2"/>
        <v>931.49663943806434</v>
      </c>
      <c r="I36" s="34">
        <f t="shared" si="8"/>
        <v>16523.887627073462</v>
      </c>
    </row>
    <row r="37" spans="1:10" x14ac:dyDescent="0.25">
      <c r="A37" s="39">
        <v>41548</v>
      </c>
      <c r="B37" s="34">
        <f t="shared" si="3"/>
        <v>770966.60633762693</v>
      </c>
      <c r="C37" s="3"/>
      <c r="D37" s="34">
        <f t="shared" si="0"/>
        <v>770966.60633762693</v>
      </c>
      <c r="E37" s="28">
        <f t="shared" si="9"/>
        <v>1.47E-2</v>
      </c>
      <c r="F37" s="76">
        <f>'[1]Carrying Interest'!$F28</f>
        <v>31</v>
      </c>
      <c r="G37" s="79">
        <f t="shared" si="7"/>
        <v>1.2484931506849316E-3</v>
      </c>
      <c r="H37" s="34">
        <f t="shared" si="2"/>
        <v>962.54652741933319</v>
      </c>
      <c r="I37" s="34">
        <f t="shared" si="8"/>
        <v>17486.434154492796</v>
      </c>
    </row>
    <row r="38" spans="1:10" x14ac:dyDescent="0.25">
      <c r="A38" s="39">
        <v>41579</v>
      </c>
      <c r="B38" s="34">
        <f t="shared" si="3"/>
        <v>770966.60633762693</v>
      </c>
      <c r="C38" s="3"/>
      <c r="D38" s="34">
        <f t="shared" si="0"/>
        <v>770966.60633762693</v>
      </c>
      <c r="E38" s="28">
        <f t="shared" si="9"/>
        <v>1.47E-2</v>
      </c>
      <c r="F38" s="76">
        <f>'[1]Carrying Interest'!$F29</f>
        <v>30</v>
      </c>
      <c r="G38" s="79">
        <f t="shared" si="7"/>
        <v>1.2082191780821917E-3</v>
      </c>
      <c r="H38" s="34">
        <f t="shared" si="2"/>
        <v>931.49663943806434</v>
      </c>
      <c r="I38" s="34">
        <f t="shared" si="8"/>
        <v>18417.93079393086</v>
      </c>
    </row>
    <row r="39" spans="1:10" x14ac:dyDescent="0.25">
      <c r="A39" s="39">
        <v>41609</v>
      </c>
      <c r="B39" s="34">
        <f t="shared" si="3"/>
        <v>770966.60633762693</v>
      </c>
      <c r="C39" s="3"/>
      <c r="D39" s="34">
        <f t="shared" si="0"/>
        <v>770966.60633762693</v>
      </c>
      <c r="E39" s="28">
        <f t="shared" si="9"/>
        <v>1.47E-2</v>
      </c>
      <c r="F39" s="76">
        <f>'[1]Carrying Interest'!$F30</f>
        <v>31</v>
      </c>
      <c r="G39" s="79">
        <f t="shared" si="7"/>
        <v>1.2484931506849316E-3</v>
      </c>
      <c r="H39" s="34">
        <f t="shared" si="2"/>
        <v>962.54652741933319</v>
      </c>
      <c r="I39" s="66">
        <f t="shared" si="8"/>
        <v>19380.477321350194</v>
      </c>
      <c r="J39" s="34"/>
    </row>
    <row r="40" spans="1:10" x14ac:dyDescent="0.25">
      <c r="A40" s="39">
        <v>41640</v>
      </c>
      <c r="B40" s="34">
        <f t="shared" ref="B40:B51" si="10">D39</f>
        <v>770966.60633762693</v>
      </c>
      <c r="C40" s="3"/>
      <c r="D40" s="34">
        <f t="shared" ref="D40:D51" si="11">SUM(B40:C40)</f>
        <v>770966.60633762693</v>
      </c>
      <c r="E40" s="28">
        <f t="shared" ref="E40:E51" si="12">E39</f>
        <v>1.47E-2</v>
      </c>
      <c r="F40" s="76">
        <v>31</v>
      </c>
      <c r="G40" s="79">
        <f t="shared" si="7"/>
        <v>1.2484931506849316E-3</v>
      </c>
      <c r="H40" s="34">
        <f t="shared" si="2"/>
        <v>962.54652741933319</v>
      </c>
      <c r="I40" s="34">
        <f t="shared" ref="I40:I51" si="13">I39+H40</f>
        <v>20343.023848769528</v>
      </c>
    </row>
    <row r="41" spans="1:10" x14ac:dyDescent="0.25">
      <c r="A41" s="39">
        <v>41671</v>
      </c>
      <c r="B41" s="34">
        <f t="shared" si="10"/>
        <v>770966.60633762693</v>
      </c>
      <c r="C41" s="3"/>
      <c r="D41" s="34">
        <f t="shared" si="11"/>
        <v>770966.60633762693</v>
      </c>
      <c r="E41" s="28">
        <f t="shared" si="12"/>
        <v>1.47E-2</v>
      </c>
      <c r="F41" s="76">
        <v>28</v>
      </c>
      <c r="G41" s="79">
        <f t="shared" si="7"/>
        <v>1.1276712328767123E-3</v>
      </c>
      <c r="H41" s="34">
        <f t="shared" si="2"/>
        <v>869.39686347552663</v>
      </c>
      <c r="I41" s="34">
        <f t="shared" si="13"/>
        <v>21212.420712245053</v>
      </c>
    </row>
    <row r="42" spans="1:10" x14ac:dyDescent="0.25">
      <c r="A42" s="39">
        <v>41699</v>
      </c>
      <c r="B42" s="34">
        <f t="shared" si="10"/>
        <v>770966.60633762693</v>
      </c>
      <c r="C42" s="3"/>
      <c r="D42" s="34">
        <f t="shared" si="11"/>
        <v>770966.60633762693</v>
      </c>
      <c r="E42" s="28">
        <f t="shared" si="12"/>
        <v>1.47E-2</v>
      </c>
      <c r="F42" s="76">
        <v>31</v>
      </c>
      <c r="G42" s="79">
        <f t="shared" si="7"/>
        <v>1.2484931506849316E-3</v>
      </c>
      <c r="H42" s="34">
        <f t="shared" si="2"/>
        <v>962.54652741933319</v>
      </c>
      <c r="I42" s="34">
        <f t="shared" si="13"/>
        <v>22174.967239664387</v>
      </c>
    </row>
    <row r="43" spans="1:10" x14ac:dyDescent="0.25">
      <c r="A43" s="39">
        <v>41730</v>
      </c>
      <c r="B43" s="34">
        <f t="shared" si="10"/>
        <v>770966.60633762693</v>
      </c>
      <c r="C43" s="3"/>
      <c r="D43" s="34">
        <f t="shared" si="11"/>
        <v>770966.60633762693</v>
      </c>
      <c r="E43" s="28">
        <f t="shared" si="12"/>
        <v>1.47E-2</v>
      </c>
      <c r="F43" s="76">
        <v>30</v>
      </c>
      <c r="G43" s="79">
        <f t="shared" si="7"/>
        <v>1.2082191780821917E-3</v>
      </c>
      <c r="H43" s="34">
        <f t="shared" si="2"/>
        <v>931.49663943806434</v>
      </c>
      <c r="I43" s="34">
        <f t="shared" si="13"/>
        <v>23106.463879102452</v>
      </c>
    </row>
    <row r="44" spans="1:10" x14ac:dyDescent="0.25">
      <c r="A44" s="39">
        <v>41760</v>
      </c>
      <c r="B44" s="34">
        <f t="shared" si="10"/>
        <v>770966.60633762693</v>
      </c>
      <c r="C44" s="3"/>
      <c r="D44" s="34">
        <f t="shared" si="11"/>
        <v>770966.60633762693</v>
      </c>
      <c r="E44" s="28">
        <f t="shared" si="12"/>
        <v>1.47E-2</v>
      </c>
      <c r="F44" s="76">
        <v>31</v>
      </c>
      <c r="G44" s="79">
        <f t="shared" si="7"/>
        <v>1.2484931506849316E-3</v>
      </c>
      <c r="H44" s="34">
        <f t="shared" si="2"/>
        <v>962.54652741933319</v>
      </c>
      <c r="I44" s="34">
        <f t="shared" si="13"/>
        <v>24069.010406521786</v>
      </c>
    </row>
    <row r="45" spans="1:10" x14ac:dyDescent="0.25">
      <c r="A45" s="39">
        <v>41791</v>
      </c>
      <c r="B45" s="34">
        <f t="shared" si="10"/>
        <v>770966.60633762693</v>
      </c>
      <c r="C45" s="3"/>
      <c r="D45" s="34">
        <f t="shared" si="11"/>
        <v>770966.60633762693</v>
      </c>
      <c r="E45" s="28">
        <f t="shared" si="12"/>
        <v>1.47E-2</v>
      </c>
      <c r="F45" s="76">
        <v>30</v>
      </c>
      <c r="G45" s="79">
        <f t="shared" si="7"/>
        <v>1.2082191780821917E-3</v>
      </c>
      <c r="H45" s="34">
        <f t="shared" si="2"/>
        <v>931.49663943806434</v>
      </c>
      <c r="I45" s="34">
        <f t="shared" si="13"/>
        <v>25000.50704595985</v>
      </c>
    </row>
    <row r="46" spans="1:10" x14ac:dyDescent="0.25">
      <c r="A46" s="39">
        <v>41821</v>
      </c>
      <c r="B46" s="34">
        <f t="shared" si="10"/>
        <v>770966.60633762693</v>
      </c>
      <c r="C46" s="3"/>
      <c r="D46" s="34">
        <f t="shared" si="11"/>
        <v>770966.60633762693</v>
      </c>
      <c r="E46" s="28">
        <f t="shared" si="12"/>
        <v>1.47E-2</v>
      </c>
      <c r="F46" s="76">
        <v>31</v>
      </c>
      <c r="G46" s="79">
        <f t="shared" si="7"/>
        <v>1.2484931506849316E-3</v>
      </c>
      <c r="H46" s="34">
        <f t="shared" si="2"/>
        <v>962.54652741933319</v>
      </c>
      <c r="I46" s="34">
        <f t="shared" si="13"/>
        <v>25963.053573379184</v>
      </c>
    </row>
    <row r="47" spans="1:10" x14ac:dyDescent="0.25">
      <c r="A47" s="39">
        <v>41852</v>
      </c>
      <c r="B47" s="34">
        <f t="shared" si="10"/>
        <v>770966.60633762693</v>
      </c>
      <c r="C47" s="3"/>
      <c r="D47" s="34">
        <f t="shared" si="11"/>
        <v>770966.60633762693</v>
      </c>
      <c r="E47" s="28">
        <f t="shared" si="12"/>
        <v>1.47E-2</v>
      </c>
      <c r="F47" s="76">
        <v>31</v>
      </c>
      <c r="G47" s="79">
        <f t="shared" si="7"/>
        <v>1.2484931506849316E-3</v>
      </c>
      <c r="H47" s="34">
        <f t="shared" si="2"/>
        <v>962.54652741933319</v>
      </c>
      <c r="I47" s="34">
        <f t="shared" si="13"/>
        <v>26925.600100798518</v>
      </c>
    </row>
    <row r="48" spans="1:10" x14ac:dyDescent="0.25">
      <c r="A48" s="39">
        <v>41883</v>
      </c>
      <c r="B48" s="34">
        <f t="shared" si="10"/>
        <v>770966.60633762693</v>
      </c>
      <c r="C48" s="3"/>
      <c r="D48" s="34">
        <f t="shared" si="11"/>
        <v>770966.60633762693</v>
      </c>
      <c r="E48" s="28">
        <f t="shared" si="12"/>
        <v>1.47E-2</v>
      </c>
      <c r="F48" s="76">
        <v>30</v>
      </c>
      <c r="G48" s="79">
        <f t="shared" si="7"/>
        <v>1.2082191780821917E-3</v>
      </c>
      <c r="H48" s="34">
        <f t="shared" si="2"/>
        <v>931.49663943806434</v>
      </c>
      <c r="I48" s="34">
        <f t="shared" si="13"/>
        <v>27857.096740236582</v>
      </c>
    </row>
    <row r="49" spans="1:10" x14ac:dyDescent="0.25">
      <c r="A49" s="39">
        <v>41913</v>
      </c>
      <c r="B49" s="34">
        <f t="shared" si="10"/>
        <v>770966.60633762693</v>
      </c>
      <c r="C49" s="3"/>
      <c r="D49" s="34">
        <f t="shared" si="11"/>
        <v>770966.60633762693</v>
      </c>
      <c r="E49" s="28">
        <f t="shared" si="12"/>
        <v>1.47E-2</v>
      </c>
      <c r="F49" s="76">
        <v>31</v>
      </c>
      <c r="G49" s="79">
        <f t="shared" si="7"/>
        <v>1.2484931506849316E-3</v>
      </c>
      <c r="H49" s="34">
        <f t="shared" si="2"/>
        <v>962.54652741933319</v>
      </c>
      <c r="I49" s="34">
        <f t="shared" si="13"/>
        <v>28819.643267655916</v>
      </c>
    </row>
    <row r="50" spans="1:10" x14ac:dyDescent="0.25">
      <c r="A50" s="39">
        <v>41944</v>
      </c>
      <c r="B50" s="34">
        <f t="shared" si="10"/>
        <v>770966.60633762693</v>
      </c>
      <c r="C50" s="3"/>
      <c r="D50" s="34">
        <f t="shared" si="11"/>
        <v>770966.60633762693</v>
      </c>
      <c r="E50" s="28">
        <f t="shared" si="12"/>
        <v>1.47E-2</v>
      </c>
      <c r="F50" s="76">
        <v>30</v>
      </c>
      <c r="G50" s="79">
        <f t="shared" si="7"/>
        <v>1.2082191780821917E-3</v>
      </c>
      <c r="H50" s="34">
        <f t="shared" si="2"/>
        <v>931.49663943806434</v>
      </c>
      <c r="I50" s="34">
        <f t="shared" si="13"/>
        <v>29751.139907093981</v>
      </c>
    </row>
    <row r="51" spans="1:10" x14ac:dyDescent="0.25">
      <c r="A51" s="39">
        <v>41974</v>
      </c>
      <c r="B51" s="34">
        <f t="shared" si="10"/>
        <v>770966.60633762693</v>
      </c>
      <c r="C51" s="3"/>
      <c r="D51" s="34">
        <f t="shared" si="11"/>
        <v>770966.60633762693</v>
      </c>
      <c r="E51" s="28">
        <f t="shared" si="12"/>
        <v>1.47E-2</v>
      </c>
      <c r="F51" s="76">
        <v>31</v>
      </c>
      <c r="G51" s="79">
        <f t="shared" si="7"/>
        <v>1.2484931506849316E-3</v>
      </c>
      <c r="H51" s="34">
        <f t="shared" si="2"/>
        <v>962.54652741933319</v>
      </c>
      <c r="I51" s="66">
        <f t="shared" si="13"/>
        <v>30713.686434513314</v>
      </c>
      <c r="J51" s="34"/>
    </row>
    <row r="53" spans="1:10" x14ac:dyDescent="0.25">
      <c r="C53" s="37">
        <f>SUM(C4:C52)</f>
        <v>770966.60633762693</v>
      </c>
      <c r="D53" s="37">
        <f>D27</f>
        <v>770966.60633762693</v>
      </c>
      <c r="E53" s="38"/>
      <c r="F53" s="78"/>
      <c r="G53" s="81"/>
      <c r="H53" s="37">
        <f>SUM(H4:H52)</f>
        <v>30713.686434513314</v>
      </c>
      <c r="I53" s="37">
        <f>I51</f>
        <v>30713.686434513314</v>
      </c>
    </row>
    <row r="55" spans="1:10" ht="15.75" thickBot="1" x14ac:dyDescent="0.3">
      <c r="I55" s="90">
        <f>D53+I53</f>
        <v>801680.29277214024</v>
      </c>
    </row>
    <row r="56" spans="1:10" ht="15.75" thickTop="1" x14ac:dyDescent="0.25"/>
  </sheetData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Tables for Report</vt:lpstr>
      <vt:lpstr>Carrying Interest</vt:lpstr>
    </vt:vector>
  </TitlesOfParts>
  <Company>PowerStream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Vitalika Quenville</dc:creator>
  <cp:lastModifiedBy>Tom Barrett</cp:lastModifiedBy>
  <dcterms:created xsi:type="dcterms:W3CDTF">2014-07-02T18:22:38Z</dcterms:created>
  <dcterms:modified xsi:type="dcterms:W3CDTF">2014-08-27T13:19:15Z</dcterms:modified>
</cp:coreProperties>
</file>