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8620" windowHeight="12150" activeTab="5"/>
  </bookViews>
  <sheets>
    <sheet name="Residential" sheetId="1" r:id="rId1"/>
    <sheet name="G.S. &lt; 50 kW" sheetId="2" r:id="rId2"/>
    <sheet name="G.S. &gt; 50 kW" sheetId="5" r:id="rId3"/>
    <sheet name="Large Use" sheetId="6" r:id="rId4"/>
    <sheet name="Sentinel  lghts" sheetId="4" r:id="rId5"/>
    <sheet name="USL" sheetId="8" r:id="rId6"/>
    <sheet name="Streetlight" sheetId="3" r:id="rId7"/>
    <sheet name="Sheet7" sheetId="7" r:id="rId8"/>
  </sheets>
  <externalReferences>
    <externalReference r:id="rId9"/>
  </externalReferences>
  <definedNames>
    <definedName name="EBNUMBER">'[1]LDC Info'!$E$16</definedName>
  </definedNames>
  <calcPr calcId="125725"/>
</workbook>
</file>

<file path=xl/calcChain.xml><?xml version="1.0" encoding="utf-8"?>
<calcChain xmlns="http://schemas.openxmlformats.org/spreadsheetml/2006/main">
  <c r="H59" i="8"/>
  <c r="O59" s="1"/>
  <c r="G59"/>
  <c r="K59" s="1"/>
  <c r="L59" s="1"/>
  <c r="N59" s="1"/>
  <c r="L58"/>
  <c r="K58"/>
  <c r="G58"/>
  <c r="H58" s="1"/>
  <c r="H57"/>
  <c r="O57" s="1"/>
  <c r="G57"/>
  <c r="K57" s="1"/>
  <c r="L57" s="1"/>
  <c r="N57" s="1"/>
  <c r="L56"/>
  <c r="K56"/>
  <c r="G56"/>
  <c r="H56" s="1"/>
  <c r="H55"/>
  <c r="O55" s="1"/>
  <c r="G55"/>
  <c r="K55" s="1"/>
  <c r="L55" s="1"/>
  <c r="N55" s="1"/>
  <c r="L54"/>
  <c r="N54" s="1"/>
  <c r="K54"/>
  <c r="G54"/>
  <c r="H54" s="1"/>
  <c r="O53"/>
  <c r="N53"/>
  <c r="L53"/>
  <c r="H53"/>
  <c r="H49"/>
  <c r="G49"/>
  <c r="G51" s="1"/>
  <c r="H51" s="1"/>
  <c r="L48"/>
  <c r="N48" s="1"/>
  <c r="K48"/>
  <c r="K49" s="1"/>
  <c r="G48"/>
  <c r="H48" s="1"/>
  <c r="N46"/>
  <c r="L46"/>
  <c r="H46"/>
  <c r="L45"/>
  <c r="K45"/>
  <c r="J45"/>
  <c r="H45"/>
  <c r="G45"/>
  <c r="F45"/>
  <c r="L44"/>
  <c r="K44"/>
  <c r="G44"/>
  <c r="H44" s="1"/>
  <c r="K43"/>
  <c r="L43" s="1"/>
  <c r="N43" s="1"/>
  <c r="H43"/>
  <c r="O43" s="1"/>
  <c r="G43"/>
  <c r="L42"/>
  <c r="K42"/>
  <c r="G42"/>
  <c r="H42" s="1"/>
  <c r="K41"/>
  <c r="L41" s="1"/>
  <c r="N41" s="1"/>
  <c r="H41"/>
  <c r="O41" s="1"/>
  <c r="G41"/>
  <c r="L40"/>
  <c r="K40"/>
  <c r="G40"/>
  <c r="H40" s="1"/>
  <c r="K38"/>
  <c r="L38" s="1"/>
  <c r="N38" s="1"/>
  <c r="H38"/>
  <c r="O38" s="1"/>
  <c r="G38"/>
  <c r="L37"/>
  <c r="K37"/>
  <c r="G37"/>
  <c r="H37" s="1"/>
  <c r="K36"/>
  <c r="L36" s="1"/>
  <c r="N36" s="1"/>
  <c r="H36"/>
  <c r="O36" s="1"/>
  <c r="G36"/>
  <c r="L35"/>
  <c r="K35"/>
  <c r="G35"/>
  <c r="H35" s="1"/>
  <c r="K34"/>
  <c r="L34" s="1"/>
  <c r="N34" s="1"/>
  <c r="H34"/>
  <c r="O34" s="1"/>
  <c r="G34"/>
  <c r="L33"/>
  <c r="K33"/>
  <c r="G33"/>
  <c r="H33" s="1"/>
  <c r="K32"/>
  <c r="L32" s="1"/>
  <c r="N32" s="1"/>
  <c r="O32" s="1"/>
  <c r="H32"/>
  <c r="G32"/>
  <c r="L31"/>
  <c r="K31"/>
  <c r="G31"/>
  <c r="H31" s="1"/>
  <c r="K30"/>
  <c r="L30" s="1"/>
  <c r="N30" s="1"/>
  <c r="H30"/>
  <c r="O30" s="1"/>
  <c r="G30"/>
  <c r="L29"/>
  <c r="K29"/>
  <c r="G29"/>
  <c r="H29" s="1"/>
  <c r="L28"/>
  <c r="H28"/>
  <c r="O28" s="1"/>
  <c r="L27"/>
  <c r="H27"/>
  <c r="O27" s="1"/>
  <c r="L26"/>
  <c r="H26"/>
  <c r="O26" s="1"/>
  <c r="L25"/>
  <c r="H25"/>
  <c r="L24"/>
  <c r="H24"/>
  <c r="N24" s="1"/>
  <c r="L23"/>
  <c r="L39" s="1"/>
  <c r="H23"/>
  <c r="O1"/>
  <c r="L47" l="1"/>
  <c r="N39"/>
  <c r="O42"/>
  <c r="N42"/>
  <c r="K52"/>
  <c r="L52" s="1"/>
  <c r="N52" s="1"/>
  <c r="L49"/>
  <c r="N49" s="1"/>
  <c r="K51"/>
  <c r="L51" s="1"/>
  <c r="O25"/>
  <c r="O45"/>
  <c r="O54"/>
  <c r="N58"/>
  <c r="O58" s="1"/>
  <c r="N29"/>
  <c r="O29" s="1"/>
  <c r="O33"/>
  <c r="N33"/>
  <c r="O37"/>
  <c r="N37"/>
  <c r="O31"/>
  <c r="N31"/>
  <c r="O35"/>
  <c r="N35"/>
  <c r="O40"/>
  <c r="N40"/>
  <c r="O44"/>
  <c r="N44"/>
  <c r="O48"/>
  <c r="O49"/>
  <c r="N56"/>
  <c r="O56" s="1"/>
  <c r="H39"/>
  <c r="N45"/>
  <c r="O24"/>
  <c r="N23"/>
  <c r="O23" s="1"/>
  <c r="N25"/>
  <c r="N26"/>
  <c r="N27"/>
  <c r="N28"/>
  <c r="G52"/>
  <c r="H52" s="1"/>
  <c r="N51" l="1"/>
  <c r="O51" s="1"/>
  <c r="L61"/>
  <c r="L50"/>
  <c r="O52"/>
  <c r="H47"/>
  <c r="O39"/>
  <c r="H50" l="1"/>
  <c r="O47"/>
  <c r="L63"/>
  <c r="L62"/>
  <c r="N50"/>
  <c r="L67"/>
  <c r="N47"/>
  <c r="L69" l="1"/>
  <c r="L68"/>
  <c r="O50"/>
  <c r="H61"/>
  <c r="H67"/>
  <c r="N67" s="1"/>
  <c r="L64"/>
  <c r="L65" s="1"/>
  <c r="N68" l="1"/>
  <c r="H63"/>
  <c r="H62"/>
  <c r="N61"/>
  <c r="O61" s="1"/>
  <c r="L71"/>
  <c r="L70"/>
  <c r="H69"/>
  <c r="H68"/>
  <c r="O67"/>
  <c r="H70" l="1"/>
  <c r="H64"/>
  <c r="O63"/>
  <c r="N63"/>
  <c r="O68"/>
  <c r="N69"/>
  <c r="O69" s="1"/>
  <c r="O62"/>
  <c r="N62"/>
  <c r="N64" l="1"/>
  <c r="O64" s="1"/>
  <c r="O70"/>
  <c r="N70"/>
  <c r="H71"/>
  <c r="H65"/>
  <c r="O71" l="1"/>
  <c r="N71"/>
  <c r="N65"/>
  <c r="O65" s="1"/>
  <c r="O70" i="6" l="1"/>
  <c r="N70"/>
  <c r="O64"/>
  <c r="N64"/>
  <c r="G59"/>
  <c r="K59" s="1"/>
  <c r="L59" s="1"/>
  <c r="K58"/>
  <c r="L58" s="1"/>
  <c r="H58"/>
  <c r="H56"/>
  <c r="O56" s="1"/>
  <c r="G56"/>
  <c r="K56" s="1"/>
  <c r="L56" s="1"/>
  <c r="N56" s="1"/>
  <c r="H54"/>
  <c r="O54" s="1"/>
  <c r="G54"/>
  <c r="L53"/>
  <c r="N53" s="1"/>
  <c r="H53"/>
  <c r="L52"/>
  <c r="K52"/>
  <c r="K54" s="1"/>
  <c r="L54" s="1"/>
  <c r="N54" s="1"/>
  <c r="G52"/>
  <c r="H52" s="1"/>
  <c r="K51"/>
  <c r="L51" s="1"/>
  <c r="H51"/>
  <c r="K49"/>
  <c r="L49" s="1"/>
  <c r="N49" s="1"/>
  <c r="H49"/>
  <c r="O49" s="1"/>
  <c r="G49"/>
  <c r="N48"/>
  <c r="L48"/>
  <c r="K48"/>
  <c r="H48"/>
  <c r="O48" s="1"/>
  <c r="N46"/>
  <c r="L46"/>
  <c r="H46"/>
  <c r="L45"/>
  <c r="K45"/>
  <c r="J45"/>
  <c r="G45"/>
  <c r="L44"/>
  <c r="K44"/>
  <c r="G44"/>
  <c r="H44" s="1"/>
  <c r="K43"/>
  <c r="L43" s="1"/>
  <c r="N43" s="1"/>
  <c r="H43"/>
  <c r="O43" s="1"/>
  <c r="G43"/>
  <c r="L42"/>
  <c r="K42"/>
  <c r="G42"/>
  <c r="H42" s="1"/>
  <c r="K41"/>
  <c r="L41" s="1"/>
  <c r="N41" s="1"/>
  <c r="H41"/>
  <c r="O41" s="1"/>
  <c r="G41"/>
  <c r="L40"/>
  <c r="K40"/>
  <c r="G40"/>
  <c r="H40" s="1"/>
  <c r="K38"/>
  <c r="L38" s="1"/>
  <c r="N38" s="1"/>
  <c r="H38"/>
  <c r="O38" s="1"/>
  <c r="G38"/>
  <c r="L37"/>
  <c r="K37"/>
  <c r="G37"/>
  <c r="H37" s="1"/>
  <c r="K36"/>
  <c r="L36" s="1"/>
  <c r="N36" s="1"/>
  <c r="H36"/>
  <c r="O36" s="1"/>
  <c r="G36"/>
  <c r="L35"/>
  <c r="K35"/>
  <c r="G35"/>
  <c r="H35" s="1"/>
  <c r="K34"/>
  <c r="L34" s="1"/>
  <c r="N34" s="1"/>
  <c r="H34"/>
  <c r="O34" s="1"/>
  <c r="G34"/>
  <c r="L33"/>
  <c r="K33"/>
  <c r="G33"/>
  <c r="H33" s="1"/>
  <c r="K32"/>
  <c r="L32" s="1"/>
  <c r="N32" s="1"/>
  <c r="O32" s="1"/>
  <c r="H32"/>
  <c r="G32"/>
  <c r="L31"/>
  <c r="K31"/>
  <c r="G31"/>
  <c r="H31" s="1"/>
  <c r="K30"/>
  <c r="L30" s="1"/>
  <c r="N30" s="1"/>
  <c r="H30"/>
  <c r="O30" s="1"/>
  <c r="G30"/>
  <c r="L29"/>
  <c r="K29"/>
  <c r="G29"/>
  <c r="H29" s="1"/>
  <c r="L28"/>
  <c r="N28" s="1"/>
  <c r="H28"/>
  <c r="O28" s="1"/>
  <c r="L27"/>
  <c r="N27" s="1"/>
  <c r="H27"/>
  <c r="O27" s="1"/>
  <c r="L26"/>
  <c r="N26" s="1"/>
  <c r="H26"/>
  <c r="O26" s="1"/>
  <c r="L25"/>
  <c r="N25" s="1"/>
  <c r="H25"/>
  <c r="L24"/>
  <c r="N24" s="1"/>
  <c r="H24"/>
  <c r="O24" s="1"/>
  <c r="L23"/>
  <c r="L39" s="1"/>
  <c r="H23"/>
  <c r="N23" s="1"/>
  <c r="O1"/>
  <c r="L47" l="1"/>
  <c r="N29"/>
  <c r="O29" s="1"/>
  <c r="N33"/>
  <c r="O33" s="1"/>
  <c r="N37"/>
  <c r="O37"/>
  <c r="N42"/>
  <c r="O42"/>
  <c r="N51"/>
  <c r="N58"/>
  <c r="O31"/>
  <c r="N31"/>
  <c r="N35"/>
  <c r="O35"/>
  <c r="N40"/>
  <c r="O40"/>
  <c r="N44"/>
  <c r="O44" s="1"/>
  <c r="O25"/>
  <c r="O53"/>
  <c r="N52"/>
  <c r="O52" s="1"/>
  <c r="O58"/>
  <c r="O23"/>
  <c r="G55"/>
  <c r="G57"/>
  <c r="H59"/>
  <c r="H39"/>
  <c r="O51"/>
  <c r="F45"/>
  <c r="H45" s="1"/>
  <c r="O59" l="1"/>
  <c r="L50"/>
  <c r="H47"/>
  <c r="H55"/>
  <c r="K55"/>
  <c r="L55" s="1"/>
  <c r="N59"/>
  <c r="N39"/>
  <c r="O39" s="1"/>
  <c r="N45"/>
  <c r="O45" s="1"/>
  <c r="H57"/>
  <c r="K57"/>
  <c r="L57" s="1"/>
  <c r="N57" s="1"/>
  <c r="H50" l="1"/>
  <c r="O57"/>
  <c r="H61"/>
  <c r="N50"/>
  <c r="L67"/>
  <c r="N55"/>
  <c r="O55" s="1"/>
  <c r="L61"/>
  <c r="N47"/>
  <c r="O47" s="1"/>
  <c r="N61" l="1"/>
  <c r="L62"/>
  <c r="N62" s="1"/>
  <c r="H62"/>
  <c r="O61"/>
  <c r="O50"/>
  <c r="H67"/>
  <c r="N67" s="1"/>
  <c r="L69"/>
  <c r="L68"/>
  <c r="L71" l="1"/>
  <c r="O62"/>
  <c r="L63"/>
  <c r="H69"/>
  <c r="N69" s="1"/>
  <c r="H68"/>
  <c r="O67"/>
  <c r="H63"/>
  <c r="H65" l="1"/>
  <c r="O63"/>
  <c r="N63"/>
  <c r="L65"/>
  <c r="N65" s="1"/>
  <c r="O68"/>
  <c r="N68"/>
  <c r="H71"/>
  <c r="O69"/>
  <c r="N71" l="1"/>
  <c r="O71" s="1"/>
  <c r="O65"/>
  <c r="O70" i="5" l="1"/>
  <c r="N70"/>
  <c r="O64"/>
  <c r="N64"/>
  <c r="G59"/>
  <c r="K59" s="1"/>
  <c r="L59" s="1"/>
  <c r="K58"/>
  <c r="L58" s="1"/>
  <c r="H58"/>
  <c r="L57"/>
  <c r="K57"/>
  <c r="G57"/>
  <c r="H57" s="1"/>
  <c r="H56"/>
  <c r="O56" s="1"/>
  <c r="G56"/>
  <c r="K56" s="1"/>
  <c r="L56" s="1"/>
  <c r="N56" s="1"/>
  <c r="L55"/>
  <c r="N55" s="1"/>
  <c r="K55"/>
  <c r="G55"/>
  <c r="H55" s="1"/>
  <c r="L54"/>
  <c r="K54"/>
  <c r="H54"/>
  <c r="N54" s="1"/>
  <c r="L53"/>
  <c r="H53"/>
  <c r="N53" s="1"/>
  <c r="K52"/>
  <c r="L52" s="1"/>
  <c r="N52" s="1"/>
  <c r="H52"/>
  <c r="G52"/>
  <c r="N51"/>
  <c r="L51"/>
  <c r="K51"/>
  <c r="H51"/>
  <c r="K49"/>
  <c r="L49" s="1"/>
  <c r="N49" s="1"/>
  <c r="H49"/>
  <c r="O49" s="1"/>
  <c r="G49"/>
  <c r="L48"/>
  <c r="N48" s="1"/>
  <c r="H48"/>
  <c r="L46"/>
  <c r="N46" s="1"/>
  <c r="H46"/>
  <c r="K45"/>
  <c r="L45" s="1"/>
  <c r="J45"/>
  <c r="G45"/>
  <c r="H45" s="1"/>
  <c r="F45"/>
  <c r="K44"/>
  <c r="L44" s="1"/>
  <c r="N44" s="1"/>
  <c r="H44"/>
  <c r="G44"/>
  <c r="L43"/>
  <c r="K43"/>
  <c r="G43"/>
  <c r="H43" s="1"/>
  <c r="K42"/>
  <c r="L42" s="1"/>
  <c r="N42" s="1"/>
  <c r="H42"/>
  <c r="O42" s="1"/>
  <c r="G42"/>
  <c r="L41"/>
  <c r="K41"/>
  <c r="G41"/>
  <c r="H41" s="1"/>
  <c r="K40"/>
  <c r="L40" s="1"/>
  <c r="N40" s="1"/>
  <c r="H40"/>
  <c r="O40" s="1"/>
  <c r="G40"/>
  <c r="L38"/>
  <c r="K38"/>
  <c r="G38"/>
  <c r="H38" s="1"/>
  <c r="K37"/>
  <c r="L37" s="1"/>
  <c r="N37" s="1"/>
  <c r="H37"/>
  <c r="O37" s="1"/>
  <c r="G37"/>
  <c r="L36"/>
  <c r="K36"/>
  <c r="G36"/>
  <c r="H36" s="1"/>
  <c r="K35"/>
  <c r="L35" s="1"/>
  <c r="N35" s="1"/>
  <c r="H35"/>
  <c r="O35" s="1"/>
  <c r="G35"/>
  <c r="L34"/>
  <c r="K34"/>
  <c r="G34"/>
  <c r="H34" s="1"/>
  <c r="K33"/>
  <c r="L33" s="1"/>
  <c r="N33" s="1"/>
  <c r="H33"/>
  <c r="G33"/>
  <c r="L32"/>
  <c r="K32"/>
  <c r="G32"/>
  <c r="H32" s="1"/>
  <c r="K31"/>
  <c r="L31" s="1"/>
  <c r="N31" s="1"/>
  <c r="H31"/>
  <c r="O31" s="1"/>
  <c r="G31"/>
  <c r="L30"/>
  <c r="K30"/>
  <c r="G30"/>
  <c r="H30" s="1"/>
  <c r="K29"/>
  <c r="L29" s="1"/>
  <c r="N29" s="1"/>
  <c r="H29"/>
  <c r="G29"/>
  <c r="N28"/>
  <c r="L28"/>
  <c r="H28"/>
  <c r="O28" s="1"/>
  <c r="N27"/>
  <c r="L27"/>
  <c r="H27"/>
  <c r="O27" s="1"/>
  <c r="N26"/>
  <c r="L26"/>
  <c r="H26"/>
  <c r="O26" s="1"/>
  <c r="N25"/>
  <c r="L25"/>
  <c r="H25"/>
  <c r="O25" s="1"/>
  <c r="N24"/>
  <c r="L24"/>
  <c r="H24"/>
  <c r="O24" s="1"/>
  <c r="N23"/>
  <c r="L23"/>
  <c r="H23"/>
  <c r="H39" s="1"/>
  <c r="O1"/>
  <c r="N41" l="1"/>
  <c r="O41"/>
  <c r="N58"/>
  <c r="N59"/>
  <c r="O29"/>
  <c r="O33"/>
  <c r="O52"/>
  <c r="O57"/>
  <c r="N45"/>
  <c r="O45" s="1"/>
  <c r="O55"/>
  <c r="O58"/>
  <c r="H47"/>
  <c r="N32"/>
  <c r="O32"/>
  <c r="N36"/>
  <c r="O36"/>
  <c r="N30"/>
  <c r="O30"/>
  <c r="N34"/>
  <c r="O34"/>
  <c r="N38"/>
  <c r="O38"/>
  <c r="N43"/>
  <c r="O43"/>
  <c r="L39"/>
  <c r="O44"/>
  <c r="O48"/>
  <c r="N57"/>
  <c r="O23"/>
  <c r="O51"/>
  <c r="H59"/>
  <c r="O54"/>
  <c r="O53"/>
  <c r="L47" l="1"/>
  <c r="N39"/>
  <c r="O39" s="1"/>
  <c r="O59"/>
  <c r="H50"/>
  <c r="L50" l="1"/>
  <c r="N47"/>
  <c r="O47" s="1"/>
  <c r="H61"/>
  <c r="H67"/>
  <c r="H69" l="1"/>
  <c r="H68"/>
  <c r="N50"/>
  <c r="O50" s="1"/>
  <c r="L67"/>
  <c r="L61"/>
  <c r="H63"/>
  <c r="H62"/>
  <c r="N67" l="1"/>
  <c r="O67" s="1"/>
  <c r="L69"/>
  <c r="L68"/>
  <c r="N68" s="1"/>
  <c r="O68" s="1"/>
  <c r="L63"/>
  <c r="L62"/>
  <c r="N62" s="1"/>
  <c r="O62" s="1"/>
  <c r="N61"/>
  <c r="O61" s="1"/>
  <c r="H71"/>
  <c r="H65"/>
  <c r="O65" l="1"/>
  <c r="N63"/>
  <c r="O63" s="1"/>
  <c r="L65"/>
  <c r="N65" s="1"/>
  <c r="N69"/>
  <c r="O69" s="1"/>
  <c r="L71"/>
  <c r="N71" s="1"/>
  <c r="O71" s="1"/>
  <c r="H59" i="2" l="1"/>
  <c r="O59" s="1"/>
  <c r="G59"/>
  <c r="K59" s="1"/>
  <c r="L59" s="1"/>
  <c r="N59" s="1"/>
  <c r="L58"/>
  <c r="K58"/>
  <c r="G58"/>
  <c r="H58" s="1"/>
  <c r="H57"/>
  <c r="O57" s="1"/>
  <c r="G57"/>
  <c r="K57" s="1"/>
  <c r="L57" s="1"/>
  <c r="N57" s="1"/>
  <c r="L56"/>
  <c r="K56"/>
  <c r="G56"/>
  <c r="H56" s="1"/>
  <c r="H55"/>
  <c r="O55" s="1"/>
  <c r="G55"/>
  <c r="K55" s="1"/>
  <c r="L55" s="1"/>
  <c r="N55" s="1"/>
  <c r="L54"/>
  <c r="N54" s="1"/>
  <c r="K54"/>
  <c r="G54"/>
  <c r="H54" s="1"/>
  <c r="O53"/>
  <c r="N53"/>
  <c r="L53"/>
  <c r="H53"/>
  <c r="H49"/>
  <c r="G49"/>
  <c r="G51" s="1"/>
  <c r="H51" s="1"/>
  <c r="L48"/>
  <c r="N48" s="1"/>
  <c r="K48"/>
  <c r="K49" s="1"/>
  <c r="G48"/>
  <c r="H48" s="1"/>
  <c r="N46"/>
  <c r="L46"/>
  <c r="H46"/>
  <c r="L45"/>
  <c r="K45"/>
  <c r="J45"/>
  <c r="H45"/>
  <c r="G45"/>
  <c r="F45"/>
  <c r="L44"/>
  <c r="K44"/>
  <c r="G44"/>
  <c r="H44" s="1"/>
  <c r="K43"/>
  <c r="L43" s="1"/>
  <c r="N43" s="1"/>
  <c r="H43"/>
  <c r="O43" s="1"/>
  <c r="G43"/>
  <c r="L42"/>
  <c r="K42"/>
  <c r="G42"/>
  <c r="H42" s="1"/>
  <c r="K41"/>
  <c r="L41" s="1"/>
  <c r="N41" s="1"/>
  <c r="H41"/>
  <c r="O41" s="1"/>
  <c r="G41"/>
  <c r="L40"/>
  <c r="K40"/>
  <c r="G40"/>
  <c r="H40" s="1"/>
  <c r="K38"/>
  <c r="L38" s="1"/>
  <c r="N38" s="1"/>
  <c r="H38"/>
  <c r="O38" s="1"/>
  <c r="G38"/>
  <c r="L37"/>
  <c r="K37"/>
  <c r="G37"/>
  <c r="H37" s="1"/>
  <c r="K36"/>
  <c r="L36" s="1"/>
  <c r="N36" s="1"/>
  <c r="H36"/>
  <c r="O36" s="1"/>
  <c r="G36"/>
  <c r="L35"/>
  <c r="K35"/>
  <c r="G35"/>
  <c r="H35" s="1"/>
  <c r="K34"/>
  <c r="L34" s="1"/>
  <c r="N34" s="1"/>
  <c r="H34"/>
  <c r="O34" s="1"/>
  <c r="G34"/>
  <c r="L33"/>
  <c r="K33"/>
  <c r="G33"/>
  <c r="H33" s="1"/>
  <c r="K32"/>
  <c r="L32" s="1"/>
  <c r="N32" s="1"/>
  <c r="H32"/>
  <c r="O32" s="1"/>
  <c r="G32"/>
  <c r="L31"/>
  <c r="K31"/>
  <c r="G31"/>
  <c r="H31" s="1"/>
  <c r="K30"/>
  <c r="L30" s="1"/>
  <c r="N30" s="1"/>
  <c r="H30"/>
  <c r="O30" s="1"/>
  <c r="G30"/>
  <c r="L29"/>
  <c r="K29"/>
  <c r="G29"/>
  <c r="H29" s="1"/>
  <c r="L28"/>
  <c r="N28" s="1"/>
  <c r="H28"/>
  <c r="O28" s="1"/>
  <c r="L27"/>
  <c r="N27" s="1"/>
  <c r="H27"/>
  <c r="O27" s="1"/>
  <c r="L26"/>
  <c r="N26" s="1"/>
  <c r="H26"/>
  <c r="O26" s="1"/>
  <c r="L25"/>
  <c r="N25" s="1"/>
  <c r="H25"/>
  <c r="L24"/>
  <c r="H24"/>
  <c r="N24" s="1"/>
  <c r="L23"/>
  <c r="L39" s="1"/>
  <c r="H23"/>
  <c r="O1"/>
  <c r="N33" l="1"/>
  <c r="O33" s="1"/>
  <c r="O37"/>
  <c r="N37"/>
  <c r="K52"/>
  <c r="L52" s="1"/>
  <c r="L49"/>
  <c r="N49" s="1"/>
  <c r="O49" s="1"/>
  <c r="K51"/>
  <c r="L51" s="1"/>
  <c r="O54"/>
  <c r="N58"/>
  <c r="L47"/>
  <c r="O58"/>
  <c r="O29"/>
  <c r="N29"/>
  <c r="O42"/>
  <c r="N42"/>
  <c r="O31"/>
  <c r="N31"/>
  <c r="O35"/>
  <c r="N35"/>
  <c r="O40"/>
  <c r="N40"/>
  <c r="O44"/>
  <c r="N44"/>
  <c r="O25"/>
  <c r="O48"/>
  <c r="N56"/>
  <c r="O56" s="1"/>
  <c r="O24"/>
  <c r="N23"/>
  <c r="O23" s="1"/>
  <c r="H39"/>
  <c r="N45"/>
  <c r="O45" s="1"/>
  <c r="G52"/>
  <c r="H52" s="1"/>
  <c r="N51" l="1"/>
  <c r="O51" s="1"/>
  <c r="H47"/>
  <c r="L50"/>
  <c r="L61" s="1"/>
  <c r="N47"/>
  <c r="N39"/>
  <c r="O39" s="1"/>
  <c r="N52"/>
  <c r="O52" s="1"/>
  <c r="L63" l="1"/>
  <c r="L62"/>
  <c r="H50"/>
  <c r="O47"/>
  <c r="N50"/>
  <c r="L67"/>
  <c r="L69" l="1"/>
  <c r="L68"/>
  <c r="L64"/>
  <c r="O50"/>
  <c r="H67"/>
  <c r="H61"/>
  <c r="N68" l="1"/>
  <c r="H69"/>
  <c r="H68"/>
  <c r="H63"/>
  <c r="H62"/>
  <c r="O61"/>
  <c r="N61"/>
  <c r="N69"/>
  <c r="L71"/>
  <c r="L70"/>
  <c r="N67"/>
  <c r="O67" s="1"/>
  <c r="L65"/>
  <c r="H64" l="1"/>
  <c r="H65" s="1"/>
  <c r="O63"/>
  <c r="N63"/>
  <c r="H70"/>
  <c r="O69"/>
  <c r="N62"/>
  <c r="O62" s="1"/>
  <c r="O68"/>
  <c r="O65" l="1"/>
  <c r="N65"/>
  <c r="H71"/>
  <c r="O64"/>
  <c r="N64"/>
  <c r="N70"/>
  <c r="O70" s="1"/>
  <c r="O71" l="1"/>
  <c r="N71"/>
  <c r="G59" i="1" l="1"/>
  <c r="K59" s="1"/>
  <c r="L59" s="1"/>
  <c r="K58"/>
  <c r="L58" s="1"/>
  <c r="H58"/>
  <c r="G58"/>
  <c r="G57"/>
  <c r="K57" s="1"/>
  <c r="L57" s="1"/>
  <c r="K56"/>
  <c r="L56" s="1"/>
  <c r="N56" s="1"/>
  <c r="H56"/>
  <c r="G56"/>
  <c r="G55"/>
  <c r="K55" s="1"/>
  <c r="L55" s="1"/>
  <c r="K54"/>
  <c r="L54" s="1"/>
  <c r="N54" s="1"/>
  <c r="H54"/>
  <c r="O54" s="1"/>
  <c r="G54"/>
  <c r="N53"/>
  <c r="L53"/>
  <c r="H53"/>
  <c r="O53" s="1"/>
  <c r="G49"/>
  <c r="G51" s="1"/>
  <c r="H51" s="1"/>
  <c r="K48"/>
  <c r="K49" s="1"/>
  <c r="H48"/>
  <c r="G48"/>
  <c r="L46"/>
  <c r="N46" s="1"/>
  <c r="H46"/>
  <c r="L45"/>
  <c r="N45" s="1"/>
  <c r="K45"/>
  <c r="J45"/>
  <c r="G45"/>
  <c r="H45" s="1"/>
  <c r="F45"/>
  <c r="L44"/>
  <c r="N44" s="1"/>
  <c r="K44"/>
  <c r="H44"/>
  <c r="G44"/>
  <c r="L43"/>
  <c r="K43"/>
  <c r="H43"/>
  <c r="O43" s="1"/>
  <c r="G43"/>
  <c r="L42"/>
  <c r="N42" s="1"/>
  <c r="K42"/>
  <c r="H42"/>
  <c r="O42" s="1"/>
  <c r="G42"/>
  <c r="L41"/>
  <c r="K41"/>
  <c r="H41"/>
  <c r="N41" s="1"/>
  <c r="G41"/>
  <c r="L40"/>
  <c r="N40" s="1"/>
  <c r="K40"/>
  <c r="H40"/>
  <c r="O40" s="1"/>
  <c r="G40"/>
  <c r="L38"/>
  <c r="K38"/>
  <c r="H38"/>
  <c r="N38" s="1"/>
  <c r="G38"/>
  <c r="L37"/>
  <c r="N37" s="1"/>
  <c r="K37"/>
  <c r="H37"/>
  <c r="O37" s="1"/>
  <c r="G37"/>
  <c r="L36"/>
  <c r="K36"/>
  <c r="H36"/>
  <c r="O36" s="1"/>
  <c r="G36"/>
  <c r="L35"/>
  <c r="N35" s="1"/>
  <c r="K35"/>
  <c r="H35"/>
  <c r="O35" s="1"/>
  <c r="G35"/>
  <c r="L34"/>
  <c r="K34"/>
  <c r="H34"/>
  <c r="N34" s="1"/>
  <c r="G34"/>
  <c r="L33"/>
  <c r="N33" s="1"/>
  <c r="K33"/>
  <c r="H33"/>
  <c r="G33"/>
  <c r="L32"/>
  <c r="K32"/>
  <c r="H32"/>
  <c r="G32"/>
  <c r="L31"/>
  <c r="N31" s="1"/>
  <c r="K31"/>
  <c r="H31"/>
  <c r="O31" s="1"/>
  <c r="G31"/>
  <c r="L30"/>
  <c r="K30"/>
  <c r="H30"/>
  <c r="O30" s="1"/>
  <c r="G30"/>
  <c r="L29"/>
  <c r="N29" s="1"/>
  <c r="K29"/>
  <c r="H29"/>
  <c r="G29"/>
  <c r="O28"/>
  <c r="N28"/>
  <c r="L28"/>
  <c r="H28"/>
  <c r="O27"/>
  <c r="N27"/>
  <c r="L27"/>
  <c r="H27"/>
  <c r="O26"/>
  <c r="N26"/>
  <c r="L26"/>
  <c r="H26"/>
  <c r="O25"/>
  <c r="N25"/>
  <c r="L25"/>
  <c r="H25"/>
  <c r="O24"/>
  <c r="N24"/>
  <c r="L24"/>
  <c r="H24"/>
  <c r="O23"/>
  <c r="N23"/>
  <c r="L23"/>
  <c r="L39" s="1"/>
  <c r="H23"/>
  <c r="H39" s="1"/>
  <c r="O1"/>
  <c r="H47" l="1"/>
  <c r="N58"/>
  <c r="L47"/>
  <c r="N39"/>
  <c r="O39" s="1"/>
  <c r="K52"/>
  <c r="L52" s="1"/>
  <c r="L49"/>
  <c r="K51"/>
  <c r="L51" s="1"/>
  <c r="O29"/>
  <c r="O33"/>
  <c r="O44"/>
  <c r="O45"/>
  <c r="N59"/>
  <c r="O56"/>
  <c r="O34"/>
  <c r="O38"/>
  <c r="O41"/>
  <c r="N30"/>
  <c r="N32"/>
  <c r="O32" s="1"/>
  <c r="N36"/>
  <c r="N43"/>
  <c r="L48"/>
  <c r="N48" s="1"/>
  <c r="O48" s="1"/>
  <c r="H49"/>
  <c r="H55"/>
  <c r="N55" s="1"/>
  <c r="H57"/>
  <c r="H59"/>
  <c r="G52"/>
  <c r="H52" s="1"/>
  <c r="O58"/>
  <c r="N47" l="1"/>
  <c r="O47" s="1"/>
  <c r="L50"/>
  <c r="O59"/>
  <c r="O52"/>
  <c r="O49"/>
  <c r="N52"/>
  <c r="N51"/>
  <c r="O51" s="1"/>
  <c r="L61"/>
  <c r="H50"/>
  <c r="H61"/>
  <c r="O55"/>
  <c r="N57"/>
  <c r="O57" s="1"/>
  <c r="N49"/>
  <c r="H63" l="1"/>
  <c r="H62"/>
  <c r="L62"/>
  <c r="N62" s="1"/>
  <c r="N61"/>
  <c r="O61" s="1"/>
  <c r="N50"/>
  <c r="L67"/>
  <c r="O50"/>
  <c r="H67"/>
  <c r="H65" l="1"/>
  <c r="H64"/>
  <c r="H68"/>
  <c r="L68"/>
  <c r="L69" s="1"/>
  <c r="N67"/>
  <c r="O67" s="1"/>
  <c r="O62"/>
  <c r="L63"/>
  <c r="L70" l="1"/>
  <c r="L71" s="1"/>
  <c r="L64"/>
  <c r="N64" s="1"/>
  <c r="O64" s="1"/>
  <c r="N63"/>
  <c r="O63" s="1"/>
  <c r="L65"/>
  <c r="N65" s="1"/>
  <c r="O65"/>
  <c r="N68"/>
  <c r="O68" s="1"/>
  <c r="H69"/>
  <c r="N71" l="1"/>
  <c r="H71"/>
  <c r="O71" s="1"/>
  <c r="H70"/>
  <c r="N69"/>
  <c r="O69" s="1"/>
  <c r="N70"/>
  <c r="O70" l="1"/>
  <c r="O70" i="3" l="1"/>
  <c r="N70"/>
  <c r="O64"/>
  <c r="N64"/>
  <c r="G59"/>
  <c r="K59" s="1"/>
  <c r="L59" s="1"/>
  <c r="K58"/>
  <c r="L58" s="1"/>
  <c r="H58"/>
  <c r="L57"/>
  <c r="K57"/>
  <c r="G57"/>
  <c r="H57" s="1"/>
  <c r="H56"/>
  <c r="G56"/>
  <c r="K56" s="1"/>
  <c r="L56" s="1"/>
  <c r="N56" s="1"/>
  <c r="L55"/>
  <c r="N55" s="1"/>
  <c r="K55"/>
  <c r="G55"/>
  <c r="H55" s="1"/>
  <c r="K54"/>
  <c r="L54" s="1"/>
  <c r="N54" s="1"/>
  <c r="H54"/>
  <c r="O54" s="1"/>
  <c r="L53"/>
  <c r="N53" s="1"/>
  <c r="H53"/>
  <c r="K52"/>
  <c r="L52" s="1"/>
  <c r="L51"/>
  <c r="K51"/>
  <c r="G51"/>
  <c r="G52" s="1"/>
  <c r="H52" s="1"/>
  <c r="K49"/>
  <c r="L49" s="1"/>
  <c r="N49" s="1"/>
  <c r="H49"/>
  <c r="O49" s="1"/>
  <c r="G49"/>
  <c r="N48"/>
  <c r="L48"/>
  <c r="H48"/>
  <c r="O48" s="1"/>
  <c r="L46"/>
  <c r="N46" s="1"/>
  <c r="H46"/>
  <c r="L45"/>
  <c r="K45"/>
  <c r="J45"/>
  <c r="G45"/>
  <c r="L44"/>
  <c r="K44"/>
  <c r="G44"/>
  <c r="H44" s="1"/>
  <c r="K43"/>
  <c r="L43" s="1"/>
  <c r="N43" s="1"/>
  <c r="H43"/>
  <c r="O43" s="1"/>
  <c r="G43"/>
  <c r="L42"/>
  <c r="N42" s="1"/>
  <c r="K42"/>
  <c r="G42"/>
  <c r="H42" s="1"/>
  <c r="O42" s="1"/>
  <c r="O41"/>
  <c r="K41"/>
  <c r="L41" s="1"/>
  <c r="N41" s="1"/>
  <c r="H41"/>
  <c r="G41"/>
  <c r="L40"/>
  <c r="N40" s="1"/>
  <c r="K40"/>
  <c r="G40"/>
  <c r="H40" s="1"/>
  <c r="O40" s="1"/>
  <c r="K38"/>
  <c r="L38" s="1"/>
  <c r="N38" s="1"/>
  <c r="H38"/>
  <c r="O38" s="1"/>
  <c r="G38"/>
  <c r="L37"/>
  <c r="K37"/>
  <c r="G37"/>
  <c r="H37" s="1"/>
  <c r="O37" s="1"/>
  <c r="K36"/>
  <c r="L36" s="1"/>
  <c r="N36" s="1"/>
  <c r="H36"/>
  <c r="O36" s="1"/>
  <c r="G36"/>
  <c r="L35"/>
  <c r="N35" s="1"/>
  <c r="K35"/>
  <c r="H35"/>
  <c r="O35" s="1"/>
  <c r="G35"/>
  <c r="L34"/>
  <c r="K34"/>
  <c r="H34"/>
  <c r="N34" s="1"/>
  <c r="G34"/>
  <c r="L33"/>
  <c r="N33" s="1"/>
  <c r="K33"/>
  <c r="H33"/>
  <c r="G33"/>
  <c r="L32"/>
  <c r="K32"/>
  <c r="H32"/>
  <c r="N32" s="1"/>
  <c r="G32"/>
  <c r="L31"/>
  <c r="N31" s="1"/>
  <c r="K31"/>
  <c r="H31"/>
  <c r="O31" s="1"/>
  <c r="G31"/>
  <c r="L30"/>
  <c r="K30"/>
  <c r="H30"/>
  <c r="N30" s="1"/>
  <c r="G30"/>
  <c r="L29"/>
  <c r="N29" s="1"/>
  <c r="K29"/>
  <c r="H29"/>
  <c r="G29"/>
  <c r="O28"/>
  <c r="N28"/>
  <c r="L28"/>
  <c r="H28"/>
  <c r="O27"/>
  <c r="N27"/>
  <c r="L27"/>
  <c r="H27"/>
  <c r="O26"/>
  <c r="N26"/>
  <c r="L26"/>
  <c r="H26"/>
  <c r="O25"/>
  <c r="N25"/>
  <c r="L25"/>
  <c r="H25"/>
  <c r="O24"/>
  <c r="N24"/>
  <c r="L24"/>
  <c r="H24"/>
  <c r="O23"/>
  <c r="N23"/>
  <c r="L23"/>
  <c r="H23"/>
  <c r="O1"/>
  <c r="K59" i="4"/>
  <c r="L59" s="1"/>
  <c r="N59" s="1"/>
  <c r="H59"/>
  <c r="O59" s="1"/>
  <c r="G59"/>
  <c r="N58"/>
  <c r="L58"/>
  <c r="K58"/>
  <c r="H58"/>
  <c r="O58" s="1"/>
  <c r="H57"/>
  <c r="G57"/>
  <c r="K57" s="1"/>
  <c r="L57" s="1"/>
  <c r="N57" s="1"/>
  <c r="L56"/>
  <c r="N56" s="1"/>
  <c r="K56"/>
  <c r="H56"/>
  <c r="G56"/>
  <c r="H55"/>
  <c r="O55" s="1"/>
  <c r="G55"/>
  <c r="K55" s="1"/>
  <c r="L55" s="1"/>
  <c r="N55" s="1"/>
  <c r="L54"/>
  <c r="N54" s="1"/>
  <c r="K54"/>
  <c r="H54"/>
  <c r="O54" s="1"/>
  <c r="N53"/>
  <c r="L53"/>
  <c r="H53"/>
  <c r="O53" s="1"/>
  <c r="G52"/>
  <c r="H52" s="1"/>
  <c r="K51"/>
  <c r="L51" s="1"/>
  <c r="H51"/>
  <c r="G51"/>
  <c r="G49"/>
  <c r="H49" s="1"/>
  <c r="K48"/>
  <c r="L48" s="1"/>
  <c r="N48" s="1"/>
  <c r="H48"/>
  <c r="G48"/>
  <c r="L46"/>
  <c r="N46" s="1"/>
  <c r="H46"/>
  <c r="L45"/>
  <c r="K45"/>
  <c r="J45"/>
  <c r="G45"/>
  <c r="H45" s="1"/>
  <c r="F45"/>
  <c r="L44"/>
  <c r="N44" s="1"/>
  <c r="K44"/>
  <c r="H44"/>
  <c r="O44" s="1"/>
  <c r="G44"/>
  <c r="L43"/>
  <c r="K43"/>
  <c r="H43"/>
  <c r="N43" s="1"/>
  <c r="G43"/>
  <c r="L42"/>
  <c r="N42" s="1"/>
  <c r="K42"/>
  <c r="H42"/>
  <c r="O42" s="1"/>
  <c r="G42"/>
  <c r="L41"/>
  <c r="K41"/>
  <c r="H41"/>
  <c r="N41" s="1"/>
  <c r="G41"/>
  <c r="L40"/>
  <c r="N40" s="1"/>
  <c r="K40"/>
  <c r="H40"/>
  <c r="O40" s="1"/>
  <c r="G40"/>
  <c r="L38"/>
  <c r="K38"/>
  <c r="H38"/>
  <c r="N38" s="1"/>
  <c r="G38"/>
  <c r="L37"/>
  <c r="N37" s="1"/>
  <c r="K37"/>
  <c r="H37"/>
  <c r="O37" s="1"/>
  <c r="G37"/>
  <c r="L36"/>
  <c r="K36"/>
  <c r="H36"/>
  <c r="N36" s="1"/>
  <c r="G36"/>
  <c r="L35"/>
  <c r="N35" s="1"/>
  <c r="K35"/>
  <c r="H35"/>
  <c r="O35" s="1"/>
  <c r="G35"/>
  <c r="L34"/>
  <c r="K34"/>
  <c r="H34"/>
  <c r="N34" s="1"/>
  <c r="G34"/>
  <c r="L33"/>
  <c r="N33" s="1"/>
  <c r="K33"/>
  <c r="H33"/>
  <c r="O33" s="1"/>
  <c r="G33"/>
  <c r="L32"/>
  <c r="K32"/>
  <c r="H32"/>
  <c r="N32" s="1"/>
  <c r="G32"/>
  <c r="L31"/>
  <c r="N31" s="1"/>
  <c r="K31"/>
  <c r="H31"/>
  <c r="O31" s="1"/>
  <c r="G31"/>
  <c r="L30"/>
  <c r="K30"/>
  <c r="H30"/>
  <c r="N30" s="1"/>
  <c r="G30"/>
  <c r="L29"/>
  <c r="N29" s="1"/>
  <c r="K29"/>
  <c r="H29"/>
  <c r="O29" s="1"/>
  <c r="G29"/>
  <c r="O28"/>
  <c r="N28"/>
  <c r="L28"/>
  <c r="H28"/>
  <c r="O27"/>
  <c r="N27"/>
  <c r="L27"/>
  <c r="H27"/>
  <c r="O26"/>
  <c r="N26"/>
  <c r="L26"/>
  <c r="H26"/>
  <c r="O25"/>
  <c r="N25"/>
  <c r="L25"/>
  <c r="H25"/>
  <c r="O24"/>
  <c r="N24"/>
  <c r="L24"/>
  <c r="H24"/>
  <c r="O23"/>
  <c r="N23"/>
  <c r="L23"/>
  <c r="L39" s="1"/>
  <c r="H23"/>
  <c r="H39" s="1"/>
  <c r="O1"/>
  <c r="N58" i="3" l="1"/>
  <c r="O58" s="1"/>
  <c r="L39"/>
  <c r="O29"/>
  <c r="O33"/>
  <c r="N37"/>
  <c r="O53"/>
  <c r="O55"/>
  <c r="O56"/>
  <c r="H39"/>
  <c r="N44"/>
  <c r="O44" s="1"/>
  <c r="N52"/>
  <c r="O52" s="1"/>
  <c r="N57"/>
  <c r="O57" s="1"/>
  <c r="F45"/>
  <c r="H45" s="1"/>
  <c r="H51"/>
  <c r="H59"/>
  <c r="O30"/>
  <c r="O32"/>
  <c r="O34"/>
  <c r="N51" i="4"/>
  <c r="L47"/>
  <c r="N39"/>
  <c r="O39" s="1"/>
  <c r="H47"/>
  <c r="O49"/>
  <c r="O45"/>
  <c r="N45"/>
  <c r="O48"/>
  <c r="O51"/>
  <c r="O56"/>
  <c r="O57"/>
  <c r="O30"/>
  <c r="O32"/>
  <c r="O34"/>
  <c r="O36"/>
  <c r="O38"/>
  <c r="O41"/>
  <c r="O43"/>
  <c r="K49"/>
  <c r="L49" s="1"/>
  <c r="N49" s="1"/>
  <c r="K52"/>
  <c r="L52" s="1"/>
  <c r="N52" s="1"/>
  <c r="O52" s="1"/>
  <c r="O45" i="3" l="1"/>
  <c r="N45"/>
  <c r="H47"/>
  <c r="N39"/>
  <c r="O39" s="1"/>
  <c r="L47"/>
  <c r="N51"/>
  <c r="O51" s="1"/>
  <c r="N59"/>
  <c r="O59" s="1"/>
  <c r="L50" i="4"/>
  <c r="N47"/>
  <c r="O47" s="1"/>
  <c r="H50"/>
  <c r="N47" i="3" l="1"/>
  <c r="O47" s="1"/>
  <c r="L50"/>
  <c r="H50"/>
  <c r="N50" i="4"/>
  <c r="O50" s="1"/>
  <c r="L61"/>
  <c r="L67"/>
  <c r="H67"/>
  <c r="H61"/>
  <c r="N50" i="3" l="1"/>
  <c r="O50" s="1"/>
  <c r="L67"/>
  <c r="L61"/>
  <c r="H61"/>
  <c r="H67"/>
  <c r="H63" i="4"/>
  <c r="H62"/>
  <c r="H68"/>
  <c r="L63"/>
  <c r="L62"/>
  <c r="N61"/>
  <c r="O61" s="1"/>
  <c r="L69"/>
  <c r="L68"/>
  <c r="N67"/>
  <c r="O67" s="1"/>
  <c r="H62" i="3" l="1"/>
  <c r="H63" s="1"/>
  <c r="O61"/>
  <c r="H68"/>
  <c r="H69" s="1"/>
  <c r="L63"/>
  <c r="L62"/>
  <c r="N61"/>
  <c r="N67"/>
  <c r="O67" s="1"/>
  <c r="L69"/>
  <c r="L68"/>
  <c r="H69" i="4"/>
  <c r="L70"/>
  <c r="N69"/>
  <c r="H64"/>
  <c r="L65"/>
  <c r="L64"/>
  <c r="N63"/>
  <c r="O63" s="1"/>
  <c r="N68"/>
  <c r="O68" s="1"/>
  <c r="N62"/>
  <c r="O62" s="1"/>
  <c r="H65" i="3" l="1"/>
  <c r="H71"/>
  <c r="N69"/>
  <c r="O69" s="1"/>
  <c r="L71"/>
  <c r="N71" s="1"/>
  <c r="L65"/>
  <c r="N63"/>
  <c r="O63" s="1"/>
  <c r="O68"/>
  <c r="N68"/>
  <c r="N62"/>
  <c r="O62" s="1"/>
  <c r="O69" i="4"/>
  <c r="H71"/>
  <c r="H70"/>
  <c r="O64"/>
  <c r="N64"/>
  <c r="N70"/>
  <c r="H65"/>
  <c r="L71"/>
  <c r="N71" s="1"/>
  <c r="O65" i="3" l="1"/>
  <c r="N65"/>
  <c r="O71"/>
  <c r="O65" i="4"/>
  <c r="N65"/>
  <c r="O71"/>
  <c r="O70"/>
</calcChain>
</file>

<file path=xl/comments1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<sst xmlns="http://schemas.openxmlformats.org/spreadsheetml/2006/main" count="716" uniqueCount="86">
  <si>
    <t>File Number:</t>
  </si>
  <si>
    <t>Exhibit:</t>
  </si>
  <si>
    <t>Tab:</t>
  </si>
  <si>
    <t>Schedule:</t>
  </si>
  <si>
    <t>Attachment:</t>
  </si>
  <si>
    <t>Date:</t>
  </si>
  <si>
    <t>Appendix 2-W</t>
  </si>
  <si>
    <t>Bill Impacts</t>
  </si>
  <si>
    <t>Customer Class:</t>
  </si>
  <si>
    <t>Sentinel Lights .36 kW and 131 kWh</t>
  </si>
  <si>
    <t>TOU / non-TOU:</t>
  </si>
  <si>
    <t>non-TOU</t>
  </si>
  <si>
    <t>kWh</t>
  </si>
  <si>
    <t>Consumption</t>
  </si>
  <si>
    <t xml:space="preserve"> kW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</si>
  <si>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</si>
  <si>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</si>
  <si>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</si>
  <si>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</si>
  <si>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</si>
  <si>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</si>
  <si>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</si>
  <si>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</si>
  <si>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</si>
  <si>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</si>
  <si>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</si>
  <si>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</si>
  <si>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</si>
  <si>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>ICM rate rider</t>
  </si>
  <si>
    <t>Smart Meter IRR</t>
  </si>
  <si>
    <t>Stranded Assets</t>
  </si>
  <si>
    <t>Distribution Volumetric Rate</t>
  </si>
  <si>
    <t>per kW</t>
  </si>
  <si>
    <t>Smart Meter Disposition Rider</t>
  </si>
  <si>
    <t>LRAM &amp; SSM Rate Rider</t>
  </si>
  <si>
    <t>ICM rate rider (variable)</t>
  </si>
  <si>
    <t>Tax change rate rider</t>
  </si>
  <si>
    <t>Sub-Total A (excluding pass through)</t>
  </si>
  <si>
    <t>Deferral/Variance Account Disposition Rate Rider</t>
  </si>
  <si>
    <t>Disposition 1575/1576</t>
  </si>
  <si>
    <t>Rate Rider - Global Adjustment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</si>
  <si>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</si>
  <si>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</si>
  <si>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</si>
  <si>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</si>
  <si>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</si>
  <si>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</si>
  <si>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</si>
  <si>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</si>
  <si>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</si>
  <si>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</si>
  <si>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</si>
  <si>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</si>
  <si>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</si>
  <si>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</si>
  <si>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</si>
  <si>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</si>
  <si>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</si>
  <si>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</si>
  <si>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</si>
  <si>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</si>
  <si>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</si>
  <si>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</si>
  <si>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</si>
  <si>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</si>
  <si>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</si>
  <si>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</si>
  <si>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</si>
  <si>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</si>
  <si>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</si>
  <si>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</si>
  <si>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</si>
  <si>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</si>
  <si>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</si>
  <si>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</si>
  <si>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</si>
  <si>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Street Lights - 657kW  239805 kWh</t>
  </si>
  <si>
    <t xml:space="preserve">kWh </t>
  </si>
  <si>
    <t>Residential</t>
  </si>
  <si>
    <t>TOU</t>
  </si>
  <si>
    <t xml:space="preserve"> kWh</t>
  </si>
  <si>
    <t>per kWh</t>
  </si>
  <si>
    <t>GS &lt; 50 kW - 2000 kWh</t>
  </si>
  <si>
    <t>GS &gt; 50 kW Interval   600 kW and 306,600 kWh</t>
  </si>
  <si>
    <t>Large Use   5000 kW  and 2,555,000 kWh</t>
  </si>
  <si>
    <t>Unmetered Scattered Load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</si>
</sst>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_-;\-&quot;$&quot;* #,##0.0000_-;_-&quot;$&quot;* &quot;-&quot;??_-;_-@_-"/>
    <numFmt numFmtId="165" formatCode="0.0000%"/>
    <numFmt numFmtId="166" formatCode="_-* #,##0_-;\-* #,##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206">
    <xf numFmtId="0" fontId="0" fillId="0" borderId="0" xfId="0"/>
    <xf numFmtId="0" fontId="3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4" fillId="0" borderId="0" xfId="0" applyFont="1"/>
    <xf numFmtId="0" fontId="5" fillId="0" borderId="0" xfId="0" applyFont="1" applyAlignment="1">
      <alignment horizontal="right" vertical="top"/>
    </xf>
    <xf numFmtId="0" fontId="6" fillId="2" borderId="0" xfId="0" applyFont="1" applyFill="1" applyBorder="1" applyAlignment="1" applyProtection="1"/>
    <xf numFmtId="0" fontId="5" fillId="3" borderId="1" xfId="0" applyFont="1" applyFill="1" applyBorder="1" applyAlignment="1">
      <alignment horizontal="right" vertical="top"/>
    </xf>
    <xf numFmtId="0" fontId="6" fillId="2" borderId="0" xfId="0" applyFont="1" applyFill="1" applyBorder="1" applyAlignment="1" applyProtection="1">
      <alignment horizontal="left" indent="7"/>
    </xf>
    <xf numFmtId="0" fontId="0" fillId="2" borderId="0" xfId="0" applyFill="1" applyBorder="1" applyAlignment="1" applyProtection="1">
      <alignment horizontal="left" indent="1"/>
    </xf>
    <xf numFmtId="0" fontId="7" fillId="2" borderId="0" xfId="0" applyFont="1" applyFill="1" applyBorder="1" applyAlignment="1" applyProtection="1"/>
    <xf numFmtId="0" fontId="5" fillId="3" borderId="0" xfId="0" applyFont="1" applyFill="1" applyAlignment="1">
      <alignment horizontal="right" vertical="top"/>
    </xf>
    <xf numFmtId="15" fontId="5" fillId="3" borderId="0" xfId="0" applyNumberFormat="1" applyFont="1" applyFill="1" applyAlignment="1">
      <alignment horizontal="right" vertical="top"/>
    </xf>
    <xf numFmtId="0" fontId="0" fillId="0" borderId="0" xfId="0" applyProtection="1"/>
    <xf numFmtId="0" fontId="8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7" fillId="3" borderId="0" xfId="0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center"/>
    </xf>
    <xf numFmtId="0" fontId="10" fillId="4" borderId="0" xfId="0" applyFont="1" applyFill="1" applyAlignment="1" applyProtection="1">
      <alignment horizontal="center"/>
    </xf>
    <xf numFmtId="0" fontId="9" fillId="0" borderId="0" xfId="0" applyFont="1" applyProtection="1"/>
    <xf numFmtId="0" fontId="4" fillId="0" borderId="0" xfId="0" applyFont="1" applyProtection="1"/>
    <xf numFmtId="43" fontId="4" fillId="3" borderId="2" xfId="1" applyNumberFormat="1" applyFont="1" applyFill="1" applyBorder="1" applyProtection="1">
      <protection locked="0"/>
    </xf>
    <xf numFmtId="0" fontId="4" fillId="0" borderId="0" xfId="0" applyFont="1" applyAlignment="1" applyProtection="1"/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 wrapText="1"/>
    </xf>
    <xf numFmtId="0" fontId="4" fillId="0" borderId="7" xfId="0" applyFont="1" applyFill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4" fillId="0" borderId="10" xfId="0" quotePrefix="1" applyFont="1" applyBorder="1" applyAlignment="1" applyProtection="1">
      <alignment horizontal="center"/>
    </xf>
    <xf numFmtId="0" fontId="4" fillId="0" borderId="11" xfId="0" quotePrefix="1" applyFont="1" applyBorder="1" applyAlignment="1" applyProtection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 applyProtection="1">
      <alignment vertical="top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4" fontId="0" fillId="3" borderId="9" xfId="2" applyNumberFormat="1" applyFont="1" applyFill="1" applyBorder="1" applyAlignment="1" applyProtection="1">
      <alignment vertical="top"/>
      <protection locked="0"/>
    </xf>
    <xf numFmtId="0" fontId="0" fillId="0" borderId="9" xfId="0" applyFill="1" applyBorder="1" applyAlignment="1" applyProtection="1">
      <alignment vertical="center"/>
    </xf>
    <xf numFmtId="44" fontId="0" fillId="0" borderId="7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4" fontId="0" fillId="3" borderId="9" xfId="2" applyNumberFormat="1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44" fontId="0" fillId="0" borderId="9" xfId="0" applyNumberFormat="1" applyBorder="1" applyAlignment="1" applyProtection="1">
      <alignment vertical="center"/>
    </xf>
    <xf numFmtId="10" fontId="0" fillId="0" borderId="7" xfId="3" applyNumberFormat="1" applyFont="1" applyBorder="1" applyAlignment="1" applyProtection="1">
      <alignment vertical="center"/>
    </xf>
    <xf numFmtId="0" fontId="9" fillId="3" borderId="0" xfId="0" applyFont="1" applyFill="1" applyAlignment="1" applyProtection="1">
      <alignment vertical="top"/>
    </xf>
    <xf numFmtId="0" fontId="9" fillId="4" borderId="0" xfId="0" applyFont="1" applyFill="1" applyAlignment="1" applyProtection="1">
      <alignment vertical="top"/>
      <protection locked="0"/>
    </xf>
    <xf numFmtId="0" fontId="0" fillId="3" borderId="0" xfId="0" applyFill="1" applyAlignment="1" applyProtection="1">
      <alignment vertical="top"/>
    </xf>
    <xf numFmtId="0" fontId="9" fillId="3" borderId="0" xfId="0" applyFont="1" applyFill="1" applyAlignment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4" fillId="5" borderId="3" xfId="0" applyFont="1" applyFill="1" applyBorder="1" applyAlignment="1" applyProtection="1">
      <alignment vertical="top"/>
      <protection locked="0"/>
    </xf>
    <xf numFmtId="0" fontId="0" fillId="5" borderId="4" xfId="0" applyFill="1" applyBorder="1" applyAlignment="1" applyProtection="1">
      <alignment vertical="top"/>
    </xf>
    <xf numFmtId="0" fontId="0" fillId="5" borderId="4" xfId="0" applyFill="1" applyBorder="1" applyAlignment="1" applyProtection="1">
      <alignment vertical="top"/>
      <protection locked="0"/>
    </xf>
    <xf numFmtId="164" fontId="0" fillId="5" borderId="2" xfId="2" applyNumberFormat="1" applyFont="1" applyFill="1" applyBorder="1" applyAlignment="1" applyProtection="1">
      <alignment vertical="top"/>
      <protection locked="0"/>
    </xf>
    <xf numFmtId="0" fontId="0" fillId="5" borderId="2" xfId="0" applyFill="1" applyBorder="1" applyAlignment="1" applyProtection="1">
      <alignment vertical="center"/>
      <protection locked="0"/>
    </xf>
    <xf numFmtId="44" fontId="0" fillId="5" borderId="5" xfId="2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4" fontId="0" fillId="5" borderId="2" xfId="2" applyNumberFormat="1" applyFont="1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44" fontId="4" fillId="5" borderId="2" xfId="0" applyNumberFormat="1" applyFont="1" applyFill="1" applyBorder="1" applyAlignment="1" applyProtection="1">
      <alignment vertical="center"/>
    </xf>
    <xf numFmtId="10" fontId="4" fillId="5" borderId="5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9" fillId="3" borderId="0" xfId="0" applyFont="1" applyFill="1" applyAlignment="1" applyProtection="1">
      <alignment vertical="top" wrapText="1"/>
    </xf>
    <xf numFmtId="0" fontId="0" fillId="0" borderId="12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9" fillId="0" borderId="0" xfId="0" applyFont="1" applyAlignment="1" applyProtection="1">
      <alignment vertical="top"/>
    </xf>
    <xf numFmtId="164" fontId="0" fillId="6" borderId="9" xfId="2" applyNumberFormat="1" applyFont="1" applyFill="1" applyBorder="1" applyAlignment="1" applyProtection="1">
      <alignment vertical="top"/>
      <protection locked="0"/>
    </xf>
    <xf numFmtId="0" fontId="0" fillId="7" borderId="9" xfId="0" applyFill="1" applyBorder="1" applyAlignment="1" applyProtection="1">
      <alignment vertical="center"/>
    </xf>
    <xf numFmtId="164" fontId="0" fillId="6" borderId="9" xfId="2" applyNumberFormat="1" applyFont="1" applyFill="1" applyBorder="1" applyAlignment="1" applyProtection="1">
      <alignment vertical="center"/>
      <protection locked="0"/>
    </xf>
    <xf numFmtId="0" fontId="4" fillId="5" borderId="3" xfId="0" applyFont="1" applyFill="1" applyBorder="1" applyAlignment="1" applyProtection="1">
      <alignment vertical="top" wrapText="1"/>
    </xf>
    <xf numFmtId="0" fontId="0" fillId="5" borderId="4" xfId="0" applyFill="1" applyBorder="1" applyProtection="1"/>
    <xf numFmtId="0" fontId="0" fillId="5" borderId="2" xfId="0" applyFill="1" applyBorder="1" applyProtection="1"/>
    <xf numFmtId="0" fontId="0" fillId="5" borderId="2" xfId="0" applyFill="1" applyBorder="1" applyAlignment="1" applyProtection="1">
      <alignment vertical="center"/>
    </xf>
    <xf numFmtId="44" fontId="4" fillId="5" borderId="5" xfId="0" applyNumberFormat="1" applyFont="1" applyFill="1" applyBorder="1" applyAlignment="1" applyProtection="1">
      <alignment vertical="center"/>
    </xf>
    <xf numFmtId="0" fontId="0" fillId="5" borderId="5" xfId="0" applyFill="1" applyBorder="1" applyAlignment="1" applyProtection="1">
      <alignment vertical="center"/>
    </xf>
    <xf numFmtId="0" fontId="0" fillId="4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2" fontId="0" fillId="7" borderId="9" xfId="0" applyNumberFormat="1" applyFill="1" applyBorder="1" applyAlignment="1" applyProtection="1">
      <alignment vertical="center"/>
    </xf>
    <xf numFmtId="2" fontId="0" fillId="7" borderId="7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2" xfId="0" applyFill="1" applyBorder="1" applyAlignment="1" applyProtection="1">
      <alignment vertical="top"/>
    </xf>
    <xf numFmtId="0" fontId="4" fillId="5" borderId="0" xfId="0" applyFont="1" applyFill="1" applyAlignment="1" applyProtection="1">
      <alignment vertical="center"/>
    </xf>
    <xf numFmtId="0" fontId="4" fillId="5" borderId="2" xfId="0" applyFont="1" applyFill="1" applyBorder="1" applyAlignment="1" applyProtection="1">
      <alignment vertical="center"/>
    </xf>
    <xf numFmtId="0" fontId="4" fillId="5" borderId="5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4" fontId="9" fillId="3" borderId="9" xfId="2" applyNumberFormat="1" applyFont="1" applyFill="1" applyBorder="1" applyAlignment="1" applyProtection="1">
      <alignment vertical="top"/>
      <protection locked="0"/>
    </xf>
    <xf numFmtId="1" fontId="0" fillId="7" borderId="9" xfId="0" applyNumberFormat="1" applyFill="1" applyBorder="1" applyAlignment="1" applyProtection="1">
      <alignment vertical="center"/>
    </xf>
    <xf numFmtId="44" fontId="9" fillId="0" borderId="7" xfId="2" applyFont="1" applyBorder="1" applyAlignment="1" applyProtection="1">
      <alignment vertical="center"/>
    </xf>
    <xf numFmtId="164" fontId="9" fillId="3" borderId="9" xfId="2" applyNumberFormat="1" applyFont="1" applyFill="1" applyBorder="1" applyAlignment="1" applyProtection="1">
      <alignment vertical="center"/>
      <protection locked="0"/>
    </xf>
    <xf numFmtId="1" fontId="0" fillId="7" borderId="7" xfId="0" applyNumberFormat="1" applyFill="1" applyBorder="1" applyAlignment="1" applyProtection="1">
      <alignment vertical="center"/>
    </xf>
    <xf numFmtId="10" fontId="9" fillId="0" borderId="7" xfId="3" applyNumberFormat="1" applyFont="1" applyBorder="1" applyAlignment="1" applyProtection="1">
      <alignment vertical="center"/>
    </xf>
    <xf numFmtId="1" fontId="0" fillId="0" borderId="9" xfId="0" applyNumberFormat="1" applyFill="1" applyBorder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64" fontId="9" fillId="0" borderId="9" xfId="2" applyNumberFormat="1" applyFont="1" applyFill="1" applyBorder="1" applyAlignment="1" applyProtection="1">
      <alignment vertical="top"/>
      <protection locked="0"/>
    </xf>
    <xf numFmtId="1" fontId="9" fillId="6" borderId="9" xfId="0" applyNumberFormat="1" applyFont="1" applyFill="1" applyBorder="1" applyAlignment="1" applyProtection="1">
      <alignment vertical="center"/>
    </xf>
    <xf numFmtId="44" fontId="0" fillId="0" borderId="0" xfId="0" applyNumberFormat="1" applyProtection="1"/>
    <xf numFmtId="0" fontId="9" fillId="0" borderId="0" xfId="4" applyFont="1" applyAlignment="1" applyProtection="1">
      <alignment vertical="top"/>
    </xf>
    <xf numFmtId="0" fontId="9" fillId="0" borderId="0" xfId="4" applyAlignment="1" applyProtection="1">
      <alignment vertical="top"/>
    </xf>
    <xf numFmtId="0" fontId="9" fillId="4" borderId="0" xfId="4" applyFill="1" applyAlignment="1" applyProtection="1">
      <alignment vertical="top"/>
      <protection locked="0"/>
    </xf>
    <xf numFmtId="0" fontId="9" fillId="0" borderId="0" xfId="4" applyFill="1" applyAlignment="1" applyProtection="1">
      <alignment vertical="top"/>
    </xf>
    <xf numFmtId="1" fontId="9" fillId="6" borderId="9" xfId="4" applyNumberFormat="1" applyFill="1" applyBorder="1" applyAlignment="1" applyProtection="1">
      <alignment vertical="center"/>
    </xf>
    <xf numFmtId="0" fontId="9" fillId="0" borderId="0" xfId="4" applyAlignment="1" applyProtection="1">
      <alignment vertical="center"/>
    </xf>
    <xf numFmtId="44" fontId="9" fillId="0" borderId="9" xfId="4" applyNumberFormat="1" applyBorder="1" applyAlignment="1" applyProtection="1">
      <alignment vertical="center"/>
    </xf>
    <xf numFmtId="0" fontId="9" fillId="0" borderId="0" xfId="4" applyProtection="1"/>
    <xf numFmtId="0" fontId="9" fillId="8" borderId="13" xfId="0" applyFont="1" applyFill="1" applyBorder="1" applyProtection="1"/>
    <xf numFmtId="0" fontId="0" fillId="8" borderId="14" xfId="0" applyFill="1" applyBorder="1" applyAlignment="1" applyProtection="1">
      <alignment vertical="top"/>
    </xf>
    <xf numFmtId="0" fontId="0" fillId="8" borderId="14" xfId="0" applyFill="1" applyBorder="1" applyAlignment="1" applyProtection="1">
      <alignment vertical="top"/>
      <protection locked="0"/>
    </xf>
    <xf numFmtId="164" fontId="9" fillId="8" borderId="15" xfId="2" applyNumberFormat="1" applyFont="1" applyFill="1" applyBorder="1" applyAlignment="1" applyProtection="1">
      <alignment vertical="top"/>
      <protection locked="0"/>
    </xf>
    <xf numFmtId="0" fontId="0" fillId="8" borderId="16" xfId="0" applyFill="1" applyBorder="1" applyAlignment="1" applyProtection="1">
      <alignment vertical="center"/>
      <protection locked="0"/>
    </xf>
    <xf numFmtId="44" fontId="9" fillId="8" borderId="14" xfId="2" applyFont="1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</xf>
    <xf numFmtId="0" fontId="0" fillId="8" borderId="15" xfId="0" applyFill="1" applyBorder="1" applyAlignment="1" applyProtection="1">
      <alignment vertical="center"/>
      <protection locked="0"/>
    </xf>
    <xf numFmtId="44" fontId="0" fillId="8" borderId="15" xfId="0" applyNumberFormat="1" applyFill="1" applyBorder="1" applyAlignment="1" applyProtection="1">
      <alignment vertical="center"/>
    </xf>
    <xf numFmtId="10" fontId="9" fillId="8" borderId="17" xfId="3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top"/>
    </xf>
    <xf numFmtId="9" fontId="0" fillId="0" borderId="9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4" fillId="0" borderId="12" xfId="0" applyNumberFormat="1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9" fontId="4" fillId="0" borderId="9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4" fontId="4" fillId="0" borderId="9" xfId="0" applyNumberFormat="1" applyFont="1" applyFill="1" applyBorder="1" applyAlignment="1" applyProtection="1">
      <alignment vertical="center"/>
    </xf>
    <xf numFmtId="10" fontId="4" fillId="0" borderId="7" xfId="3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horizontal="left" vertical="top" indent="1"/>
    </xf>
    <xf numFmtId="9" fontId="0" fillId="0" borderId="9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44" fontId="9" fillId="0" borderId="12" xfId="0" applyNumberFormat="1" applyFont="1" applyFill="1" applyBorder="1" applyAlignment="1" applyProtection="1">
      <alignment vertical="center"/>
    </xf>
    <xf numFmtId="0" fontId="9" fillId="0" borderId="9" xfId="0" applyFont="1" applyFill="1" applyBorder="1" applyAlignment="1" applyProtection="1">
      <alignment vertical="center"/>
    </xf>
    <xf numFmtId="9" fontId="9" fillId="0" borderId="9" xfId="0" applyNumberFormat="1" applyFont="1" applyFill="1" applyBorder="1" applyAlignment="1" applyProtection="1">
      <alignment vertical="center"/>
      <protection locked="0"/>
    </xf>
    <xf numFmtId="44" fontId="9" fillId="0" borderId="7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44" fontId="9" fillId="0" borderId="9" xfId="0" applyNumberFormat="1" applyFont="1" applyFill="1" applyBorder="1" applyAlignment="1" applyProtection="1">
      <alignment vertical="center"/>
    </xf>
    <xf numFmtId="10" fontId="9" fillId="0" borderId="7" xfId="3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left" vertical="top" wrapText="1" indent="1"/>
    </xf>
    <xf numFmtId="0" fontId="0" fillId="0" borderId="9" xfId="0" applyFill="1" applyBorder="1" applyAlignment="1" applyProtection="1">
      <alignment vertical="top"/>
    </xf>
    <xf numFmtId="0" fontId="11" fillId="0" borderId="0" xfId="0" applyFont="1" applyAlignment="1" applyProtection="1">
      <alignment horizontal="left" vertical="top" wrapText="1" indent="1"/>
    </xf>
    <xf numFmtId="44" fontId="13" fillId="0" borderId="12" xfId="0" applyNumberFormat="1" applyFont="1" applyFill="1" applyBorder="1" applyAlignment="1" applyProtection="1">
      <alignment vertical="center"/>
    </xf>
    <xf numFmtId="44" fontId="13" fillId="0" borderId="7" xfId="0" applyNumberFormat="1" applyFont="1" applyFill="1" applyBorder="1" applyAlignment="1" applyProtection="1">
      <alignment vertical="center"/>
    </xf>
    <xf numFmtId="44" fontId="13" fillId="0" borderId="9" xfId="0" applyNumberFormat="1" applyFont="1" applyFill="1" applyBorder="1" applyAlignment="1" applyProtection="1">
      <alignment vertical="center"/>
    </xf>
    <xf numFmtId="10" fontId="13" fillId="0" borderId="7" xfId="3" applyNumberFormat="1" applyFont="1" applyFill="1" applyBorder="1" applyAlignment="1" applyProtection="1">
      <alignment vertical="center"/>
    </xf>
    <xf numFmtId="0" fontId="4" fillId="9" borderId="0" xfId="0" applyFont="1" applyFill="1" applyAlignment="1" applyProtection="1">
      <alignment horizontal="left" vertical="top" wrapText="1"/>
    </xf>
    <xf numFmtId="0" fontId="0" fillId="9" borderId="0" xfId="0" applyFill="1" applyAlignment="1" applyProtection="1">
      <alignment vertical="top"/>
    </xf>
    <xf numFmtId="0" fontId="0" fillId="9" borderId="10" xfId="0" applyFill="1" applyBorder="1" applyAlignment="1" applyProtection="1">
      <alignment vertical="top"/>
    </xf>
    <xf numFmtId="0" fontId="0" fillId="9" borderId="18" xfId="0" applyFill="1" applyBorder="1" applyAlignment="1" applyProtection="1">
      <alignment vertical="center"/>
    </xf>
    <xf numFmtId="44" fontId="4" fillId="9" borderId="19" xfId="0" applyNumberFormat="1" applyFont="1" applyFill="1" applyBorder="1" applyAlignment="1" applyProtection="1">
      <alignment vertical="center"/>
    </xf>
    <xf numFmtId="0" fontId="4" fillId="9" borderId="10" xfId="0" applyFont="1" applyFill="1" applyBorder="1" applyAlignment="1" applyProtection="1">
      <alignment vertical="center"/>
    </xf>
    <xf numFmtId="44" fontId="4" fillId="9" borderId="11" xfId="0" applyNumberFormat="1" applyFont="1" applyFill="1" applyBorder="1" applyAlignment="1" applyProtection="1">
      <alignment vertical="center"/>
    </xf>
    <xf numFmtId="0" fontId="4" fillId="9" borderId="18" xfId="0" applyFont="1" applyFill="1" applyBorder="1" applyAlignment="1" applyProtection="1">
      <alignment vertical="center"/>
    </xf>
    <xf numFmtId="44" fontId="4" fillId="9" borderId="10" xfId="0" applyNumberFormat="1" applyFont="1" applyFill="1" applyBorder="1" applyAlignment="1" applyProtection="1">
      <alignment vertical="center"/>
    </xf>
    <xf numFmtId="10" fontId="4" fillId="9" borderId="11" xfId="3" applyNumberFormat="1" applyFont="1" applyFill="1" applyBorder="1" applyAlignment="1" applyProtection="1">
      <alignment vertical="center"/>
    </xf>
    <xf numFmtId="0" fontId="9" fillId="8" borderId="13" xfId="4" applyFont="1" applyFill="1" applyBorder="1" applyProtection="1"/>
    <xf numFmtId="0" fontId="9" fillId="8" borderId="14" xfId="4" applyFill="1" applyBorder="1" applyAlignment="1" applyProtection="1">
      <alignment vertical="top"/>
    </xf>
    <xf numFmtId="0" fontId="9" fillId="8" borderId="14" xfId="4" applyFill="1" applyBorder="1" applyAlignment="1" applyProtection="1">
      <alignment vertical="top"/>
      <protection locked="0"/>
    </xf>
    <xf numFmtId="0" fontId="9" fillId="8" borderId="16" xfId="4" applyFill="1" applyBorder="1" applyAlignment="1" applyProtection="1">
      <alignment vertical="center"/>
      <protection locked="0"/>
    </xf>
    <xf numFmtId="0" fontId="9" fillId="8" borderId="14" xfId="4" applyFill="1" applyBorder="1" applyAlignment="1" applyProtection="1">
      <alignment vertical="center"/>
    </xf>
    <xf numFmtId="0" fontId="9" fillId="8" borderId="15" xfId="4" applyFill="1" applyBorder="1" applyAlignment="1" applyProtection="1">
      <alignment vertical="center"/>
      <protection locked="0"/>
    </xf>
    <xf numFmtId="44" fontId="9" fillId="8" borderId="15" xfId="4" applyNumberForma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top"/>
    </xf>
    <xf numFmtId="9" fontId="9" fillId="0" borderId="9" xfId="4" applyNumberFormat="1" applyFill="1" applyBorder="1" applyAlignment="1" applyProtection="1">
      <alignment vertical="top"/>
    </xf>
    <xf numFmtId="9" fontId="9" fillId="0" borderId="0" xfId="4" applyNumberFormat="1" applyFill="1" applyBorder="1" applyAlignment="1" applyProtection="1">
      <alignment vertical="center"/>
    </xf>
    <xf numFmtId="44" fontId="4" fillId="0" borderId="12" xfId="4" applyNumberFormat="1" applyFont="1" applyFill="1" applyBorder="1" applyAlignment="1" applyProtection="1">
      <alignment vertical="center"/>
    </xf>
    <xf numFmtId="0" fontId="4" fillId="0" borderId="9" xfId="4" applyFont="1" applyFill="1" applyBorder="1" applyAlignment="1" applyProtection="1">
      <alignment vertical="center"/>
    </xf>
    <xf numFmtId="9" fontId="4" fillId="0" borderId="9" xfId="4" applyNumberFormat="1" applyFont="1" applyFill="1" applyBorder="1" applyAlignment="1" applyProtection="1">
      <alignment vertical="center"/>
    </xf>
    <xf numFmtId="0" fontId="4" fillId="0" borderId="0" xfId="4" applyFont="1" applyFill="1" applyBorder="1" applyAlignment="1" applyProtection="1">
      <alignment vertical="center"/>
    </xf>
    <xf numFmtId="44" fontId="4" fillId="0" borderId="9" xfId="4" applyNumberFormat="1" applyFont="1" applyFill="1" applyBorder="1" applyAlignment="1" applyProtection="1">
      <alignment vertical="center"/>
    </xf>
    <xf numFmtId="0" fontId="9" fillId="0" borderId="0" xfId="4" applyFont="1" applyFill="1" applyAlignment="1" applyProtection="1">
      <alignment horizontal="left" vertical="top" indent="1"/>
    </xf>
    <xf numFmtId="9" fontId="9" fillId="0" borderId="9" xfId="4" applyNumberFormat="1" applyFill="1" applyBorder="1" applyAlignment="1" applyProtection="1">
      <alignment vertical="top"/>
      <protection locked="0"/>
    </xf>
    <xf numFmtId="44" fontId="9" fillId="0" borderId="12" xfId="4" applyNumberFormat="1" applyFont="1" applyFill="1" applyBorder="1" applyAlignment="1" applyProtection="1">
      <alignment vertical="center"/>
    </xf>
    <xf numFmtId="0" fontId="9" fillId="0" borderId="9" xfId="4" applyFont="1" applyFill="1" applyBorder="1" applyAlignment="1" applyProtection="1">
      <alignment vertical="center"/>
    </xf>
    <xf numFmtId="9" fontId="9" fillId="0" borderId="9" xfId="4" applyNumberFormat="1" applyFont="1" applyFill="1" applyBorder="1" applyAlignment="1" applyProtection="1">
      <alignment vertical="top"/>
      <protection locked="0"/>
    </xf>
    <xf numFmtId="9" fontId="9" fillId="0" borderId="9" xfId="4" applyNumberFormat="1" applyFont="1" applyFill="1" applyBorder="1" applyAlignment="1" applyProtection="1">
      <alignment vertical="center"/>
    </xf>
    <xf numFmtId="44" fontId="9" fillId="0" borderId="7" xfId="4" applyNumberFormat="1" applyFont="1" applyFill="1" applyBorder="1" applyAlignment="1" applyProtection="1">
      <alignment vertical="center"/>
    </xf>
    <xf numFmtId="0" fontId="9" fillId="0" borderId="0" xfId="4" applyFont="1" applyFill="1" applyBorder="1" applyAlignment="1" applyProtection="1">
      <alignment vertical="center"/>
    </xf>
    <xf numFmtId="44" fontId="9" fillId="0" borderId="9" xfId="4" applyNumberFormat="1" applyFont="1" applyFill="1" applyBorder="1" applyAlignment="1" applyProtection="1">
      <alignment vertical="center"/>
    </xf>
    <xf numFmtId="0" fontId="4" fillId="0" borderId="0" xfId="4" applyFont="1" applyAlignment="1" applyProtection="1">
      <alignment horizontal="left" vertical="top" wrapText="1" indent="1"/>
    </xf>
    <xf numFmtId="0" fontId="9" fillId="0" borderId="9" xfId="4" applyFill="1" applyBorder="1" applyAlignment="1" applyProtection="1">
      <alignment vertical="top"/>
    </xf>
    <xf numFmtId="0" fontId="9" fillId="0" borderId="0" xfId="4" applyFill="1" applyBorder="1" applyAlignment="1" applyProtection="1">
      <alignment vertical="center"/>
    </xf>
    <xf numFmtId="0" fontId="11" fillId="0" borderId="0" xfId="4" applyFont="1" applyAlignment="1" applyProtection="1">
      <alignment horizontal="left" vertical="top" wrapText="1" indent="1"/>
    </xf>
    <xf numFmtId="44" fontId="13" fillId="0" borderId="12" xfId="4" applyNumberFormat="1" applyFont="1" applyFill="1" applyBorder="1" applyAlignment="1" applyProtection="1">
      <alignment vertical="center"/>
    </xf>
    <xf numFmtId="44" fontId="13" fillId="0" borderId="7" xfId="4" applyNumberFormat="1" applyFont="1" applyFill="1" applyBorder="1" applyAlignment="1" applyProtection="1">
      <alignment vertical="center"/>
    </xf>
    <xf numFmtId="44" fontId="13" fillId="0" borderId="9" xfId="4" applyNumberFormat="1" applyFont="1" applyFill="1" applyBorder="1" applyAlignment="1" applyProtection="1">
      <alignment vertical="center"/>
    </xf>
    <xf numFmtId="0" fontId="4" fillId="9" borderId="0" xfId="4" applyFont="1" applyFill="1" applyAlignment="1" applyProtection="1">
      <alignment horizontal="left" vertical="top" wrapText="1"/>
    </xf>
    <xf numFmtId="0" fontId="9" fillId="9" borderId="0" xfId="4" applyFill="1" applyAlignment="1" applyProtection="1">
      <alignment vertical="top"/>
    </xf>
    <xf numFmtId="0" fontId="9" fillId="9" borderId="9" xfId="4" applyFill="1" applyBorder="1" applyAlignment="1" applyProtection="1">
      <alignment vertical="top"/>
    </xf>
    <xf numFmtId="0" fontId="9" fillId="9" borderId="0" xfId="4" applyFill="1" applyBorder="1" applyAlignment="1" applyProtection="1">
      <alignment vertical="center"/>
    </xf>
    <xf numFmtId="44" fontId="4" fillId="9" borderId="12" xfId="4" applyNumberFormat="1" applyFont="1" applyFill="1" applyBorder="1" applyAlignment="1" applyProtection="1">
      <alignment vertical="center"/>
    </xf>
    <xf numFmtId="0" fontId="4" fillId="9" borderId="9" xfId="4" applyFont="1" applyFill="1" applyBorder="1" applyAlignment="1" applyProtection="1">
      <alignment vertical="center"/>
    </xf>
    <xf numFmtId="44" fontId="4" fillId="9" borderId="7" xfId="4" applyNumberFormat="1" applyFont="1" applyFill="1" applyBorder="1" applyAlignment="1" applyProtection="1">
      <alignment vertical="center"/>
    </xf>
    <xf numFmtId="0" fontId="4" fillId="9" borderId="0" xfId="4" applyFont="1" applyFill="1" applyBorder="1" applyAlignment="1" applyProtection="1">
      <alignment vertical="center"/>
    </xf>
    <xf numFmtId="44" fontId="4" fillId="9" borderId="9" xfId="4" applyNumberFormat="1" applyFont="1" applyFill="1" applyBorder="1" applyAlignment="1" applyProtection="1">
      <alignment vertical="center"/>
    </xf>
    <xf numFmtId="10" fontId="4" fillId="9" borderId="7" xfId="3" applyNumberFormat="1" applyFont="1" applyFill="1" applyBorder="1" applyAlignment="1" applyProtection="1">
      <alignment vertical="center"/>
    </xf>
    <xf numFmtId="164" fontId="9" fillId="8" borderId="16" xfId="2" applyNumberFormat="1" applyFont="1" applyFill="1" applyBorder="1" applyAlignment="1" applyProtection="1">
      <alignment vertical="top"/>
      <protection locked="0"/>
    </xf>
    <xf numFmtId="0" fontId="9" fillId="8" borderId="14" xfId="4" applyFill="1" applyBorder="1" applyAlignment="1" applyProtection="1">
      <alignment vertical="center"/>
      <protection locked="0"/>
    </xf>
    <xf numFmtId="44" fontId="9" fillId="8" borderId="20" xfId="2" applyFont="1" applyFill="1" applyBorder="1" applyAlignment="1" applyProtection="1">
      <alignment vertical="center"/>
    </xf>
    <xf numFmtId="0" fontId="9" fillId="8" borderId="16" xfId="4" applyFill="1" applyBorder="1" applyAlignment="1" applyProtection="1">
      <alignment vertical="center"/>
    </xf>
    <xf numFmtId="44" fontId="9" fillId="8" borderId="15" xfId="2" applyFont="1" applyFill="1" applyBorder="1" applyAlignment="1" applyProtection="1">
      <alignment vertical="center"/>
    </xf>
    <xf numFmtId="44" fontId="9" fillId="8" borderId="16" xfId="4" applyNumberFormat="1" applyFill="1" applyBorder="1" applyAlignment="1" applyProtection="1">
      <alignment vertical="center"/>
    </xf>
    <xf numFmtId="165" fontId="9" fillId="3" borderId="2" xfId="3" applyNumberFormat="1" applyFont="1" applyFill="1" applyBorder="1" applyProtection="1">
      <protection locked="0"/>
    </xf>
    <xf numFmtId="0" fontId="14" fillId="0" borderId="0" xfId="0" applyFont="1" applyProtection="1"/>
    <xf numFmtId="0" fontId="0" fillId="7" borderId="0" xfId="0" applyFill="1" applyProtection="1"/>
    <xf numFmtId="166" fontId="4" fillId="3" borderId="2" xfId="1" applyNumberFormat="1" applyFont="1" applyFill="1" applyBorder="1" applyProtection="1">
      <protection locked="0"/>
    </xf>
    <xf numFmtId="10" fontId="9" fillId="3" borderId="2" xfId="3" applyNumberFormat="1" applyFont="1" applyFill="1" applyBorder="1" applyProtection="1"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5%20COS/Interrogatories%20and%20Responses/Bill%20impacts/Sentinel%20Lights%20Debbie%20Revised%20Aug%2029%20201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 t="str">
            <v>EB 2014 0073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0"/>
  <sheetViews>
    <sheetView topLeftCell="A40" workbookViewId="0">
      <selection activeCell="V52" sqref="V52"/>
    </sheetView>
  </sheetViews>
  <sheetFormatPr defaultRowHeight="15"/>
  <cols>
    <col min="1" max="1" width="2.140625" style="12" customWidth="1"/>
    <col min="2" max="2" width="26.5703125" style="12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9.710937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bestFit="1" customWidth="1"/>
    <col min="15" max="15" width="10.85546875" style="12" bestFit="1" customWidth="1"/>
    <col min="16" max="16" width="3.85546875" style="12" customWidth="1"/>
    <col min="17" max="19" width="9.140625" style="12"/>
    <col min="20" max="20" width="9.140625" style="12" customWidth="1"/>
    <col min="21" max="16384" width="9.140625" style="12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EBNUMBER</f>
        <v>EB 2014 0073</v>
      </c>
      <c r="P1"/>
      <c r="T1" s="2">
        <v>1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8</v>
      </c>
      <c r="P2"/>
    </row>
    <row r="3" spans="1:20" s="2" customFormat="1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 t="s">
        <v>2</v>
      </c>
      <c r="O3" s="6">
        <v>12</v>
      </c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8"/>
      <c r="J4" s="8"/>
      <c r="K4" s="8"/>
      <c r="N4" s="3" t="s">
        <v>3</v>
      </c>
      <c r="O4" s="6">
        <v>1</v>
      </c>
      <c r="P4"/>
    </row>
    <row r="5" spans="1:20" s="2" customFormat="1" ht="15" customHeight="1">
      <c r="C5" s="9"/>
      <c r="D5" s="9"/>
      <c r="E5" s="9"/>
      <c r="N5" s="3" t="s">
        <v>4</v>
      </c>
      <c r="O5" s="10">
        <v>1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1">
        <v>41754</v>
      </c>
      <c r="P7"/>
    </row>
    <row r="8" spans="1:20" s="2" customFormat="1" ht="15" customHeight="1">
      <c r="N8" s="12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13" t="s">
        <v>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/>
    </row>
    <row r="11" spans="1:20" ht="18.75" customHeight="1">
      <c r="B11" s="13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4" t="s">
        <v>8</v>
      </c>
      <c r="D14" s="15" t="s">
        <v>78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0" ht="7.5" customHeight="1">
      <c r="B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20" ht="15.75">
      <c r="B16" s="14" t="s">
        <v>10</v>
      </c>
      <c r="D16" s="18" t="s">
        <v>79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15.75">
      <c r="B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2:15">
      <c r="B18" s="19"/>
      <c r="D18" s="20" t="s">
        <v>13</v>
      </c>
      <c r="E18" s="20"/>
      <c r="F18" s="204">
        <v>800</v>
      </c>
      <c r="G18" s="20" t="s">
        <v>80</v>
      </c>
    </row>
    <row r="19" spans="2:15">
      <c r="B19" s="19"/>
    </row>
    <row r="20" spans="2:15">
      <c r="B20" s="19"/>
      <c r="D20" s="22"/>
      <c r="E20" s="22"/>
      <c r="F20" s="23" t="s">
        <v>15</v>
      </c>
      <c r="G20" s="24"/>
      <c r="H20" s="25"/>
      <c r="J20" s="23" t="s">
        <v>16</v>
      </c>
      <c r="K20" s="24"/>
      <c r="L20" s="25"/>
      <c r="N20" s="23" t="s">
        <v>17</v>
      </c>
      <c r="O20" s="25"/>
    </row>
    <row r="21" spans="2:15">
      <c r="B21" s="19"/>
      <c r="D21" s="26" t="s">
        <v>18</v>
      </c>
      <c r="E21" s="27"/>
      <c r="F21" s="28" t="s">
        <v>19</v>
      </c>
      <c r="G21" s="28" t="s">
        <v>20</v>
      </c>
      <c r="H21" s="29" t="s">
        <v>21</v>
      </c>
      <c r="J21" s="28" t="s">
        <v>19</v>
      </c>
      <c r="K21" s="30" t="s">
        <v>20</v>
      </c>
      <c r="L21" s="29" t="s">
        <v>21</v>
      </c>
      <c r="N21" s="31" t="s">
        <v>22</v>
      </c>
      <c r="O21" s="32" t="s">
        <v>23</v>
      </c>
    </row>
    <row r="22" spans="2:15">
      <c r="B22" s="19"/>
      <c r="D22" s="33"/>
      <c r="E22" s="27"/>
      <c r="F22" s="34" t="s">
        <v>24</v>
      </c>
      <c r="G22" s="34"/>
      <c r="H22" s="35" t="s">
        <v>24</v>
      </c>
      <c r="J22" s="34" t="s">
        <v>24</v>
      </c>
      <c r="K22" s="35"/>
      <c r="L22" s="35" t="s">
        <v>24</v>
      </c>
      <c r="N22" s="36"/>
      <c r="O22" s="37"/>
    </row>
    <row r="23" spans="2:15">
      <c r="B23" s="38" t="s">
        <v>25</v>
      </c>
      <c r="C23" s="38"/>
      <c r="D23" s="39" t="s">
        <v>26</v>
      </c>
      <c r="E23" s="40"/>
      <c r="F23" s="41">
        <v>15.18</v>
      </c>
      <c r="G23" s="42">
        <v>1</v>
      </c>
      <c r="H23" s="43">
        <f>G23*F23</f>
        <v>15.18</v>
      </c>
      <c r="I23" s="44"/>
      <c r="J23" s="45">
        <v>16.75</v>
      </c>
      <c r="K23" s="46">
        <v>1</v>
      </c>
      <c r="L23" s="43">
        <f>K23*J23</f>
        <v>16.75</v>
      </c>
      <c r="M23" s="44"/>
      <c r="N23" s="47">
        <f>L23-H23</f>
        <v>1.5700000000000003</v>
      </c>
      <c r="O23" s="48">
        <f>IF((H23)=0,"",(N23/H23))</f>
        <v>0.1034255599472991</v>
      </c>
    </row>
    <row r="24" spans="2:15">
      <c r="B24" s="38" t="s">
        <v>27</v>
      </c>
      <c r="C24" s="38"/>
      <c r="D24" s="39" t="s">
        <v>26</v>
      </c>
      <c r="E24" s="40"/>
      <c r="F24" s="41">
        <v>0.79</v>
      </c>
      <c r="G24" s="42">
        <v>1</v>
      </c>
      <c r="H24" s="43">
        <f t="shared" ref="H24:H38" si="0">G24*F24</f>
        <v>0.79</v>
      </c>
      <c r="I24" s="44"/>
      <c r="J24" s="45">
        <v>0</v>
      </c>
      <c r="K24" s="46">
        <v>1</v>
      </c>
      <c r="L24" s="43">
        <f>K24*J24</f>
        <v>0</v>
      </c>
      <c r="M24" s="44"/>
      <c r="N24" s="47">
        <f>L24-H24</f>
        <v>-0.79</v>
      </c>
      <c r="O24" s="48">
        <f>IF((H24)=0,"",(N24/H24))</f>
        <v>-1</v>
      </c>
    </row>
    <row r="25" spans="2:15">
      <c r="B25" s="49" t="s">
        <v>28</v>
      </c>
      <c r="C25" s="38"/>
      <c r="D25" s="39" t="s">
        <v>26</v>
      </c>
      <c r="E25" s="40"/>
      <c r="F25" s="41">
        <v>1</v>
      </c>
      <c r="G25" s="42">
        <v>1</v>
      </c>
      <c r="H25" s="43">
        <f t="shared" si="0"/>
        <v>1</v>
      </c>
      <c r="I25" s="44"/>
      <c r="J25" s="45"/>
      <c r="K25" s="46">
        <v>1</v>
      </c>
      <c r="L25" s="43">
        <f t="shared" ref="L25:L38" si="1">K25*J25</f>
        <v>0</v>
      </c>
      <c r="M25" s="44"/>
      <c r="N25" s="47">
        <f t="shared" ref="N25:N65" si="2">L25-H25</f>
        <v>-1</v>
      </c>
      <c r="O25" s="48">
        <f t="shared" ref="O25:O45" si="3">IF((H25)=0,"",(N25/H25))</f>
        <v>-1</v>
      </c>
    </row>
    <row r="26" spans="2:15">
      <c r="B26" s="49" t="s">
        <v>29</v>
      </c>
      <c r="C26" s="38"/>
      <c r="D26" s="50" t="s">
        <v>26</v>
      </c>
      <c r="E26" s="40"/>
      <c r="F26" s="41">
        <v>2.79</v>
      </c>
      <c r="G26" s="42">
        <v>1</v>
      </c>
      <c r="H26" s="43">
        <f t="shared" si="0"/>
        <v>2.79</v>
      </c>
      <c r="I26" s="44"/>
      <c r="J26" s="45"/>
      <c r="K26" s="46">
        <v>1</v>
      </c>
      <c r="L26" s="43">
        <f t="shared" si="1"/>
        <v>0</v>
      </c>
      <c r="M26" s="44"/>
      <c r="N26" s="47">
        <f t="shared" si="2"/>
        <v>-2.79</v>
      </c>
      <c r="O26" s="48">
        <f t="shared" si="3"/>
        <v>-1</v>
      </c>
    </row>
    <row r="27" spans="2:15">
      <c r="B27" s="49" t="s">
        <v>30</v>
      </c>
      <c r="C27" s="38"/>
      <c r="D27" s="39" t="s">
        <v>26</v>
      </c>
      <c r="E27" s="40"/>
      <c r="F27" s="41"/>
      <c r="G27" s="42">
        <v>1</v>
      </c>
      <c r="H27" s="43">
        <f t="shared" si="0"/>
        <v>0</v>
      </c>
      <c r="I27" s="44"/>
      <c r="J27" s="45">
        <v>0.9</v>
      </c>
      <c r="K27" s="46">
        <v>1</v>
      </c>
      <c r="L27" s="43">
        <f t="shared" si="1"/>
        <v>0.9</v>
      </c>
      <c r="M27" s="44"/>
      <c r="N27" s="47">
        <f t="shared" si="2"/>
        <v>0.9</v>
      </c>
      <c r="O27" s="48" t="str">
        <f t="shared" si="3"/>
        <v/>
      </c>
    </row>
    <row r="28" spans="2:15">
      <c r="B28" s="51"/>
      <c r="C28" s="38"/>
      <c r="D28" s="39"/>
      <c r="E28" s="40"/>
      <c r="F28" s="41"/>
      <c r="G28" s="42">
        <v>1</v>
      </c>
      <c r="H28" s="43">
        <f t="shared" si="0"/>
        <v>0</v>
      </c>
      <c r="I28" s="44"/>
      <c r="J28" s="45"/>
      <c r="K28" s="46">
        <v>1</v>
      </c>
      <c r="L28" s="43">
        <f t="shared" si="1"/>
        <v>0</v>
      </c>
      <c r="M28" s="44"/>
      <c r="N28" s="47">
        <f t="shared" si="2"/>
        <v>0</v>
      </c>
      <c r="O28" s="48" t="str">
        <f t="shared" si="3"/>
        <v/>
      </c>
    </row>
    <row r="29" spans="2:15">
      <c r="B29" s="38" t="s">
        <v>31</v>
      </c>
      <c r="C29" s="38"/>
      <c r="D29" s="39" t="s">
        <v>81</v>
      </c>
      <c r="E29" s="40"/>
      <c r="F29" s="41">
        <v>1.6899999999999998E-2</v>
      </c>
      <c r="G29" s="42">
        <f t="shared" ref="G29:G38" si="4">$F$18</f>
        <v>800</v>
      </c>
      <c r="H29" s="43">
        <f t="shared" si="0"/>
        <v>13.52</v>
      </c>
      <c r="I29" s="44"/>
      <c r="J29" s="45">
        <v>1.8599999999999998E-2</v>
      </c>
      <c r="K29" s="42">
        <f>$F$18</f>
        <v>800</v>
      </c>
      <c r="L29" s="43">
        <f t="shared" si="1"/>
        <v>14.879999999999999</v>
      </c>
      <c r="M29" s="44"/>
      <c r="N29" s="47">
        <f t="shared" si="2"/>
        <v>1.3599999999999994</v>
      </c>
      <c r="O29" s="48">
        <f t="shared" si="3"/>
        <v>0.10059171597633132</v>
      </c>
    </row>
    <row r="30" spans="2:15">
      <c r="B30" s="38" t="s">
        <v>33</v>
      </c>
      <c r="C30" s="38"/>
      <c r="D30" s="39"/>
      <c r="E30" s="40"/>
      <c r="F30" s="41"/>
      <c r="G30" s="42">
        <f t="shared" si="4"/>
        <v>800</v>
      </c>
      <c r="H30" s="43">
        <f t="shared" si="0"/>
        <v>0</v>
      </c>
      <c r="I30" s="44"/>
      <c r="J30" s="45"/>
      <c r="K30" s="42">
        <f t="shared" ref="K30:K38" si="5">$F$18</f>
        <v>800</v>
      </c>
      <c r="L30" s="43">
        <f t="shared" si="1"/>
        <v>0</v>
      </c>
      <c r="M30" s="44"/>
      <c r="N30" s="47">
        <f t="shared" si="2"/>
        <v>0</v>
      </c>
      <c r="O30" s="48" t="str">
        <f t="shared" si="3"/>
        <v/>
      </c>
    </row>
    <row r="31" spans="2:15">
      <c r="B31" s="38" t="s">
        <v>34</v>
      </c>
      <c r="C31" s="38"/>
      <c r="D31" s="39"/>
      <c r="E31" s="40"/>
      <c r="F31" s="41"/>
      <c r="G31" s="42">
        <f t="shared" si="4"/>
        <v>800</v>
      </c>
      <c r="H31" s="43">
        <f t="shared" si="0"/>
        <v>0</v>
      </c>
      <c r="I31" s="44"/>
      <c r="J31" s="45"/>
      <c r="K31" s="42">
        <f t="shared" si="5"/>
        <v>800</v>
      </c>
      <c r="L31" s="43">
        <f t="shared" si="1"/>
        <v>0</v>
      </c>
      <c r="M31" s="44"/>
      <c r="N31" s="47">
        <f t="shared" si="2"/>
        <v>0</v>
      </c>
      <c r="O31" s="48" t="str">
        <f t="shared" si="3"/>
        <v/>
      </c>
    </row>
    <row r="32" spans="2:15">
      <c r="B32" s="52" t="s">
        <v>35</v>
      </c>
      <c r="C32" s="38"/>
      <c r="D32" s="39" t="s">
        <v>81</v>
      </c>
      <c r="E32" s="40"/>
      <c r="F32" s="41">
        <v>1.1000000000000001E-3</v>
      </c>
      <c r="G32" s="42">
        <f t="shared" si="4"/>
        <v>800</v>
      </c>
      <c r="H32" s="43">
        <f>G32*F32</f>
        <v>0.88</v>
      </c>
      <c r="I32" s="44"/>
      <c r="J32" s="45">
        <v>5.0000000000000001E-4</v>
      </c>
      <c r="K32" s="42">
        <f t="shared" si="5"/>
        <v>800</v>
      </c>
      <c r="L32" s="43">
        <f>K32*J32</f>
        <v>0.4</v>
      </c>
      <c r="M32" s="44"/>
      <c r="N32" s="47">
        <f>L32-H32</f>
        <v>-0.48</v>
      </c>
      <c r="O32" s="48">
        <f>IF((H32)=0,"",(N32/H32))</f>
        <v>-0.54545454545454541</v>
      </c>
    </row>
    <row r="33" spans="2:15">
      <c r="B33" s="52" t="s">
        <v>36</v>
      </c>
      <c r="C33" s="38"/>
      <c r="D33" s="39" t="s">
        <v>81</v>
      </c>
      <c r="E33" s="40"/>
      <c r="F33" s="41">
        <v>-4.0000000000000002E-4</v>
      </c>
      <c r="G33" s="42">
        <f t="shared" si="4"/>
        <v>800</v>
      </c>
      <c r="H33" s="43">
        <f>G33*F33</f>
        <v>-0.32</v>
      </c>
      <c r="I33" s="44"/>
      <c r="J33" s="45"/>
      <c r="K33" s="42">
        <f t="shared" si="5"/>
        <v>800</v>
      </c>
      <c r="L33" s="43">
        <f>K33*J33</f>
        <v>0</v>
      </c>
      <c r="M33" s="44"/>
      <c r="N33" s="47">
        <f>L33-H33</f>
        <v>0.32</v>
      </c>
      <c r="O33" s="48">
        <f>IF((H33)=0,"",(N33/H33))</f>
        <v>-1</v>
      </c>
    </row>
    <row r="34" spans="2:15">
      <c r="B34" s="52"/>
      <c r="C34" s="38"/>
      <c r="D34" s="39"/>
      <c r="E34" s="40"/>
      <c r="F34" s="41"/>
      <c r="G34" s="42">
        <f t="shared" si="4"/>
        <v>800</v>
      </c>
      <c r="H34" s="43">
        <f>G34*F34</f>
        <v>0</v>
      </c>
      <c r="I34" s="44"/>
      <c r="J34" s="45"/>
      <c r="K34" s="42">
        <f t="shared" si="5"/>
        <v>800</v>
      </c>
      <c r="L34" s="43">
        <f>K34*J34</f>
        <v>0</v>
      </c>
      <c r="M34" s="44"/>
      <c r="N34" s="47">
        <f>L34-H34</f>
        <v>0</v>
      </c>
      <c r="O34" s="48" t="str">
        <f>IF((H34)=0,"",(N34/H34))</f>
        <v/>
      </c>
    </row>
    <row r="35" spans="2:15">
      <c r="B35" s="53"/>
      <c r="C35" s="38"/>
      <c r="D35" s="39"/>
      <c r="E35" s="40"/>
      <c r="F35" s="41"/>
      <c r="G35" s="42">
        <f t="shared" si="4"/>
        <v>800</v>
      </c>
      <c r="H35" s="43">
        <f t="shared" si="0"/>
        <v>0</v>
      </c>
      <c r="I35" s="44"/>
      <c r="J35" s="45"/>
      <c r="K35" s="42">
        <f t="shared" si="5"/>
        <v>800</v>
      </c>
      <c r="L35" s="43">
        <f t="shared" si="1"/>
        <v>0</v>
      </c>
      <c r="M35" s="44"/>
      <c r="N35" s="47">
        <f t="shared" si="2"/>
        <v>0</v>
      </c>
      <c r="O35" s="48" t="str">
        <f t="shared" si="3"/>
        <v/>
      </c>
    </row>
    <row r="36" spans="2:15">
      <c r="B36" s="53"/>
      <c r="C36" s="38"/>
      <c r="D36" s="39"/>
      <c r="E36" s="40"/>
      <c r="F36" s="41"/>
      <c r="G36" s="42">
        <f t="shared" si="4"/>
        <v>800</v>
      </c>
      <c r="H36" s="43">
        <f t="shared" si="0"/>
        <v>0</v>
      </c>
      <c r="I36" s="44"/>
      <c r="J36" s="45"/>
      <c r="K36" s="42">
        <f t="shared" si="5"/>
        <v>800</v>
      </c>
      <c r="L36" s="43">
        <f t="shared" si="1"/>
        <v>0</v>
      </c>
      <c r="M36" s="44"/>
      <c r="N36" s="47">
        <f t="shared" si="2"/>
        <v>0</v>
      </c>
      <c r="O36" s="48" t="str">
        <f t="shared" si="3"/>
        <v/>
      </c>
    </row>
    <row r="37" spans="2:15">
      <c r="B37" s="53"/>
      <c r="C37" s="38"/>
      <c r="D37" s="39"/>
      <c r="E37" s="40"/>
      <c r="F37" s="41"/>
      <c r="G37" s="42">
        <f t="shared" si="4"/>
        <v>800</v>
      </c>
      <c r="H37" s="43">
        <f t="shared" si="0"/>
        <v>0</v>
      </c>
      <c r="I37" s="44"/>
      <c r="J37" s="45"/>
      <c r="K37" s="42">
        <f t="shared" si="5"/>
        <v>800</v>
      </c>
      <c r="L37" s="43">
        <f t="shared" si="1"/>
        <v>0</v>
      </c>
      <c r="M37" s="44"/>
      <c r="N37" s="47">
        <f t="shared" si="2"/>
        <v>0</v>
      </c>
      <c r="O37" s="48" t="str">
        <f t="shared" si="3"/>
        <v/>
      </c>
    </row>
    <row r="38" spans="2:15">
      <c r="B38" s="53"/>
      <c r="C38" s="38"/>
      <c r="D38" s="39"/>
      <c r="E38" s="40"/>
      <c r="F38" s="41"/>
      <c r="G38" s="42">
        <f t="shared" si="4"/>
        <v>800</v>
      </c>
      <c r="H38" s="43">
        <f t="shared" si="0"/>
        <v>0</v>
      </c>
      <c r="I38" s="44"/>
      <c r="J38" s="45"/>
      <c r="K38" s="42">
        <f t="shared" si="5"/>
        <v>800</v>
      </c>
      <c r="L38" s="43">
        <f t="shared" si="1"/>
        <v>0</v>
      </c>
      <c r="M38" s="44"/>
      <c r="N38" s="47">
        <f t="shared" si="2"/>
        <v>0</v>
      </c>
      <c r="O38" s="48" t="str">
        <f t="shared" si="3"/>
        <v/>
      </c>
    </row>
    <row r="39" spans="2:15" s="65" customFormat="1">
      <c r="B39" s="54" t="s">
        <v>37</v>
      </c>
      <c r="C39" s="55"/>
      <c r="D39" s="56"/>
      <c r="E39" s="55"/>
      <c r="F39" s="57"/>
      <c r="G39" s="58"/>
      <c r="H39" s="59">
        <f>SUM(H23:H38)</f>
        <v>33.840000000000003</v>
      </c>
      <c r="I39" s="60"/>
      <c r="J39" s="61"/>
      <c r="K39" s="62"/>
      <c r="L39" s="59">
        <f>SUM(L23:L38)</f>
        <v>32.93</v>
      </c>
      <c r="M39" s="60"/>
      <c r="N39" s="63">
        <f t="shared" si="2"/>
        <v>-0.91000000000000369</v>
      </c>
      <c r="O39" s="64">
        <f t="shared" si="3"/>
        <v>-2.6891252955082851E-2</v>
      </c>
    </row>
    <row r="40" spans="2:15" ht="25.5">
      <c r="B40" s="66" t="s">
        <v>38</v>
      </c>
      <c r="C40" s="38"/>
      <c r="D40" s="39"/>
      <c r="E40" s="40"/>
      <c r="F40" s="41"/>
      <c r="G40" s="42">
        <f>$F$18</f>
        <v>800</v>
      </c>
      <c r="H40" s="43">
        <f t="shared" ref="H40:H46" si="6">G40*F40</f>
        <v>0</v>
      </c>
      <c r="I40" s="44"/>
      <c r="J40" s="45">
        <v>-2.3999999999999998E-3</v>
      </c>
      <c r="K40" s="42">
        <f>$F$18</f>
        <v>800</v>
      </c>
      <c r="L40" s="43">
        <f t="shared" ref="L40:L46" si="7">K40*J40</f>
        <v>-1.92</v>
      </c>
      <c r="M40" s="44"/>
      <c r="N40" s="47">
        <f t="shared" si="2"/>
        <v>-1.92</v>
      </c>
      <c r="O40" s="48" t="str">
        <f t="shared" si="3"/>
        <v/>
      </c>
    </row>
    <row r="41" spans="2:15">
      <c r="B41" s="66" t="s">
        <v>39</v>
      </c>
      <c r="C41" s="38"/>
      <c r="D41" s="39"/>
      <c r="E41" s="40"/>
      <c r="F41" s="41"/>
      <c r="G41" s="42">
        <f>$F$18</f>
        <v>800</v>
      </c>
      <c r="H41" s="43">
        <f t="shared" si="6"/>
        <v>0</v>
      </c>
      <c r="I41" s="67"/>
      <c r="J41" s="45">
        <v>-5.9999999999999995E-4</v>
      </c>
      <c r="K41" s="42">
        <f>$F$18</f>
        <v>800</v>
      </c>
      <c r="L41" s="43">
        <f t="shared" si="7"/>
        <v>-0.48</v>
      </c>
      <c r="M41" s="68"/>
      <c r="N41" s="47">
        <f t="shared" si="2"/>
        <v>-0.48</v>
      </c>
      <c r="O41" s="48" t="str">
        <f t="shared" si="3"/>
        <v/>
      </c>
    </row>
    <row r="42" spans="2:15" ht="25.5">
      <c r="B42" s="66" t="s">
        <v>40</v>
      </c>
      <c r="C42" s="38"/>
      <c r="D42" s="39" t="s">
        <v>81</v>
      </c>
      <c r="E42" s="40"/>
      <c r="F42" s="41"/>
      <c r="G42" s="42">
        <f>$F$18</f>
        <v>800</v>
      </c>
      <c r="H42" s="43">
        <f t="shared" si="6"/>
        <v>0</v>
      </c>
      <c r="I42" s="67"/>
      <c r="J42" s="45">
        <v>0</v>
      </c>
      <c r="K42" s="42">
        <f>$F$18</f>
        <v>800</v>
      </c>
      <c r="L42" s="43">
        <f t="shared" si="7"/>
        <v>0</v>
      </c>
      <c r="M42" s="68"/>
      <c r="N42" s="47">
        <f t="shared" si="2"/>
        <v>0</v>
      </c>
      <c r="O42" s="48" t="str">
        <f t="shared" si="3"/>
        <v/>
      </c>
    </row>
    <row r="43" spans="2:15">
      <c r="B43" s="66"/>
      <c r="C43" s="38"/>
      <c r="D43" s="39"/>
      <c r="E43" s="40"/>
      <c r="F43" s="41"/>
      <c r="G43" s="42">
        <f>$F$18</f>
        <v>800</v>
      </c>
      <c r="H43" s="43">
        <f t="shared" si="6"/>
        <v>0</v>
      </c>
      <c r="I43" s="67"/>
      <c r="J43" s="45"/>
      <c r="K43" s="42">
        <f>$F$18</f>
        <v>800</v>
      </c>
      <c r="L43" s="43">
        <f t="shared" si="7"/>
        <v>0</v>
      </c>
      <c r="M43" s="68"/>
      <c r="N43" s="47">
        <f t="shared" si="2"/>
        <v>0</v>
      </c>
      <c r="O43" s="48" t="str">
        <f t="shared" si="3"/>
        <v/>
      </c>
    </row>
    <row r="44" spans="2:15">
      <c r="B44" s="69" t="s">
        <v>41</v>
      </c>
      <c r="C44" s="38"/>
      <c r="D44" s="39" t="s">
        <v>81</v>
      </c>
      <c r="E44" s="40"/>
      <c r="F44" s="41">
        <v>2.0000000000000001E-4</v>
      </c>
      <c r="G44" s="42">
        <f>$F$18</f>
        <v>800</v>
      </c>
      <c r="H44" s="43">
        <f t="shared" si="6"/>
        <v>0.16</v>
      </c>
      <c r="I44" s="44"/>
      <c r="J44" s="45">
        <v>4.0000000000000002E-4</v>
      </c>
      <c r="K44" s="42">
        <f>$F$18</f>
        <v>800</v>
      </c>
      <c r="L44" s="43">
        <f t="shared" si="7"/>
        <v>0.32</v>
      </c>
      <c r="M44" s="44"/>
      <c r="N44" s="47">
        <f t="shared" si="2"/>
        <v>0.16</v>
      </c>
      <c r="O44" s="48">
        <f t="shared" si="3"/>
        <v>1</v>
      </c>
    </row>
    <row r="45" spans="2:15">
      <c r="B45" s="69" t="s">
        <v>42</v>
      </c>
      <c r="C45" s="38"/>
      <c r="D45" s="39"/>
      <c r="E45" s="40"/>
      <c r="F45" s="70">
        <f>IF(ISBLANK(D16)=TRUE, 0, IF(D16="TOU", 0.64*$F$55+0.18*$F$56+0.18*$F$57, IF(AND(D16="non-TOU", G59&gt;0), F59,F58)))</f>
        <v>8.3919999999999995E-2</v>
      </c>
      <c r="G45" s="71">
        <f>$F$18*(1+$F$74)-$F$18</f>
        <v>8.2456000000000813</v>
      </c>
      <c r="H45" s="43">
        <f t="shared" si="6"/>
        <v>0.69197075200000679</v>
      </c>
      <c r="I45" s="44"/>
      <c r="J45" s="72">
        <f>0.64*$F$55+0.18*$F$56+0.18*$F$57</f>
        <v>8.3919999999999995E-2</v>
      </c>
      <c r="K45" s="71">
        <f>$F$18*(1+$J$74)-$F$18</f>
        <v>8.2327999999999975</v>
      </c>
      <c r="L45" s="43">
        <f t="shared" si="7"/>
        <v>0.69089657599999976</v>
      </c>
      <c r="M45" s="44"/>
      <c r="N45" s="47">
        <f t="shared" si="2"/>
        <v>-1.0741760000070322E-3</v>
      </c>
      <c r="O45" s="48">
        <f t="shared" si="3"/>
        <v>-1.5523430678281351E-3</v>
      </c>
    </row>
    <row r="46" spans="2:15">
      <c r="B46" s="69" t="s">
        <v>43</v>
      </c>
      <c r="C46" s="38"/>
      <c r="D46" s="39"/>
      <c r="E46" s="40"/>
      <c r="F46" s="70">
        <v>0.79</v>
      </c>
      <c r="G46" s="42">
        <v>1</v>
      </c>
      <c r="H46" s="43">
        <f t="shared" si="6"/>
        <v>0.79</v>
      </c>
      <c r="I46" s="44"/>
      <c r="J46" s="70">
        <v>0.79</v>
      </c>
      <c r="K46" s="42">
        <v>1</v>
      </c>
      <c r="L46" s="43">
        <f t="shared" si="7"/>
        <v>0.79</v>
      </c>
      <c r="M46" s="44"/>
      <c r="N46" s="47">
        <f t="shared" si="2"/>
        <v>0</v>
      </c>
      <c r="O46" s="48"/>
    </row>
    <row r="47" spans="2:15" ht="25.5">
      <c r="B47" s="73" t="s">
        <v>44</v>
      </c>
      <c r="C47" s="74"/>
      <c r="D47" s="74"/>
      <c r="E47" s="74"/>
      <c r="F47" s="75"/>
      <c r="G47" s="76"/>
      <c r="H47" s="77">
        <f>SUM(H40:H46)+H39</f>
        <v>35.481970752000009</v>
      </c>
      <c r="I47" s="60"/>
      <c r="J47" s="76"/>
      <c r="K47" s="78"/>
      <c r="L47" s="77">
        <f>SUM(L40:L46)+L39</f>
        <v>32.330896576000001</v>
      </c>
      <c r="M47" s="60"/>
      <c r="N47" s="63">
        <f t="shared" si="2"/>
        <v>-3.1510741760000087</v>
      </c>
      <c r="O47" s="64">
        <f t="shared" ref="O47:O65" si="8">IF((H47)=0,"",(N47/H47))</f>
        <v>-8.8807755297030458E-2</v>
      </c>
    </row>
    <row r="48" spans="2:15">
      <c r="B48" s="44" t="s">
        <v>45</v>
      </c>
      <c r="C48" s="44"/>
      <c r="D48" s="79" t="s">
        <v>81</v>
      </c>
      <c r="E48" s="80"/>
      <c r="F48" s="45">
        <v>7.1999999999999998E-3</v>
      </c>
      <c r="G48" s="90">
        <f>F18*(1+F74)</f>
        <v>808.24560000000008</v>
      </c>
      <c r="H48" s="43">
        <f>G48*F48</f>
        <v>5.8193683200000006</v>
      </c>
      <c r="I48" s="44"/>
      <c r="J48" s="45">
        <v>7.3000000000000001E-3</v>
      </c>
      <c r="K48" s="93">
        <f>F18*(1+J74)</f>
        <v>808.2328</v>
      </c>
      <c r="L48" s="43">
        <f>K48*J48</f>
        <v>5.90009944</v>
      </c>
      <c r="M48" s="44"/>
      <c r="N48" s="47">
        <f t="shared" si="2"/>
        <v>8.0731119999999379E-2</v>
      </c>
      <c r="O48" s="48">
        <f t="shared" si="8"/>
        <v>1.3872832163336823E-2</v>
      </c>
    </row>
    <row r="49" spans="2:19" ht="30">
      <c r="B49" s="83" t="s">
        <v>46</v>
      </c>
      <c r="C49" s="44"/>
      <c r="D49" s="79" t="s">
        <v>81</v>
      </c>
      <c r="E49" s="80"/>
      <c r="F49" s="45">
        <v>5.1000000000000004E-3</v>
      </c>
      <c r="G49" s="90">
        <f>G48</f>
        <v>808.24560000000008</v>
      </c>
      <c r="H49" s="43">
        <f>G49*F49</f>
        <v>4.1220525600000011</v>
      </c>
      <c r="I49" s="44"/>
      <c r="J49" s="45">
        <v>4.4999999999999997E-3</v>
      </c>
      <c r="K49" s="93">
        <f>K48</f>
        <v>808.2328</v>
      </c>
      <c r="L49" s="43">
        <f>K49*J49</f>
        <v>3.6370475999999998</v>
      </c>
      <c r="M49" s="44"/>
      <c r="N49" s="47">
        <f t="shared" si="2"/>
        <v>-0.48500496000000126</v>
      </c>
      <c r="O49" s="48">
        <f t="shared" si="8"/>
        <v>-0.1176610324444774</v>
      </c>
    </row>
    <row r="50" spans="2:19" ht="25.5">
      <c r="B50" s="73" t="s">
        <v>47</v>
      </c>
      <c r="C50" s="55"/>
      <c r="D50" s="55"/>
      <c r="E50" s="55"/>
      <c r="F50" s="84"/>
      <c r="G50" s="76"/>
      <c r="H50" s="77">
        <f>SUM(H47:H49)</f>
        <v>45.423391632000012</v>
      </c>
      <c r="I50" s="85"/>
      <c r="J50" s="86"/>
      <c r="K50" s="87"/>
      <c r="L50" s="77">
        <f>SUM(L47:L49)</f>
        <v>41.868043616000001</v>
      </c>
      <c r="M50" s="85"/>
      <c r="N50" s="63">
        <f t="shared" si="2"/>
        <v>-3.5553480160000106</v>
      </c>
      <c r="O50" s="64">
        <f t="shared" si="8"/>
        <v>-7.8271302257740871E-2</v>
      </c>
    </row>
    <row r="51" spans="2:19" ht="30">
      <c r="B51" s="88" t="s">
        <v>48</v>
      </c>
      <c r="C51" s="38"/>
      <c r="D51" s="39" t="s">
        <v>81</v>
      </c>
      <c r="E51" s="40"/>
      <c r="F51" s="89">
        <v>4.4000000000000003E-3</v>
      </c>
      <c r="G51" s="90">
        <f>G49</f>
        <v>808.24560000000008</v>
      </c>
      <c r="H51" s="91">
        <f t="shared" ref="H51:H57" si="9">G51*F51</f>
        <v>3.5562806400000007</v>
      </c>
      <c r="I51" s="44"/>
      <c r="J51" s="92">
        <v>4.4000000000000003E-3</v>
      </c>
      <c r="K51" s="93">
        <f>K49</f>
        <v>808.2328</v>
      </c>
      <c r="L51" s="91">
        <f t="shared" ref="L51:L57" si="10">K51*J51</f>
        <v>3.5562243200000001</v>
      </c>
      <c r="M51" s="44"/>
      <c r="N51" s="47">
        <f t="shared" si="2"/>
        <v>-5.6320000000553705E-5</v>
      </c>
      <c r="O51" s="94">
        <f t="shared" si="8"/>
        <v>-1.5836770407566513E-5</v>
      </c>
    </row>
    <row r="52" spans="2:19" ht="30">
      <c r="B52" s="88" t="s">
        <v>49</v>
      </c>
      <c r="C52" s="38"/>
      <c r="D52" s="39" t="s">
        <v>81</v>
      </c>
      <c r="E52" s="40"/>
      <c r="F52" s="89">
        <v>1.2999999999999999E-3</v>
      </c>
      <c r="G52" s="90">
        <f>G49</f>
        <v>808.24560000000008</v>
      </c>
      <c r="H52" s="91">
        <f t="shared" si="9"/>
        <v>1.05071928</v>
      </c>
      <c r="I52" s="44"/>
      <c r="J52" s="92">
        <v>1.2999999999999999E-3</v>
      </c>
      <c r="K52" s="93">
        <f>K49</f>
        <v>808.2328</v>
      </c>
      <c r="L52" s="91">
        <f t="shared" si="10"/>
        <v>1.0507026399999999</v>
      </c>
      <c r="M52" s="44"/>
      <c r="N52" s="47">
        <f t="shared" si="2"/>
        <v>-1.6640000000123223E-5</v>
      </c>
      <c r="O52" s="94">
        <f t="shared" si="8"/>
        <v>-1.5836770407528092E-5</v>
      </c>
    </row>
    <row r="53" spans="2:19">
      <c r="B53" s="38" t="s">
        <v>50</v>
      </c>
      <c r="C53" s="38"/>
      <c r="D53" s="39" t="s">
        <v>26</v>
      </c>
      <c r="E53" s="40"/>
      <c r="F53" s="89">
        <v>0.25</v>
      </c>
      <c r="G53" s="42">
        <v>1</v>
      </c>
      <c r="H53" s="91">
        <f t="shared" si="9"/>
        <v>0.25</v>
      </c>
      <c r="I53" s="44"/>
      <c r="J53" s="92">
        <v>0.25</v>
      </c>
      <c r="K53" s="46">
        <v>1</v>
      </c>
      <c r="L53" s="91">
        <f t="shared" si="10"/>
        <v>0.25</v>
      </c>
      <c r="M53" s="44"/>
      <c r="N53" s="47">
        <f t="shared" si="2"/>
        <v>0</v>
      </c>
      <c r="O53" s="94">
        <f t="shared" si="8"/>
        <v>0</v>
      </c>
    </row>
    <row r="54" spans="2:19">
      <c r="B54" s="38" t="s">
        <v>51</v>
      </c>
      <c r="C54" s="38"/>
      <c r="D54" s="39"/>
      <c r="E54" s="40"/>
      <c r="F54" s="89"/>
      <c r="G54" s="95">
        <f>F18</f>
        <v>800</v>
      </c>
      <c r="H54" s="91">
        <f t="shared" si="9"/>
        <v>0</v>
      </c>
      <c r="I54" s="44"/>
      <c r="J54" s="92"/>
      <c r="K54" s="96">
        <f>F18</f>
        <v>800</v>
      </c>
      <c r="L54" s="91">
        <f t="shared" si="10"/>
        <v>0</v>
      </c>
      <c r="M54" s="44"/>
      <c r="N54" s="47">
        <f t="shared" si="2"/>
        <v>0</v>
      </c>
      <c r="O54" s="94" t="str">
        <f t="shared" si="8"/>
        <v/>
      </c>
    </row>
    <row r="55" spans="2:19">
      <c r="B55" s="69" t="s">
        <v>52</v>
      </c>
      <c r="C55" s="38"/>
      <c r="D55" s="39" t="s">
        <v>81</v>
      </c>
      <c r="E55" s="40"/>
      <c r="F55" s="97">
        <v>6.7000000000000004E-2</v>
      </c>
      <c r="G55" s="98">
        <f>0.64*$F$18</f>
        <v>512</v>
      </c>
      <c r="H55" s="91">
        <f t="shared" si="9"/>
        <v>34.304000000000002</v>
      </c>
      <c r="I55" s="44"/>
      <c r="J55" s="89">
        <v>6.7000000000000004E-2</v>
      </c>
      <c r="K55" s="98">
        <f>G55</f>
        <v>512</v>
      </c>
      <c r="L55" s="91">
        <f t="shared" si="10"/>
        <v>34.304000000000002</v>
      </c>
      <c r="M55" s="44"/>
      <c r="N55" s="47">
        <f t="shared" si="2"/>
        <v>0</v>
      </c>
      <c r="O55" s="94">
        <f t="shared" si="8"/>
        <v>0</v>
      </c>
      <c r="S55" s="99"/>
    </row>
    <row r="56" spans="2:19">
      <c r="B56" s="69" t="s">
        <v>53</v>
      </c>
      <c r="C56" s="38"/>
      <c r="D56" s="39" t="s">
        <v>81</v>
      </c>
      <c r="E56" s="40"/>
      <c r="F56" s="97">
        <v>0.104</v>
      </c>
      <c r="G56" s="98">
        <f>0.18*$F$18</f>
        <v>144</v>
      </c>
      <c r="H56" s="91">
        <f t="shared" si="9"/>
        <v>14.975999999999999</v>
      </c>
      <c r="I56" s="44"/>
      <c r="J56" s="89">
        <v>0.104</v>
      </c>
      <c r="K56" s="98">
        <f>G56</f>
        <v>144</v>
      </c>
      <c r="L56" s="91">
        <f t="shared" si="10"/>
        <v>14.975999999999999</v>
      </c>
      <c r="M56" s="44"/>
      <c r="N56" s="47">
        <f t="shared" si="2"/>
        <v>0</v>
      </c>
      <c r="O56" s="94">
        <f t="shared" si="8"/>
        <v>0</v>
      </c>
      <c r="S56" s="99"/>
    </row>
    <row r="57" spans="2:19">
      <c r="B57" s="19" t="s">
        <v>54</v>
      </c>
      <c r="C57" s="38"/>
      <c r="D57" s="39" t="s">
        <v>81</v>
      </c>
      <c r="E57" s="40"/>
      <c r="F57" s="97">
        <v>0.124</v>
      </c>
      <c r="G57" s="98">
        <f>0.18*$F$18</f>
        <v>144</v>
      </c>
      <c r="H57" s="91">
        <f t="shared" si="9"/>
        <v>17.856000000000002</v>
      </c>
      <c r="I57" s="44"/>
      <c r="J57" s="89">
        <v>0.124</v>
      </c>
      <c r="K57" s="98">
        <f>G57</f>
        <v>144</v>
      </c>
      <c r="L57" s="91">
        <f t="shared" si="10"/>
        <v>17.856000000000002</v>
      </c>
      <c r="M57" s="44"/>
      <c r="N57" s="47">
        <f t="shared" si="2"/>
        <v>0</v>
      </c>
      <c r="O57" s="94">
        <f t="shared" si="8"/>
        <v>0</v>
      </c>
      <c r="S57" s="99"/>
    </row>
    <row r="58" spans="2:19" s="107" customFormat="1" ht="12.75">
      <c r="B58" s="100" t="s">
        <v>55</v>
      </c>
      <c r="C58" s="101"/>
      <c r="D58" s="102" t="s">
        <v>81</v>
      </c>
      <c r="E58" s="103"/>
      <c r="F58" s="97">
        <v>7.4999999999999997E-2</v>
      </c>
      <c r="G58" s="104">
        <f>IF(AND($T$1=1, F18&gt;=600), 600, IF(AND($T$1=1, AND(F18&lt;600, F18&gt;=0)), F18, IF(AND($T$1=2, F18&gt;=1000), 1000, IF(AND($T$1=2, AND(F18&lt;1000, F18&gt;=0)), F18))))</f>
        <v>600</v>
      </c>
      <c r="H58" s="91">
        <f>G58*F58</f>
        <v>45</v>
      </c>
      <c r="I58" s="105"/>
      <c r="J58" s="89">
        <v>7.4999999999999997E-2</v>
      </c>
      <c r="K58" s="104">
        <f>G58</f>
        <v>600</v>
      </c>
      <c r="L58" s="91">
        <f>K58*J58</f>
        <v>45</v>
      </c>
      <c r="M58" s="105"/>
      <c r="N58" s="106">
        <f t="shared" si="2"/>
        <v>0</v>
      </c>
      <c r="O58" s="94">
        <f t="shared" si="8"/>
        <v>0</v>
      </c>
    </row>
    <row r="59" spans="2:19" s="107" customFormat="1" ht="13.5" thickBot="1">
      <c r="B59" s="100" t="s">
        <v>56</v>
      </c>
      <c r="C59" s="101"/>
      <c r="D59" s="102" t="s">
        <v>81</v>
      </c>
      <c r="E59" s="103"/>
      <c r="F59" s="97">
        <v>8.7999999999999995E-2</v>
      </c>
      <c r="G59" s="104">
        <f>IF(AND($T$1=1, F18&gt;=600), F18-600, IF(AND($T$1=1, AND(F18&lt;600, F18&gt;=0)), 0, IF(AND($T$1=2, F18&gt;=1000), F18-1000, IF(AND($T$1=2, AND(F18&lt;1000, F18&gt;=0)), 0))))</f>
        <v>200</v>
      </c>
      <c r="H59" s="91">
        <f>G59*F59</f>
        <v>17.599999999999998</v>
      </c>
      <c r="I59" s="105"/>
      <c r="J59" s="89">
        <v>8.7999999999999995E-2</v>
      </c>
      <c r="K59" s="104">
        <f>G59</f>
        <v>200</v>
      </c>
      <c r="L59" s="91">
        <f>K59*J59</f>
        <v>17.599999999999998</v>
      </c>
      <c r="M59" s="105"/>
      <c r="N59" s="106">
        <f t="shared" si="2"/>
        <v>0</v>
      </c>
      <c r="O59" s="94">
        <f t="shared" si="8"/>
        <v>0</v>
      </c>
    </row>
    <row r="60" spans="2:19" ht="15.75" thickBot="1">
      <c r="B60" s="108"/>
      <c r="C60" s="109"/>
      <c r="D60" s="110"/>
      <c r="E60" s="109"/>
      <c r="F60" s="111"/>
      <c r="G60" s="112"/>
      <c r="H60" s="113"/>
      <c r="I60" s="114"/>
      <c r="J60" s="111"/>
      <c r="K60" s="115"/>
      <c r="L60" s="113"/>
      <c r="M60" s="114"/>
      <c r="N60" s="116"/>
      <c r="O60" s="117"/>
    </row>
    <row r="61" spans="2:19">
      <c r="B61" s="118" t="s">
        <v>57</v>
      </c>
      <c r="C61" s="38"/>
      <c r="D61" s="38"/>
      <c r="E61" s="38"/>
      <c r="F61" s="119"/>
      <c r="G61" s="120"/>
      <c r="H61" s="121">
        <f>SUM(H51:H57,H50)</f>
        <v>117.41639155200002</v>
      </c>
      <c r="I61" s="122"/>
      <c r="J61" s="123"/>
      <c r="K61" s="123"/>
      <c r="L61" s="121">
        <f>SUM(L51:L57,L50)</f>
        <v>113.860970576</v>
      </c>
      <c r="M61" s="124"/>
      <c r="N61" s="125">
        <f>L61-H61</f>
        <v>-3.5554209760000219</v>
      </c>
      <c r="O61" s="126">
        <f>IF((H61)=0,"",(N61/H61))</f>
        <v>-3.028044831734961E-2</v>
      </c>
      <c r="S61" s="99"/>
    </row>
    <row r="62" spans="2:19">
      <c r="B62" s="127" t="s">
        <v>58</v>
      </c>
      <c r="C62" s="38"/>
      <c r="D62" s="38"/>
      <c r="E62" s="38"/>
      <c r="F62" s="128">
        <v>0.13</v>
      </c>
      <c r="G62" s="129"/>
      <c r="H62" s="130">
        <f>H61*F62</f>
        <v>15.264130901760003</v>
      </c>
      <c r="I62" s="131"/>
      <c r="J62" s="132">
        <v>0.13</v>
      </c>
      <c r="K62" s="131"/>
      <c r="L62" s="133">
        <f>L61*J62</f>
        <v>14.80192617488</v>
      </c>
      <c r="M62" s="134"/>
      <c r="N62" s="135">
        <f t="shared" si="2"/>
        <v>-0.46220472688000314</v>
      </c>
      <c r="O62" s="136">
        <f t="shared" si="8"/>
        <v>-3.0280448317349627E-2</v>
      </c>
      <c r="S62" s="99"/>
    </row>
    <row r="63" spans="2:19">
      <c r="B63" s="137" t="s">
        <v>59</v>
      </c>
      <c r="C63" s="38"/>
      <c r="D63" s="38"/>
      <c r="E63" s="38"/>
      <c r="F63" s="138"/>
      <c r="G63" s="129"/>
      <c r="H63" s="130">
        <f>H61+H62</f>
        <v>132.68052245376003</v>
      </c>
      <c r="I63" s="131"/>
      <c r="J63" s="131"/>
      <c r="K63" s="131"/>
      <c r="L63" s="133">
        <f>L61+L62</f>
        <v>128.66289675088001</v>
      </c>
      <c r="M63" s="134"/>
      <c r="N63" s="135">
        <f t="shared" si="2"/>
        <v>-4.0176257028800251</v>
      </c>
      <c r="O63" s="136">
        <f t="shared" si="8"/>
        <v>-3.028044831734961E-2</v>
      </c>
      <c r="S63" s="99"/>
    </row>
    <row r="64" spans="2:19">
      <c r="B64" s="139" t="s">
        <v>60</v>
      </c>
      <c r="C64" s="139"/>
      <c r="D64" s="139"/>
      <c r="E64" s="38"/>
      <c r="F64" s="138"/>
      <c r="G64" s="129"/>
      <c r="H64" s="140">
        <f>ROUND(-H63*10%,2)</f>
        <v>-13.27</v>
      </c>
      <c r="I64" s="131"/>
      <c r="J64" s="131"/>
      <c r="K64" s="131"/>
      <c r="L64" s="141">
        <f>ROUND(-L63*10%,2)</f>
        <v>-12.87</v>
      </c>
      <c r="M64" s="134"/>
      <c r="N64" s="142">
        <f t="shared" si="2"/>
        <v>0.40000000000000036</v>
      </c>
      <c r="O64" s="143">
        <f t="shared" si="8"/>
        <v>-3.0143180105501158E-2</v>
      </c>
    </row>
    <row r="65" spans="1:15" ht="15.75" thickBot="1">
      <c r="B65" s="144" t="s">
        <v>61</v>
      </c>
      <c r="C65" s="144"/>
      <c r="D65" s="144"/>
      <c r="E65" s="145"/>
      <c r="F65" s="146"/>
      <c r="G65" s="147"/>
      <c r="H65" s="148">
        <f>H63+H64</f>
        <v>119.41052245376004</v>
      </c>
      <c r="I65" s="149"/>
      <c r="J65" s="149"/>
      <c r="K65" s="149"/>
      <c r="L65" s="150">
        <f>L63+L64</f>
        <v>115.79289675088</v>
      </c>
      <c r="M65" s="151"/>
      <c r="N65" s="152">
        <f t="shared" si="2"/>
        <v>-3.6176257028800336</v>
      </c>
      <c r="O65" s="153">
        <f t="shared" si="8"/>
        <v>-3.0295702828709303E-2</v>
      </c>
    </row>
    <row r="66" spans="1:15" s="107" customFormat="1" ht="13.5" thickBot="1">
      <c r="B66" s="154"/>
      <c r="C66" s="155"/>
      <c r="D66" s="156"/>
      <c r="E66" s="155"/>
      <c r="F66" s="111"/>
      <c r="G66" s="157"/>
      <c r="H66" s="113"/>
      <c r="I66" s="158"/>
      <c r="J66" s="111"/>
      <c r="K66" s="159"/>
      <c r="L66" s="113"/>
      <c r="M66" s="158"/>
      <c r="N66" s="160"/>
      <c r="O66" s="117"/>
    </row>
    <row r="67" spans="1:15" s="107" customFormat="1" ht="12.75">
      <c r="B67" s="161" t="s">
        <v>62</v>
      </c>
      <c r="C67" s="101"/>
      <c r="D67" s="101"/>
      <c r="E67" s="101"/>
      <c r="F67" s="162"/>
      <c r="G67" s="163"/>
      <c r="H67" s="164">
        <f>SUM(H58:H59,H50,H51:H54)</f>
        <v>112.88039155199999</v>
      </c>
      <c r="I67" s="165"/>
      <c r="J67" s="166"/>
      <c r="K67" s="166"/>
      <c r="L67" s="164">
        <f>SUM(L58:L59,L50,L51:L54)</f>
        <v>109.32497057599998</v>
      </c>
      <c r="M67" s="167"/>
      <c r="N67" s="168">
        <f>L67-H67</f>
        <v>-3.5554209760000077</v>
      </c>
      <c r="O67" s="126">
        <f>IF((H67)=0,"",(N67/H67))</f>
        <v>-3.1497241700850685E-2</v>
      </c>
    </row>
    <row r="68" spans="1:15" s="107" customFormat="1" ht="12.75">
      <c r="B68" s="169" t="s">
        <v>58</v>
      </c>
      <c r="C68" s="101"/>
      <c r="D68" s="101"/>
      <c r="E68" s="101"/>
      <c r="F68" s="170">
        <v>0.13</v>
      </c>
      <c r="G68" s="163"/>
      <c r="H68" s="171">
        <f>H67*F68</f>
        <v>14.67445090176</v>
      </c>
      <c r="I68" s="172"/>
      <c r="J68" s="173">
        <v>0.13</v>
      </c>
      <c r="K68" s="174"/>
      <c r="L68" s="175">
        <f>L67*J68</f>
        <v>14.212246174879999</v>
      </c>
      <c r="M68" s="176"/>
      <c r="N68" s="177">
        <f>L68-H68</f>
        <v>-0.46220472688000136</v>
      </c>
      <c r="O68" s="136">
        <f>IF((H68)=0,"",(N68/H68))</f>
        <v>-3.1497241700850706E-2</v>
      </c>
    </row>
    <row r="69" spans="1:15" s="107" customFormat="1" ht="12.75">
      <c r="B69" s="178" t="s">
        <v>59</v>
      </c>
      <c r="C69" s="101"/>
      <c r="D69" s="101"/>
      <c r="E69" s="101"/>
      <c r="F69" s="179"/>
      <c r="G69" s="180"/>
      <c r="H69" s="171">
        <f>H67+H68</f>
        <v>127.55484245375999</v>
      </c>
      <c r="I69" s="172"/>
      <c r="J69" s="172"/>
      <c r="K69" s="172"/>
      <c r="L69" s="175">
        <f>L67+L68</f>
        <v>123.53721675087998</v>
      </c>
      <c r="M69" s="176"/>
      <c r="N69" s="177">
        <f>L69-H69</f>
        <v>-4.0176257028800109</v>
      </c>
      <c r="O69" s="136">
        <f>IF((H69)=0,"",(N69/H69))</f>
        <v>-3.1497241700850706E-2</v>
      </c>
    </row>
    <row r="70" spans="1:15" s="107" customFormat="1" ht="12.75">
      <c r="B70" s="181" t="s">
        <v>60</v>
      </c>
      <c r="C70" s="181"/>
      <c r="D70" s="181"/>
      <c r="E70" s="101"/>
      <c r="F70" s="179"/>
      <c r="G70" s="180"/>
      <c r="H70" s="182">
        <f>ROUND(-H69*10%,2)</f>
        <v>-12.76</v>
      </c>
      <c r="I70" s="172"/>
      <c r="J70" s="172"/>
      <c r="K70" s="172"/>
      <c r="L70" s="183">
        <f>ROUND(-L69*10%,2)</f>
        <v>-12.35</v>
      </c>
      <c r="M70" s="176"/>
      <c r="N70" s="184">
        <f>L70-H70</f>
        <v>0.41000000000000014</v>
      </c>
      <c r="O70" s="143">
        <f>IF((H70)=0,"",(N70/H70))</f>
        <v>-3.2131661442006285E-2</v>
      </c>
    </row>
    <row r="71" spans="1:15" s="107" customFormat="1" ht="13.5" thickBot="1">
      <c r="B71" s="185" t="s">
        <v>63</v>
      </c>
      <c r="C71" s="185"/>
      <c r="D71" s="185"/>
      <c r="E71" s="186"/>
      <c r="F71" s="187"/>
      <c r="G71" s="188"/>
      <c r="H71" s="189">
        <f>SUM(H69:H70)</f>
        <v>114.79484245375998</v>
      </c>
      <c r="I71" s="190"/>
      <c r="J71" s="190"/>
      <c r="K71" s="190"/>
      <c r="L71" s="191">
        <f>SUM(L69:L70)</f>
        <v>111.18721675087998</v>
      </c>
      <c r="M71" s="192"/>
      <c r="N71" s="193">
        <f>L71-H71</f>
        <v>-3.6076257028800001</v>
      </c>
      <c r="O71" s="194">
        <f>IF((H71)=0,"",(N71/H71))</f>
        <v>-3.1426722888993661E-2</v>
      </c>
    </row>
    <row r="72" spans="1:15" s="107" customFormat="1" ht="13.5" thickBot="1">
      <c r="B72" s="154"/>
      <c r="C72" s="155"/>
      <c r="D72" s="156"/>
      <c r="E72" s="155"/>
      <c r="F72" s="195"/>
      <c r="G72" s="196"/>
      <c r="H72" s="197"/>
      <c r="I72" s="198"/>
      <c r="J72" s="195"/>
      <c r="K72" s="157"/>
      <c r="L72" s="199"/>
      <c r="M72" s="158"/>
      <c r="N72" s="200"/>
      <c r="O72" s="117"/>
    </row>
    <row r="73" spans="1:15">
      <c r="L73" s="99"/>
    </row>
    <row r="74" spans="1:15">
      <c r="B74" s="20" t="s">
        <v>64</v>
      </c>
      <c r="F74" s="205">
        <v>1.0307E-2</v>
      </c>
      <c r="J74" s="201">
        <v>1.0291E-2</v>
      </c>
    </row>
    <row r="76" spans="1:15">
      <c r="A76" s="202" t="s">
        <v>65</v>
      </c>
    </row>
    <row r="78" spans="1:15">
      <c r="A78" s="12" t="s">
        <v>66</v>
      </c>
    </row>
    <row r="79" spans="1:15">
      <c r="A79" s="12" t="s">
        <v>67</v>
      </c>
    </row>
    <row r="81" spans="1:2">
      <c r="A81" s="19" t="s">
        <v>68</v>
      </c>
    </row>
    <row r="82" spans="1:2">
      <c r="A82" s="19" t="s">
        <v>69</v>
      </c>
    </row>
    <row r="84" spans="1:2">
      <c r="A84" s="12" t="s">
        <v>70</v>
      </c>
    </row>
    <row r="85" spans="1:2">
      <c r="A85" s="12" t="s">
        <v>71</v>
      </c>
    </row>
    <row r="86" spans="1:2">
      <c r="A86" s="12" t="s">
        <v>72</v>
      </c>
    </row>
    <row r="87" spans="1:2">
      <c r="A87" s="12" t="s">
        <v>73</v>
      </c>
    </row>
    <row r="88" spans="1:2">
      <c r="A88" s="12" t="s">
        <v>74</v>
      </c>
    </row>
    <row r="90" spans="1:2">
      <c r="A90" s="203"/>
      <c r="B90" s="12" t="s">
        <v>75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E48:E49 E40:E46 E23:E38 E51:E57 E60">
      <formula1>#REF!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90"/>
  <sheetViews>
    <sheetView workbookViewId="0">
      <selection activeCell="F33" sqref="F33"/>
    </sheetView>
  </sheetViews>
  <sheetFormatPr defaultRowHeight="15"/>
  <cols>
    <col min="1" max="1" width="2.140625" style="12" customWidth="1"/>
    <col min="2" max="2" width="26.5703125" style="12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0.425781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11.85546875" style="12" customWidth="1"/>
    <col min="13" max="13" width="2.85546875" style="12" customWidth="1"/>
    <col min="14" max="14" width="12.7109375" style="12" bestFit="1" customWidth="1"/>
    <col min="15" max="15" width="10.85546875" style="12" bestFit="1" customWidth="1"/>
    <col min="16" max="16" width="3.85546875" style="12" customWidth="1"/>
    <col min="17" max="19" width="9.140625" style="12"/>
    <col min="20" max="20" width="9.140625" style="12" customWidth="1"/>
    <col min="21" max="16384" width="9.140625" style="12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EBNUMBER</f>
        <v>EB 2014 0073</v>
      </c>
      <c r="P1"/>
      <c r="T1" s="2">
        <v>1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8</v>
      </c>
      <c r="P2"/>
    </row>
    <row r="3" spans="1:20" s="2" customFormat="1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 t="s">
        <v>2</v>
      </c>
      <c r="O3" s="6">
        <v>12</v>
      </c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8"/>
      <c r="J4" s="8"/>
      <c r="K4" s="8"/>
      <c r="N4" s="3" t="s">
        <v>3</v>
      </c>
      <c r="O4" s="6">
        <v>1</v>
      </c>
      <c r="P4"/>
    </row>
    <row r="5" spans="1:20" s="2" customFormat="1" ht="15" customHeight="1">
      <c r="C5" s="9"/>
      <c r="D5" s="9"/>
      <c r="E5" s="9"/>
      <c r="N5" s="3" t="s">
        <v>4</v>
      </c>
      <c r="O5" s="10">
        <v>1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1">
        <v>41754</v>
      </c>
      <c r="P7"/>
    </row>
    <row r="8" spans="1:20" s="2" customFormat="1" ht="15" customHeight="1">
      <c r="N8" s="12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13" t="s">
        <v>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/>
    </row>
    <row r="11" spans="1:20" ht="18.75" customHeight="1">
      <c r="B11" s="13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4" t="s">
        <v>8</v>
      </c>
      <c r="D14" s="15" t="s">
        <v>82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0" ht="7.5" customHeight="1">
      <c r="B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20" ht="15.75">
      <c r="B16" s="14" t="s">
        <v>10</v>
      </c>
      <c r="D16" s="18" t="s">
        <v>79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15.75">
      <c r="B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2:15">
      <c r="B18" s="19"/>
      <c r="D18" s="20" t="s">
        <v>13</v>
      </c>
      <c r="E18" s="20"/>
      <c r="F18" s="204">
        <v>2000</v>
      </c>
      <c r="G18" s="20" t="s">
        <v>80</v>
      </c>
    </row>
    <row r="19" spans="2:15">
      <c r="B19" s="19"/>
    </row>
    <row r="20" spans="2:15">
      <c r="B20" s="19"/>
      <c r="D20" s="22"/>
      <c r="E20" s="22"/>
      <c r="F20" s="23" t="s">
        <v>15</v>
      </c>
      <c r="G20" s="24"/>
      <c r="H20" s="25"/>
      <c r="J20" s="23" t="s">
        <v>16</v>
      </c>
      <c r="K20" s="24"/>
      <c r="L20" s="25"/>
      <c r="N20" s="23" t="s">
        <v>17</v>
      </c>
      <c r="O20" s="25"/>
    </row>
    <row r="21" spans="2:15">
      <c r="B21" s="19"/>
      <c r="D21" s="26" t="s">
        <v>18</v>
      </c>
      <c r="E21" s="27"/>
      <c r="F21" s="28" t="s">
        <v>19</v>
      </c>
      <c r="G21" s="28" t="s">
        <v>20</v>
      </c>
      <c r="H21" s="29" t="s">
        <v>21</v>
      </c>
      <c r="J21" s="28" t="s">
        <v>19</v>
      </c>
      <c r="K21" s="30" t="s">
        <v>20</v>
      </c>
      <c r="L21" s="29" t="s">
        <v>21</v>
      </c>
      <c r="N21" s="31" t="s">
        <v>22</v>
      </c>
      <c r="O21" s="32" t="s">
        <v>23</v>
      </c>
    </row>
    <row r="22" spans="2:15">
      <c r="B22" s="19"/>
      <c r="D22" s="33"/>
      <c r="E22" s="27"/>
      <c r="F22" s="34" t="s">
        <v>24</v>
      </c>
      <c r="G22" s="34"/>
      <c r="H22" s="35" t="s">
        <v>24</v>
      </c>
      <c r="J22" s="34" t="s">
        <v>24</v>
      </c>
      <c r="K22" s="35"/>
      <c r="L22" s="35" t="s">
        <v>24</v>
      </c>
      <c r="N22" s="36"/>
      <c r="O22" s="37"/>
    </row>
    <row r="23" spans="2:15">
      <c r="B23" s="38" t="s">
        <v>25</v>
      </c>
      <c r="C23" s="38"/>
      <c r="D23" s="39" t="s">
        <v>26</v>
      </c>
      <c r="E23" s="40"/>
      <c r="F23" s="41">
        <v>29.44</v>
      </c>
      <c r="G23" s="42">
        <v>1</v>
      </c>
      <c r="H23" s="43">
        <f>G23*F23</f>
        <v>29.44</v>
      </c>
      <c r="I23" s="44"/>
      <c r="J23" s="45">
        <v>32.5</v>
      </c>
      <c r="K23" s="46">
        <v>1</v>
      </c>
      <c r="L23" s="43">
        <f>K23*J23</f>
        <v>32.5</v>
      </c>
      <c r="M23" s="44"/>
      <c r="N23" s="47">
        <f>L23-H23</f>
        <v>3.0599999999999987</v>
      </c>
      <c r="O23" s="48">
        <f>IF((H23)=0,"",(N23/H23))</f>
        <v>0.1039402173913043</v>
      </c>
    </row>
    <row r="24" spans="2:15">
      <c r="B24" s="38" t="s">
        <v>27</v>
      </c>
      <c r="C24" s="38"/>
      <c r="D24" s="39" t="s">
        <v>26</v>
      </c>
      <c r="E24" s="40"/>
      <c r="F24" s="41"/>
      <c r="G24" s="42">
        <v>1</v>
      </c>
      <c r="H24" s="43">
        <f t="shared" ref="H24:H38" si="0">G24*F24</f>
        <v>0</v>
      </c>
      <c r="I24" s="44"/>
      <c r="J24" s="45"/>
      <c r="K24" s="46">
        <v>1</v>
      </c>
      <c r="L24" s="43">
        <f>K24*J24</f>
        <v>0</v>
      </c>
      <c r="M24" s="44"/>
      <c r="N24" s="47">
        <f>L24-H24</f>
        <v>0</v>
      </c>
      <c r="O24" s="48" t="str">
        <f>IF((H24)=0,"",(N24/H24))</f>
        <v/>
      </c>
    </row>
    <row r="25" spans="2:15">
      <c r="B25" s="49" t="s">
        <v>28</v>
      </c>
      <c r="C25" s="38"/>
      <c r="D25" s="39" t="s">
        <v>26</v>
      </c>
      <c r="E25" s="40"/>
      <c r="F25" s="41">
        <v>1.93</v>
      </c>
      <c r="G25" s="42">
        <v>1</v>
      </c>
      <c r="H25" s="43">
        <f t="shared" si="0"/>
        <v>1.93</v>
      </c>
      <c r="I25" s="44"/>
      <c r="J25" s="45"/>
      <c r="K25" s="46">
        <v>1</v>
      </c>
      <c r="L25" s="43">
        <f t="shared" ref="L25:L38" si="1">K25*J25</f>
        <v>0</v>
      </c>
      <c r="M25" s="44"/>
      <c r="N25" s="47">
        <f t="shared" ref="N25:N65" si="2">L25-H25</f>
        <v>-1.93</v>
      </c>
      <c r="O25" s="48">
        <f t="shared" ref="O25:O45" si="3">IF((H25)=0,"",(N25/H25))</f>
        <v>-1</v>
      </c>
    </row>
    <row r="26" spans="2:15">
      <c r="B26" s="49" t="s">
        <v>29</v>
      </c>
      <c r="C26" s="38"/>
      <c r="D26" s="50" t="s">
        <v>26</v>
      </c>
      <c r="E26" s="40"/>
      <c r="F26" s="41">
        <v>4.72</v>
      </c>
      <c r="G26" s="42">
        <v>1</v>
      </c>
      <c r="H26" s="43">
        <f t="shared" si="0"/>
        <v>4.72</v>
      </c>
      <c r="I26" s="44"/>
      <c r="J26" s="45"/>
      <c r="K26" s="46">
        <v>1</v>
      </c>
      <c r="L26" s="43">
        <f t="shared" si="1"/>
        <v>0</v>
      </c>
      <c r="M26" s="44"/>
      <c r="N26" s="47">
        <f t="shared" si="2"/>
        <v>-4.72</v>
      </c>
      <c r="O26" s="48">
        <f t="shared" si="3"/>
        <v>-1</v>
      </c>
    </row>
    <row r="27" spans="2:15">
      <c r="B27" s="49" t="s">
        <v>30</v>
      </c>
      <c r="C27" s="38"/>
      <c r="D27" s="39" t="s">
        <v>26</v>
      </c>
      <c r="E27" s="40"/>
      <c r="F27" s="41"/>
      <c r="G27" s="42">
        <v>1</v>
      </c>
      <c r="H27" s="43">
        <f t="shared" si="0"/>
        <v>0</v>
      </c>
      <c r="I27" s="44"/>
      <c r="J27" s="45">
        <v>1.53</v>
      </c>
      <c r="K27" s="46">
        <v>1</v>
      </c>
      <c r="L27" s="43">
        <f t="shared" si="1"/>
        <v>1.53</v>
      </c>
      <c r="M27" s="44"/>
      <c r="N27" s="47">
        <f t="shared" si="2"/>
        <v>1.53</v>
      </c>
      <c r="O27" s="48" t="str">
        <f t="shared" si="3"/>
        <v/>
      </c>
    </row>
    <row r="28" spans="2:15">
      <c r="B28" s="51"/>
      <c r="C28" s="38"/>
      <c r="D28" s="39"/>
      <c r="E28" s="40"/>
      <c r="F28" s="41"/>
      <c r="G28" s="42">
        <v>1</v>
      </c>
      <c r="H28" s="43">
        <f t="shared" si="0"/>
        <v>0</v>
      </c>
      <c r="I28" s="44"/>
      <c r="J28" s="45"/>
      <c r="K28" s="46">
        <v>1</v>
      </c>
      <c r="L28" s="43">
        <f t="shared" si="1"/>
        <v>0</v>
      </c>
      <c r="M28" s="44"/>
      <c r="N28" s="47">
        <f t="shared" si="2"/>
        <v>0</v>
      </c>
      <c r="O28" s="48" t="str">
        <f t="shared" si="3"/>
        <v/>
      </c>
    </row>
    <row r="29" spans="2:15">
      <c r="B29" s="38" t="s">
        <v>31</v>
      </c>
      <c r="C29" s="38"/>
      <c r="D29" s="39" t="s">
        <v>81</v>
      </c>
      <c r="E29" s="40"/>
      <c r="F29" s="41">
        <v>1.49E-2</v>
      </c>
      <c r="G29" s="42">
        <f t="shared" ref="G29:G38" si="4">$F$18</f>
        <v>2000</v>
      </c>
      <c r="H29" s="43">
        <f t="shared" si="0"/>
        <v>29.8</v>
      </c>
      <c r="I29" s="44"/>
      <c r="J29" s="45">
        <v>1.6400000000000001E-2</v>
      </c>
      <c r="K29" s="42">
        <f>$F$18</f>
        <v>2000</v>
      </c>
      <c r="L29" s="43">
        <f t="shared" si="1"/>
        <v>32.800000000000004</v>
      </c>
      <c r="M29" s="44"/>
      <c r="N29" s="47">
        <f t="shared" si="2"/>
        <v>3.0000000000000036</v>
      </c>
      <c r="O29" s="48">
        <f t="shared" si="3"/>
        <v>0.10067114093959743</v>
      </c>
    </row>
    <row r="30" spans="2:15">
      <c r="B30" s="38" t="s">
        <v>33</v>
      </c>
      <c r="C30" s="38"/>
      <c r="D30" s="39"/>
      <c r="E30" s="40"/>
      <c r="F30" s="41"/>
      <c r="G30" s="42">
        <f t="shared" si="4"/>
        <v>2000</v>
      </c>
      <c r="H30" s="43">
        <f t="shared" si="0"/>
        <v>0</v>
      </c>
      <c r="I30" s="44"/>
      <c r="J30" s="45"/>
      <c r="K30" s="42">
        <f t="shared" ref="K30:K38" si="5">$F$18</f>
        <v>2000</v>
      </c>
      <c r="L30" s="43">
        <f t="shared" si="1"/>
        <v>0</v>
      </c>
      <c r="M30" s="44"/>
      <c r="N30" s="47">
        <f t="shared" si="2"/>
        <v>0</v>
      </c>
      <c r="O30" s="48" t="str">
        <f t="shared" si="3"/>
        <v/>
      </c>
    </row>
    <row r="31" spans="2:15">
      <c r="B31" s="38" t="s">
        <v>34</v>
      </c>
      <c r="C31" s="38"/>
      <c r="D31" s="39"/>
      <c r="E31" s="40"/>
      <c r="F31" s="41"/>
      <c r="G31" s="42">
        <f t="shared" si="4"/>
        <v>2000</v>
      </c>
      <c r="H31" s="43">
        <f t="shared" si="0"/>
        <v>0</v>
      </c>
      <c r="I31" s="44"/>
      <c r="J31" s="45"/>
      <c r="K31" s="42">
        <f t="shared" si="5"/>
        <v>2000</v>
      </c>
      <c r="L31" s="43">
        <f t="shared" si="1"/>
        <v>0</v>
      </c>
      <c r="M31" s="44"/>
      <c r="N31" s="47">
        <f t="shared" si="2"/>
        <v>0</v>
      </c>
      <c r="O31" s="48" t="str">
        <f t="shared" si="3"/>
        <v/>
      </c>
    </row>
    <row r="32" spans="2:15">
      <c r="B32" s="52" t="s">
        <v>35</v>
      </c>
      <c r="C32" s="38"/>
      <c r="D32" s="39" t="s">
        <v>81</v>
      </c>
      <c r="E32" s="40"/>
      <c r="F32" s="41">
        <v>1E-3</v>
      </c>
      <c r="G32" s="42">
        <f t="shared" si="4"/>
        <v>2000</v>
      </c>
      <c r="H32" s="43">
        <f>G32*F32</f>
        <v>2</v>
      </c>
      <c r="I32" s="44"/>
      <c r="J32" s="45">
        <v>5.0000000000000001E-4</v>
      </c>
      <c r="K32" s="42">
        <f t="shared" si="5"/>
        <v>2000</v>
      </c>
      <c r="L32" s="43">
        <f>K32*J32</f>
        <v>1</v>
      </c>
      <c r="M32" s="44"/>
      <c r="N32" s="47">
        <f>L32-H32</f>
        <v>-1</v>
      </c>
      <c r="O32" s="48">
        <f>IF((H32)=0,"",(N32/H32))</f>
        <v>-0.5</v>
      </c>
    </row>
    <row r="33" spans="2:15">
      <c r="B33" s="52" t="s">
        <v>36</v>
      </c>
      <c r="C33" s="38"/>
      <c r="D33" s="39" t="s">
        <v>81</v>
      </c>
      <c r="E33" s="40"/>
      <c r="F33" s="41">
        <v>-2.9999999999999997E-4</v>
      </c>
      <c r="G33" s="42">
        <f t="shared" si="4"/>
        <v>2000</v>
      </c>
      <c r="H33" s="43">
        <f>G33*F33</f>
        <v>-0.6</v>
      </c>
      <c r="I33" s="44"/>
      <c r="J33" s="45"/>
      <c r="K33" s="42">
        <f t="shared" si="5"/>
        <v>2000</v>
      </c>
      <c r="L33" s="43">
        <f>K33*J33</f>
        <v>0</v>
      </c>
      <c r="M33" s="44"/>
      <c r="N33" s="47">
        <f>L33-H33</f>
        <v>0.6</v>
      </c>
      <c r="O33" s="48">
        <f>IF((H33)=0,"",(N33/H33))</f>
        <v>-1</v>
      </c>
    </row>
    <row r="34" spans="2:15">
      <c r="B34" s="52"/>
      <c r="C34" s="38"/>
      <c r="D34" s="39"/>
      <c r="E34" s="40"/>
      <c r="F34" s="41"/>
      <c r="G34" s="42">
        <f t="shared" si="4"/>
        <v>2000</v>
      </c>
      <c r="H34" s="43">
        <f>G34*F34</f>
        <v>0</v>
      </c>
      <c r="I34" s="44"/>
      <c r="J34" s="45"/>
      <c r="K34" s="42">
        <f t="shared" si="5"/>
        <v>2000</v>
      </c>
      <c r="L34" s="43">
        <f>K34*J34</f>
        <v>0</v>
      </c>
      <c r="M34" s="44"/>
      <c r="N34" s="47">
        <f>L34-H34</f>
        <v>0</v>
      </c>
      <c r="O34" s="48" t="str">
        <f>IF((H34)=0,"",(N34/H34))</f>
        <v/>
      </c>
    </row>
    <row r="35" spans="2:15">
      <c r="B35" s="53"/>
      <c r="C35" s="38"/>
      <c r="D35" s="39"/>
      <c r="E35" s="40"/>
      <c r="F35" s="41"/>
      <c r="G35" s="42">
        <f t="shared" si="4"/>
        <v>2000</v>
      </c>
      <c r="H35" s="43">
        <f t="shared" si="0"/>
        <v>0</v>
      </c>
      <c r="I35" s="44"/>
      <c r="J35" s="45"/>
      <c r="K35" s="42">
        <f t="shared" si="5"/>
        <v>2000</v>
      </c>
      <c r="L35" s="43">
        <f t="shared" si="1"/>
        <v>0</v>
      </c>
      <c r="M35" s="44"/>
      <c r="N35" s="47">
        <f t="shared" si="2"/>
        <v>0</v>
      </c>
      <c r="O35" s="48" t="str">
        <f t="shared" si="3"/>
        <v/>
      </c>
    </row>
    <row r="36" spans="2:15">
      <c r="B36" s="53"/>
      <c r="C36" s="38"/>
      <c r="D36" s="39"/>
      <c r="E36" s="40"/>
      <c r="F36" s="41"/>
      <c r="G36" s="42">
        <f t="shared" si="4"/>
        <v>2000</v>
      </c>
      <c r="H36" s="43">
        <f t="shared" si="0"/>
        <v>0</v>
      </c>
      <c r="I36" s="44"/>
      <c r="J36" s="45"/>
      <c r="K36" s="42">
        <f t="shared" si="5"/>
        <v>2000</v>
      </c>
      <c r="L36" s="43">
        <f t="shared" si="1"/>
        <v>0</v>
      </c>
      <c r="M36" s="44"/>
      <c r="N36" s="47">
        <f t="shared" si="2"/>
        <v>0</v>
      </c>
      <c r="O36" s="48" t="str">
        <f t="shared" si="3"/>
        <v/>
      </c>
    </row>
    <row r="37" spans="2:15">
      <c r="B37" s="53"/>
      <c r="C37" s="38"/>
      <c r="D37" s="39"/>
      <c r="E37" s="40"/>
      <c r="F37" s="41"/>
      <c r="G37" s="42">
        <f t="shared" si="4"/>
        <v>2000</v>
      </c>
      <c r="H37" s="43">
        <f t="shared" si="0"/>
        <v>0</v>
      </c>
      <c r="I37" s="44"/>
      <c r="J37" s="45"/>
      <c r="K37" s="42">
        <f t="shared" si="5"/>
        <v>2000</v>
      </c>
      <c r="L37" s="43">
        <f t="shared" si="1"/>
        <v>0</v>
      </c>
      <c r="M37" s="44"/>
      <c r="N37" s="47">
        <f t="shared" si="2"/>
        <v>0</v>
      </c>
      <c r="O37" s="48" t="str">
        <f t="shared" si="3"/>
        <v/>
      </c>
    </row>
    <row r="38" spans="2:15">
      <c r="B38" s="53"/>
      <c r="C38" s="38"/>
      <c r="D38" s="39"/>
      <c r="E38" s="40"/>
      <c r="F38" s="41"/>
      <c r="G38" s="42">
        <f t="shared" si="4"/>
        <v>2000</v>
      </c>
      <c r="H38" s="43">
        <f t="shared" si="0"/>
        <v>0</v>
      </c>
      <c r="I38" s="44"/>
      <c r="J38" s="45"/>
      <c r="K38" s="42">
        <f t="shared" si="5"/>
        <v>2000</v>
      </c>
      <c r="L38" s="43">
        <f t="shared" si="1"/>
        <v>0</v>
      </c>
      <c r="M38" s="44"/>
      <c r="N38" s="47">
        <f t="shared" si="2"/>
        <v>0</v>
      </c>
      <c r="O38" s="48" t="str">
        <f t="shared" si="3"/>
        <v/>
      </c>
    </row>
    <row r="39" spans="2:15" s="65" customFormat="1">
      <c r="B39" s="54" t="s">
        <v>37</v>
      </c>
      <c r="C39" s="55"/>
      <c r="D39" s="56"/>
      <c r="E39" s="55"/>
      <c r="F39" s="57"/>
      <c r="G39" s="58"/>
      <c r="H39" s="59">
        <f>SUM(H23:H38)</f>
        <v>67.290000000000006</v>
      </c>
      <c r="I39" s="60"/>
      <c r="J39" s="61"/>
      <c r="K39" s="62"/>
      <c r="L39" s="59">
        <f>SUM(L23:L38)</f>
        <v>67.830000000000013</v>
      </c>
      <c r="M39" s="60"/>
      <c r="N39" s="63">
        <f t="shared" si="2"/>
        <v>0.54000000000000625</v>
      </c>
      <c r="O39" s="64">
        <f t="shared" si="3"/>
        <v>8.0249665626394139E-3</v>
      </c>
    </row>
    <row r="40" spans="2:15" ht="25.5">
      <c r="B40" s="66" t="s">
        <v>38</v>
      </c>
      <c r="C40" s="38"/>
      <c r="D40" s="39"/>
      <c r="E40" s="40"/>
      <c r="F40" s="41"/>
      <c r="G40" s="42">
        <f>$F$18</f>
        <v>2000</v>
      </c>
      <c r="H40" s="43">
        <f t="shared" ref="H40:H46" si="6">G40*F40</f>
        <v>0</v>
      </c>
      <c r="I40" s="44"/>
      <c r="J40" s="45">
        <v>-1.8E-3</v>
      </c>
      <c r="K40" s="42">
        <f>$F$18</f>
        <v>2000</v>
      </c>
      <c r="L40" s="43">
        <f t="shared" ref="L40:L46" si="7">K40*J40</f>
        <v>-3.6</v>
      </c>
      <c r="M40" s="44"/>
      <c r="N40" s="47">
        <f t="shared" si="2"/>
        <v>-3.6</v>
      </c>
      <c r="O40" s="48" t="str">
        <f t="shared" si="3"/>
        <v/>
      </c>
    </row>
    <row r="41" spans="2:15">
      <c r="B41" s="66" t="s">
        <v>39</v>
      </c>
      <c r="C41" s="38"/>
      <c r="D41" s="39"/>
      <c r="E41" s="40"/>
      <c r="F41" s="41"/>
      <c r="G41" s="42">
        <f>$F$18</f>
        <v>2000</v>
      </c>
      <c r="H41" s="43">
        <f t="shared" si="6"/>
        <v>0</v>
      </c>
      <c r="I41" s="67"/>
      <c r="J41" s="45">
        <v>-5.9999999999999995E-4</v>
      </c>
      <c r="K41" s="42">
        <f>$F$18</f>
        <v>2000</v>
      </c>
      <c r="L41" s="43">
        <f t="shared" si="7"/>
        <v>-1.2</v>
      </c>
      <c r="M41" s="68"/>
      <c r="N41" s="47">
        <f t="shared" si="2"/>
        <v>-1.2</v>
      </c>
      <c r="O41" s="48" t="str">
        <f t="shared" si="3"/>
        <v/>
      </c>
    </row>
    <row r="42" spans="2:15" ht="25.5">
      <c r="B42" s="66" t="s">
        <v>40</v>
      </c>
      <c r="C42" s="38"/>
      <c r="D42" s="39" t="s">
        <v>81</v>
      </c>
      <c r="E42" s="40"/>
      <c r="F42" s="41"/>
      <c r="G42" s="42">
        <f>$F$18</f>
        <v>2000</v>
      </c>
      <c r="H42" s="43">
        <f t="shared" si="6"/>
        <v>0</v>
      </c>
      <c r="I42" s="67"/>
      <c r="J42" s="45"/>
      <c r="K42" s="42">
        <f>$F$18</f>
        <v>2000</v>
      </c>
      <c r="L42" s="43">
        <f t="shared" si="7"/>
        <v>0</v>
      </c>
      <c r="M42" s="68"/>
      <c r="N42" s="47">
        <f t="shared" si="2"/>
        <v>0</v>
      </c>
      <c r="O42" s="48" t="str">
        <f t="shared" si="3"/>
        <v/>
      </c>
    </row>
    <row r="43" spans="2:15">
      <c r="B43" s="66"/>
      <c r="C43" s="38"/>
      <c r="D43" s="39"/>
      <c r="E43" s="40"/>
      <c r="F43" s="41"/>
      <c r="G43" s="42">
        <f>$F$18</f>
        <v>2000</v>
      </c>
      <c r="H43" s="43">
        <f t="shared" si="6"/>
        <v>0</v>
      </c>
      <c r="I43" s="67"/>
      <c r="J43" s="45"/>
      <c r="K43" s="42">
        <f>$F$18</f>
        <v>2000</v>
      </c>
      <c r="L43" s="43">
        <f t="shared" si="7"/>
        <v>0</v>
      </c>
      <c r="M43" s="68"/>
      <c r="N43" s="47">
        <f t="shared" si="2"/>
        <v>0</v>
      </c>
      <c r="O43" s="48" t="str">
        <f t="shared" si="3"/>
        <v/>
      </c>
    </row>
    <row r="44" spans="2:15">
      <c r="B44" s="69" t="s">
        <v>41</v>
      </c>
      <c r="C44" s="38"/>
      <c r="D44" s="39" t="s">
        <v>81</v>
      </c>
      <c r="E44" s="40"/>
      <c r="F44" s="41">
        <v>2.0000000000000001E-4</v>
      </c>
      <c r="G44" s="42">
        <f>$F$18</f>
        <v>2000</v>
      </c>
      <c r="H44" s="43">
        <f t="shared" si="6"/>
        <v>0.4</v>
      </c>
      <c r="I44" s="44"/>
      <c r="J44" s="45">
        <v>2.9999999999999997E-4</v>
      </c>
      <c r="K44" s="42">
        <f>$F$18</f>
        <v>2000</v>
      </c>
      <c r="L44" s="43">
        <f t="shared" si="7"/>
        <v>0.6</v>
      </c>
      <c r="M44" s="44"/>
      <c r="N44" s="47">
        <f t="shared" si="2"/>
        <v>0.19999999999999996</v>
      </c>
      <c r="O44" s="48">
        <f t="shared" si="3"/>
        <v>0.49999999999999989</v>
      </c>
    </row>
    <row r="45" spans="2:15">
      <c r="B45" s="69" t="s">
        <v>42</v>
      </c>
      <c r="C45" s="38"/>
      <c r="D45" s="39"/>
      <c r="E45" s="40"/>
      <c r="F45" s="70">
        <f>IF(ISBLANK(D16)=TRUE, 0, IF(D16="TOU", 0.64*$F$55+0.18*$F$56+0.18*$F$57, IF(AND(D16="non-TOU", G59&gt;0), F59,F58)))</f>
        <v>8.3919999999999995E-2</v>
      </c>
      <c r="G45" s="71">
        <f>$F$18*(1+$F$74)-$F$18</f>
        <v>20.614000000000033</v>
      </c>
      <c r="H45" s="43">
        <f t="shared" si="6"/>
        <v>1.7299268800000027</v>
      </c>
      <c r="I45" s="44"/>
      <c r="J45" s="72">
        <f>0.64*$F$55+0.18*$F$56+0.18*$F$57</f>
        <v>8.3919999999999995E-2</v>
      </c>
      <c r="K45" s="71">
        <f>$F$18*(1+$J$74)-$F$18</f>
        <v>20.582000000000107</v>
      </c>
      <c r="L45" s="43">
        <f t="shared" si="7"/>
        <v>1.7272414400000089</v>
      </c>
      <c r="M45" s="44"/>
      <c r="N45" s="47">
        <f t="shared" si="2"/>
        <v>-2.6854399999938217E-3</v>
      </c>
      <c r="O45" s="48">
        <f t="shared" si="3"/>
        <v>-1.5523430678144139E-3</v>
      </c>
    </row>
    <row r="46" spans="2:15">
      <c r="B46" s="69" t="s">
        <v>43</v>
      </c>
      <c r="C46" s="38"/>
      <c r="D46" s="39"/>
      <c r="E46" s="40"/>
      <c r="F46" s="70">
        <v>0.79</v>
      </c>
      <c r="G46" s="42">
        <v>1</v>
      </c>
      <c r="H46" s="43">
        <f t="shared" si="6"/>
        <v>0.79</v>
      </c>
      <c r="I46" s="44"/>
      <c r="J46" s="70">
        <v>0.79</v>
      </c>
      <c r="K46" s="42">
        <v>1</v>
      </c>
      <c r="L46" s="43">
        <f t="shared" si="7"/>
        <v>0.79</v>
      </c>
      <c r="M46" s="44"/>
      <c r="N46" s="47">
        <f t="shared" si="2"/>
        <v>0</v>
      </c>
      <c r="O46" s="48"/>
    </row>
    <row r="47" spans="2:15" ht="25.5">
      <c r="B47" s="73" t="s">
        <v>44</v>
      </c>
      <c r="C47" s="74"/>
      <c r="D47" s="74"/>
      <c r="E47" s="74"/>
      <c r="F47" s="75"/>
      <c r="G47" s="76"/>
      <c r="H47" s="77">
        <f>SUM(H40:H46)+H39</f>
        <v>70.209926880000012</v>
      </c>
      <c r="I47" s="60"/>
      <c r="J47" s="76"/>
      <c r="K47" s="78"/>
      <c r="L47" s="77">
        <f>SUM(L40:L46)+L39</f>
        <v>66.147241440000016</v>
      </c>
      <c r="M47" s="60"/>
      <c r="N47" s="63">
        <f t="shared" si="2"/>
        <v>-4.0626854399999957</v>
      </c>
      <c r="O47" s="64">
        <f t="shared" ref="O47:O65" si="8">IF((H47)=0,"",(N47/H47))</f>
        <v>-5.7864829384365754E-2</v>
      </c>
    </row>
    <row r="48" spans="2:15">
      <c r="B48" s="44" t="s">
        <v>45</v>
      </c>
      <c r="C48" s="44"/>
      <c r="D48" s="79" t="s">
        <v>81</v>
      </c>
      <c r="E48" s="80"/>
      <c r="F48" s="45">
        <v>6.1999999999999998E-3</v>
      </c>
      <c r="G48" s="90">
        <f>F18*(1+F74)</f>
        <v>2020.614</v>
      </c>
      <c r="H48" s="43">
        <f>G48*F48</f>
        <v>12.5278068</v>
      </c>
      <c r="I48" s="44"/>
      <c r="J48" s="45">
        <v>6.3E-3</v>
      </c>
      <c r="K48" s="93">
        <f>F18*(1+J74)</f>
        <v>2020.5820000000001</v>
      </c>
      <c r="L48" s="43">
        <f>K48*J48</f>
        <v>12.729666600000002</v>
      </c>
      <c r="M48" s="44"/>
      <c r="N48" s="47">
        <f t="shared" si="2"/>
        <v>0.20185980000000114</v>
      </c>
      <c r="O48" s="48">
        <f t="shared" si="8"/>
        <v>1.6112940055876431E-2</v>
      </c>
    </row>
    <row r="49" spans="2:19" ht="30">
      <c r="B49" s="83" t="s">
        <v>46</v>
      </c>
      <c r="C49" s="44"/>
      <c r="D49" s="79" t="s">
        <v>81</v>
      </c>
      <c r="E49" s="80"/>
      <c r="F49" s="45">
        <v>4.7000000000000002E-3</v>
      </c>
      <c r="G49" s="90">
        <f>G48</f>
        <v>2020.614</v>
      </c>
      <c r="H49" s="43">
        <f>G49*F49</f>
        <v>9.4968858000000012</v>
      </c>
      <c r="I49" s="44"/>
      <c r="J49" s="45">
        <v>4.1000000000000003E-3</v>
      </c>
      <c r="K49" s="93">
        <f>K48</f>
        <v>2020.5820000000001</v>
      </c>
      <c r="L49" s="43">
        <f>K49*J49</f>
        <v>8.2843862000000019</v>
      </c>
      <c r="M49" s="44"/>
      <c r="N49" s="47">
        <f t="shared" si="2"/>
        <v>-1.2124995999999992</v>
      </c>
      <c r="O49" s="48">
        <f t="shared" si="8"/>
        <v>-0.12767338952312127</v>
      </c>
    </row>
    <row r="50" spans="2:19" ht="25.5">
      <c r="B50" s="73" t="s">
        <v>47</v>
      </c>
      <c r="C50" s="55"/>
      <c r="D50" s="55"/>
      <c r="E50" s="55"/>
      <c r="F50" s="84"/>
      <c r="G50" s="76"/>
      <c r="H50" s="77">
        <f>SUM(H47:H49)</f>
        <v>92.234619480000021</v>
      </c>
      <c r="I50" s="85"/>
      <c r="J50" s="86"/>
      <c r="K50" s="87"/>
      <c r="L50" s="77">
        <f>SUM(L47:L49)</f>
        <v>87.161294240000018</v>
      </c>
      <c r="M50" s="85"/>
      <c r="N50" s="63">
        <f t="shared" si="2"/>
        <v>-5.0733252400000026</v>
      </c>
      <c r="O50" s="64">
        <f t="shared" si="8"/>
        <v>-5.5004566274598148E-2</v>
      </c>
    </row>
    <row r="51" spans="2:19" ht="30">
      <c r="B51" s="88" t="s">
        <v>48</v>
      </c>
      <c r="C51" s="38"/>
      <c r="D51" s="39" t="s">
        <v>81</v>
      </c>
      <c r="E51" s="40"/>
      <c r="F51" s="89">
        <v>4.4000000000000003E-3</v>
      </c>
      <c r="G51" s="90">
        <f>G49</f>
        <v>2020.614</v>
      </c>
      <c r="H51" s="91">
        <f t="shared" ref="H51:H57" si="9">G51*F51</f>
        <v>8.8907015999999999</v>
      </c>
      <c r="I51" s="44"/>
      <c r="J51" s="92">
        <v>4.4000000000000003E-3</v>
      </c>
      <c r="K51" s="93">
        <f>K49</f>
        <v>2020.5820000000001</v>
      </c>
      <c r="L51" s="91">
        <f t="shared" ref="L51:L57" si="10">K51*J51</f>
        <v>8.8905608000000012</v>
      </c>
      <c r="M51" s="44"/>
      <c r="N51" s="47">
        <f t="shared" si="2"/>
        <v>-1.4079999999871973E-4</v>
      </c>
      <c r="O51" s="94">
        <f t="shared" si="8"/>
        <v>-1.5836770407266816E-5</v>
      </c>
    </row>
    <row r="52" spans="2:19" ht="30">
      <c r="B52" s="88" t="s">
        <v>49</v>
      </c>
      <c r="C52" s="38"/>
      <c r="D52" s="39" t="s">
        <v>81</v>
      </c>
      <c r="E52" s="40"/>
      <c r="F52" s="89">
        <v>1.2999999999999999E-3</v>
      </c>
      <c r="G52" s="90">
        <f>G49</f>
        <v>2020.614</v>
      </c>
      <c r="H52" s="91">
        <f t="shared" si="9"/>
        <v>2.6267982000000001</v>
      </c>
      <c r="I52" s="44"/>
      <c r="J52" s="92">
        <v>1.2999999999999999E-3</v>
      </c>
      <c r="K52" s="93">
        <f>K49</f>
        <v>2020.5820000000001</v>
      </c>
      <c r="L52" s="91">
        <f t="shared" si="10"/>
        <v>2.6267566000000002</v>
      </c>
      <c r="M52" s="44"/>
      <c r="N52" s="47">
        <f t="shared" si="2"/>
        <v>-4.1599999999863968E-5</v>
      </c>
      <c r="O52" s="94">
        <f t="shared" si="8"/>
        <v>-1.5836770407359031E-5</v>
      </c>
    </row>
    <row r="53" spans="2:19">
      <c r="B53" s="38" t="s">
        <v>50</v>
      </c>
      <c r="C53" s="38"/>
      <c r="D53" s="39" t="s">
        <v>26</v>
      </c>
      <c r="E53" s="40"/>
      <c r="F53" s="89">
        <v>0.25</v>
      </c>
      <c r="G53" s="42">
        <v>1</v>
      </c>
      <c r="H53" s="91">
        <f t="shared" si="9"/>
        <v>0.25</v>
      </c>
      <c r="I53" s="44"/>
      <c r="J53" s="92">
        <v>0.25</v>
      </c>
      <c r="K53" s="46">
        <v>1</v>
      </c>
      <c r="L53" s="91">
        <f t="shared" si="10"/>
        <v>0.25</v>
      </c>
      <c r="M53" s="44"/>
      <c r="N53" s="47">
        <f t="shared" si="2"/>
        <v>0</v>
      </c>
      <c r="O53" s="94">
        <f t="shared" si="8"/>
        <v>0</v>
      </c>
    </row>
    <row r="54" spans="2:19">
      <c r="B54" s="38" t="s">
        <v>51</v>
      </c>
      <c r="C54" s="38"/>
      <c r="D54" s="39"/>
      <c r="E54" s="40"/>
      <c r="F54" s="89">
        <v>7.0000000000000001E-3</v>
      </c>
      <c r="G54" s="95">
        <f>F18</f>
        <v>2000</v>
      </c>
      <c r="H54" s="91">
        <f t="shared" si="9"/>
        <v>14</v>
      </c>
      <c r="I54" s="44"/>
      <c r="J54" s="92">
        <v>7.0000000000000001E-3</v>
      </c>
      <c r="K54" s="96">
        <f>F18</f>
        <v>2000</v>
      </c>
      <c r="L54" s="91">
        <f t="shared" si="10"/>
        <v>14</v>
      </c>
      <c r="M54" s="44"/>
      <c r="N54" s="47">
        <f t="shared" si="2"/>
        <v>0</v>
      </c>
      <c r="O54" s="94">
        <f t="shared" si="8"/>
        <v>0</v>
      </c>
    </row>
    <row r="55" spans="2:19">
      <c r="B55" s="69" t="s">
        <v>52</v>
      </c>
      <c r="C55" s="38"/>
      <c r="D55" s="39" t="s">
        <v>81</v>
      </c>
      <c r="E55" s="40"/>
      <c r="F55" s="97">
        <v>6.7000000000000004E-2</v>
      </c>
      <c r="G55" s="98">
        <f>0.64*$F$18</f>
        <v>1280</v>
      </c>
      <c r="H55" s="91">
        <f t="shared" si="9"/>
        <v>85.76</v>
      </c>
      <c r="I55" s="44"/>
      <c r="J55" s="89">
        <v>6.7000000000000004E-2</v>
      </c>
      <c r="K55" s="98">
        <f>G55</f>
        <v>1280</v>
      </c>
      <c r="L55" s="91">
        <f t="shared" si="10"/>
        <v>85.76</v>
      </c>
      <c r="M55" s="44"/>
      <c r="N55" s="47">
        <f t="shared" si="2"/>
        <v>0</v>
      </c>
      <c r="O55" s="94">
        <f t="shared" si="8"/>
        <v>0</v>
      </c>
      <c r="S55" s="99"/>
    </row>
    <row r="56" spans="2:19">
      <c r="B56" s="69" t="s">
        <v>53</v>
      </c>
      <c r="C56" s="38"/>
      <c r="D56" s="39" t="s">
        <v>81</v>
      </c>
      <c r="E56" s="40"/>
      <c r="F56" s="97">
        <v>0.104</v>
      </c>
      <c r="G56" s="98">
        <f>0.18*$F$18</f>
        <v>360</v>
      </c>
      <c r="H56" s="91">
        <f t="shared" si="9"/>
        <v>37.44</v>
      </c>
      <c r="I56" s="44"/>
      <c r="J56" s="89">
        <v>0.104</v>
      </c>
      <c r="K56" s="98">
        <f>G56</f>
        <v>360</v>
      </c>
      <c r="L56" s="91">
        <f t="shared" si="10"/>
        <v>37.44</v>
      </c>
      <c r="M56" s="44"/>
      <c r="N56" s="47">
        <f t="shared" si="2"/>
        <v>0</v>
      </c>
      <c r="O56" s="94">
        <f t="shared" si="8"/>
        <v>0</v>
      </c>
      <c r="S56" s="99"/>
    </row>
    <row r="57" spans="2:19">
      <c r="B57" s="19" t="s">
        <v>54</v>
      </c>
      <c r="C57" s="38"/>
      <c r="D57" s="39" t="s">
        <v>81</v>
      </c>
      <c r="E57" s="40"/>
      <c r="F57" s="97">
        <v>0.124</v>
      </c>
      <c r="G57" s="98">
        <f>0.18*$F$18</f>
        <v>360</v>
      </c>
      <c r="H57" s="91">
        <f t="shared" si="9"/>
        <v>44.64</v>
      </c>
      <c r="I57" s="44"/>
      <c r="J57" s="89">
        <v>0.124</v>
      </c>
      <c r="K57" s="98">
        <f>G57</f>
        <v>360</v>
      </c>
      <c r="L57" s="91">
        <f t="shared" si="10"/>
        <v>44.64</v>
      </c>
      <c r="M57" s="44"/>
      <c r="N57" s="47">
        <f t="shared" si="2"/>
        <v>0</v>
      </c>
      <c r="O57" s="94">
        <f t="shared" si="8"/>
        <v>0</v>
      </c>
      <c r="S57" s="99"/>
    </row>
    <row r="58" spans="2:19" s="107" customFormat="1" ht="12.75">
      <c r="B58" s="100" t="s">
        <v>55</v>
      </c>
      <c r="C58" s="101"/>
      <c r="D58" s="102" t="s">
        <v>81</v>
      </c>
      <c r="E58" s="103"/>
      <c r="F58" s="97">
        <v>7.4999999999999997E-2</v>
      </c>
      <c r="G58" s="104">
        <f>IF(AND($T$1=1, F18&gt;=600), 600, IF(AND($T$1=1, AND(F18&lt;600, F18&gt;=0)), F18, IF(AND($T$1=2, F18&gt;=1000), 1000, IF(AND($T$1=2, AND(F18&lt;1000, F18&gt;=0)), F18))))</f>
        <v>600</v>
      </c>
      <c r="H58" s="91">
        <f>G58*F58</f>
        <v>45</v>
      </c>
      <c r="I58" s="105"/>
      <c r="J58" s="89">
        <v>7.4999999999999997E-2</v>
      </c>
      <c r="K58" s="104">
        <f>G58</f>
        <v>600</v>
      </c>
      <c r="L58" s="91">
        <f>K58*J58</f>
        <v>45</v>
      </c>
      <c r="M58" s="105"/>
      <c r="N58" s="106">
        <f t="shared" si="2"/>
        <v>0</v>
      </c>
      <c r="O58" s="94">
        <f t="shared" si="8"/>
        <v>0</v>
      </c>
    </row>
    <row r="59" spans="2:19" s="107" customFormat="1" ht="13.5" thickBot="1">
      <c r="B59" s="100" t="s">
        <v>56</v>
      </c>
      <c r="C59" s="101"/>
      <c r="D59" s="102" t="s">
        <v>81</v>
      </c>
      <c r="E59" s="103"/>
      <c r="F59" s="97">
        <v>8.7999999999999995E-2</v>
      </c>
      <c r="G59" s="104">
        <f>IF(AND($T$1=1, F18&gt;=600), F18-600, IF(AND($T$1=1, AND(F18&lt;600, F18&gt;=0)), 0, IF(AND($T$1=2, F18&gt;=1000), F18-1000, IF(AND($T$1=2, AND(F18&lt;1000, F18&gt;=0)), 0))))</f>
        <v>1400</v>
      </c>
      <c r="H59" s="91">
        <f>G59*F59</f>
        <v>123.19999999999999</v>
      </c>
      <c r="I59" s="105"/>
      <c r="J59" s="89">
        <v>8.7999999999999995E-2</v>
      </c>
      <c r="K59" s="104">
        <f>G59</f>
        <v>1400</v>
      </c>
      <c r="L59" s="91">
        <f>K59*J59</f>
        <v>123.19999999999999</v>
      </c>
      <c r="M59" s="105"/>
      <c r="N59" s="106">
        <f t="shared" si="2"/>
        <v>0</v>
      </c>
      <c r="O59" s="94">
        <f t="shared" si="8"/>
        <v>0</v>
      </c>
    </row>
    <row r="60" spans="2:19" ht="15.75" thickBot="1">
      <c r="B60" s="108"/>
      <c r="C60" s="109"/>
      <c r="D60" s="110"/>
      <c r="E60" s="109"/>
      <c r="F60" s="111"/>
      <c r="G60" s="112"/>
      <c r="H60" s="113"/>
      <c r="I60" s="114"/>
      <c r="J60" s="111"/>
      <c r="K60" s="115"/>
      <c r="L60" s="113"/>
      <c r="M60" s="114"/>
      <c r="N60" s="116"/>
      <c r="O60" s="117"/>
    </row>
    <row r="61" spans="2:19">
      <c r="B61" s="118" t="s">
        <v>57</v>
      </c>
      <c r="C61" s="38"/>
      <c r="D61" s="38"/>
      <c r="E61" s="38"/>
      <c r="F61" s="119"/>
      <c r="G61" s="120"/>
      <c r="H61" s="121">
        <f>SUM(H51:H57,H50)</f>
        <v>285.84211928000002</v>
      </c>
      <c r="I61" s="122"/>
      <c r="J61" s="123"/>
      <c r="K61" s="123"/>
      <c r="L61" s="121">
        <f>SUM(L51:L57,L50)</f>
        <v>280.76861164000002</v>
      </c>
      <c r="M61" s="124"/>
      <c r="N61" s="125">
        <f>L61-H61</f>
        <v>-5.0735076400000025</v>
      </c>
      <c r="O61" s="126">
        <f>IF((H61)=0,"",(N61/H61))</f>
        <v>-1.7749335377093913E-2</v>
      </c>
      <c r="S61" s="99"/>
    </row>
    <row r="62" spans="2:19">
      <c r="B62" s="127" t="s">
        <v>58</v>
      </c>
      <c r="C62" s="38"/>
      <c r="D62" s="38"/>
      <c r="E62" s="38"/>
      <c r="F62" s="128">
        <v>0.13</v>
      </c>
      <c r="G62" s="129"/>
      <c r="H62" s="130">
        <f>H61*F62</f>
        <v>37.159475506400007</v>
      </c>
      <c r="I62" s="131"/>
      <c r="J62" s="132">
        <v>0.13</v>
      </c>
      <c r="K62" s="131"/>
      <c r="L62" s="133">
        <f>L61*J62</f>
        <v>36.499919513200005</v>
      </c>
      <c r="M62" s="134"/>
      <c r="N62" s="135">
        <f t="shared" si="2"/>
        <v>-0.65955599320000147</v>
      </c>
      <c r="O62" s="136">
        <f t="shared" si="8"/>
        <v>-1.7749335377093941E-2</v>
      </c>
      <c r="S62" s="99"/>
    </row>
    <row r="63" spans="2:19">
      <c r="B63" s="137" t="s">
        <v>59</v>
      </c>
      <c r="C63" s="38"/>
      <c r="D63" s="38"/>
      <c r="E63" s="38"/>
      <c r="F63" s="138"/>
      <c r="G63" s="129"/>
      <c r="H63" s="130">
        <f>H61+H62</f>
        <v>323.00159478640001</v>
      </c>
      <c r="I63" s="131"/>
      <c r="J63" s="131"/>
      <c r="K63" s="131"/>
      <c r="L63" s="133">
        <f>L61+L62</f>
        <v>317.2685311532</v>
      </c>
      <c r="M63" s="134"/>
      <c r="N63" s="135">
        <f t="shared" si="2"/>
        <v>-5.733063633200004</v>
      </c>
      <c r="O63" s="136">
        <f t="shared" si="8"/>
        <v>-1.7749335377093917E-2</v>
      </c>
      <c r="S63" s="99"/>
    </row>
    <row r="64" spans="2:19">
      <c r="B64" s="139" t="s">
        <v>60</v>
      </c>
      <c r="C64" s="139"/>
      <c r="D64" s="139"/>
      <c r="E64" s="38"/>
      <c r="F64" s="138"/>
      <c r="G64" s="129"/>
      <c r="H64" s="140">
        <f>ROUND(-H63*10%,2)</f>
        <v>-32.299999999999997</v>
      </c>
      <c r="I64" s="131"/>
      <c r="J64" s="131"/>
      <c r="K64" s="131"/>
      <c r="L64" s="141">
        <f>ROUND(-L63*10%,2)</f>
        <v>-31.73</v>
      </c>
      <c r="M64" s="134"/>
      <c r="N64" s="142">
        <f t="shared" si="2"/>
        <v>0.56999999999999673</v>
      </c>
      <c r="O64" s="143">
        <f t="shared" si="8"/>
        <v>-1.7647058823529311E-2</v>
      </c>
    </row>
    <row r="65" spans="1:15" ht="15.75" thickBot="1">
      <c r="B65" s="144" t="s">
        <v>61</v>
      </c>
      <c r="C65" s="144"/>
      <c r="D65" s="144"/>
      <c r="E65" s="145"/>
      <c r="F65" s="146"/>
      <c r="G65" s="147"/>
      <c r="H65" s="148">
        <f>H63+H64</f>
        <v>290.70159478639999</v>
      </c>
      <c r="I65" s="149"/>
      <c r="J65" s="149"/>
      <c r="K65" s="149"/>
      <c r="L65" s="150">
        <f>L63+L64</f>
        <v>285.53853115319998</v>
      </c>
      <c r="M65" s="151"/>
      <c r="N65" s="152">
        <f t="shared" si="2"/>
        <v>-5.1630636332000108</v>
      </c>
      <c r="O65" s="153">
        <f t="shared" si="8"/>
        <v>-1.7760699376257967E-2</v>
      </c>
    </row>
    <row r="66" spans="1:15" s="107" customFormat="1" ht="13.5" thickBot="1">
      <c r="B66" s="154"/>
      <c r="C66" s="155"/>
      <c r="D66" s="156"/>
      <c r="E66" s="155"/>
      <c r="F66" s="111"/>
      <c r="G66" s="157"/>
      <c r="H66" s="113"/>
      <c r="I66" s="158"/>
      <c r="J66" s="111"/>
      <c r="K66" s="159"/>
      <c r="L66" s="113"/>
      <c r="M66" s="158"/>
      <c r="N66" s="160"/>
      <c r="O66" s="117"/>
    </row>
    <row r="67" spans="1:15" s="107" customFormat="1" ht="12.75">
      <c r="B67" s="161" t="s">
        <v>62</v>
      </c>
      <c r="C67" s="101"/>
      <c r="D67" s="101"/>
      <c r="E67" s="101"/>
      <c r="F67" s="162"/>
      <c r="G67" s="163"/>
      <c r="H67" s="164">
        <f>SUM(H58:H59,H50,H51:H54)</f>
        <v>286.20211928000003</v>
      </c>
      <c r="I67" s="165"/>
      <c r="J67" s="166"/>
      <c r="K67" s="166"/>
      <c r="L67" s="164">
        <f>SUM(L58:L59,L50,L51:L54)</f>
        <v>281.12861164000003</v>
      </c>
      <c r="M67" s="167"/>
      <c r="N67" s="168">
        <f>L67-H67</f>
        <v>-5.0735076400000025</v>
      </c>
      <c r="O67" s="126">
        <f>IF((H67)=0,"",(N67/H67))</f>
        <v>-1.7727009334394337E-2</v>
      </c>
    </row>
    <row r="68" spans="1:15" s="107" customFormat="1" ht="12.75">
      <c r="B68" s="169" t="s">
        <v>58</v>
      </c>
      <c r="C68" s="101"/>
      <c r="D68" s="101"/>
      <c r="E68" s="101"/>
      <c r="F68" s="170">
        <v>0.13</v>
      </c>
      <c r="G68" s="163"/>
      <c r="H68" s="171">
        <f>H67*F68</f>
        <v>37.206275506400004</v>
      </c>
      <c r="I68" s="172"/>
      <c r="J68" s="173">
        <v>0.13</v>
      </c>
      <c r="K68" s="174"/>
      <c r="L68" s="175">
        <f>L67*J68</f>
        <v>36.546719513200003</v>
      </c>
      <c r="M68" s="176"/>
      <c r="N68" s="177">
        <f>L68-H68</f>
        <v>-0.65955599320000147</v>
      </c>
      <c r="O68" s="136">
        <f>IF((H68)=0,"",(N68/H68))</f>
        <v>-1.7727009334394368E-2</v>
      </c>
    </row>
    <row r="69" spans="1:15" s="107" customFormat="1" ht="12.75">
      <c r="B69" s="178" t="s">
        <v>59</v>
      </c>
      <c r="C69" s="101"/>
      <c r="D69" s="101"/>
      <c r="E69" s="101"/>
      <c r="F69" s="179"/>
      <c r="G69" s="180"/>
      <c r="H69" s="171">
        <f>H67+H68</f>
        <v>323.40839478640004</v>
      </c>
      <c r="I69" s="172"/>
      <c r="J69" s="172"/>
      <c r="K69" s="172"/>
      <c r="L69" s="175">
        <f>L67+L68</f>
        <v>317.67533115320003</v>
      </c>
      <c r="M69" s="176"/>
      <c r="N69" s="177">
        <f>L69-H69</f>
        <v>-5.733063633200004</v>
      </c>
      <c r="O69" s="136">
        <f>IF((H69)=0,"",(N69/H69))</f>
        <v>-1.7727009334394344E-2</v>
      </c>
    </row>
    <row r="70" spans="1:15" s="107" customFormat="1" ht="12.75">
      <c r="B70" s="181" t="s">
        <v>60</v>
      </c>
      <c r="C70" s="181"/>
      <c r="D70" s="181"/>
      <c r="E70" s="101"/>
      <c r="F70" s="179"/>
      <c r="G70" s="180"/>
      <c r="H70" s="182">
        <f>ROUND(-H69*10%,2)</f>
        <v>-32.340000000000003</v>
      </c>
      <c r="I70" s="172"/>
      <c r="J70" s="172"/>
      <c r="K70" s="172"/>
      <c r="L70" s="183">
        <f>ROUND(-L69*10%,2)</f>
        <v>-31.77</v>
      </c>
      <c r="M70" s="176"/>
      <c r="N70" s="184">
        <f>L70-H70</f>
        <v>0.57000000000000384</v>
      </c>
      <c r="O70" s="143">
        <f>IF((H70)=0,"",(N70/H70))</f>
        <v>-1.7625231910946313E-2</v>
      </c>
    </row>
    <row r="71" spans="1:15" s="107" customFormat="1" ht="13.5" thickBot="1">
      <c r="B71" s="185" t="s">
        <v>63</v>
      </c>
      <c r="C71" s="185"/>
      <c r="D71" s="185"/>
      <c r="E71" s="186"/>
      <c r="F71" s="187"/>
      <c r="G71" s="188"/>
      <c r="H71" s="189">
        <f>SUM(H69:H70)</f>
        <v>291.06839478640006</v>
      </c>
      <c r="I71" s="190"/>
      <c r="J71" s="190"/>
      <c r="K71" s="190"/>
      <c r="L71" s="191">
        <f>SUM(L69:L70)</f>
        <v>285.90533115320005</v>
      </c>
      <c r="M71" s="192"/>
      <c r="N71" s="193">
        <f>L71-H71</f>
        <v>-5.1630636332000108</v>
      </c>
      <c r="O71" s="194">
        <f>IF((H71)=0,"",(N71/H71))</f>
        <v>-1.7738317610845086E-2</v>
      </c>
    </row>
    <row r="72" spans="1:15" s="107" customFormat="1" ht="13.5" thickBot="1">
      <c r="B72" s="154"/>
      <c r="C72" s="155"/>
      <c r="D72" s="156"/>
      <c r="E72" s="155"/>
      <c r="F72" s="195"/>
      <c r="G72" s="196"/>
      <c r="H72" s="197"/>
      <c r="I72" s="198"/>
      <c r="J72" s="195"/>
      <c r="K72" s="157"/>
      <c r="L72" s="199"/>
      <c r="M72" s="158"/>
      <c r="N72" s="200"/>
      <c r="O72" s="117"/>
    </row>
    <row r="73" spans="1:15">
      <c r="L73" s="99"/>
    </row>
    <row r="74" spans="1:15">
      <c r="B74" s="20" t="s">
        <v>64</v>
      </c>
      <c r="F74" s="201">
        <v>1.0307E-2</v>
      </c>
      <c r="J74" s="201">
        <v>1.0291E-2</v>
      </c>
    </row>
    <row r="76" spans="1:15">
      <c r="A76" s="202" t="s">
        <v>65</v>
      </c>
    </row>
    <row r="78" spans="1:15">
      <c r="A78" s="12" t="s">
        <v>66</v>
      </c>
    </row>
    <row r="79" spans="1:15">
      <c r="A79" s="12" t="s">
        <v>67</v>
      </c>
    </row>
    <row r="81" spans="1:2">
      <c r="A81" s="19" t="s">
        <v>68</v>
      </c>
    </row>
    <row r="82" spans="1:2">
      <c r="A82" s="19" t="s">
        <v>69</v>
      </c>
    </row>
    <row r="84" spans="1:2">
      <c r="A84" s="12" t="s">
        <v>70</v>
      </c>
    </row>
    <row r="85" spans="1:2">
      <c r="A85" s="12" t="s">
        <v>71</v>
      </c>
    </row>
    <row r="86" spans="1:2">
      <c r="A86" s="12" t="s">
        <v>72</v>
      </c>
    </row>
    <row r="87" spans="1:2">
      <c r="A87" s="12" t="s">
        <v>73</v>
      </c>
    </row>
    <row r="88" spans="1:2">
      <c r="A88" s="12" t="s">
        <v>74</v>
      </c>
    </row>
    <row r="90" spans="1:2">
      <c r="A90" s="203"/>
      <c r="B90" s="12" t="s">
        <v>75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E48:E49 E40:E46 E23:E38 E51:E57 E60">
      <formula1>#REF!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90"/>
  <sheetViews>
    <sheetView workbookViewId="0">
      <selection activeCell="B41" sqref="B41"/>
    </sheetView>
  </sheetViews>
  <sheetFormatPr defaultRowHeight="15"/>
  <cols>
    <col min="1" max="1" width="2.140625" style="12" customWidth="1"/>
    <col min="2" max="2" width="26.5703125" style="12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2.28515625" style="12" bestFit="1" customWidth="1"/>
    <col min="9" max="9" width="2.85546875" style="12" customWidth="1"/>
    <col min="10" max="10" width="12.140625" style="12" customWidth="1"/>
    <col min="11" max="11" width="8.5703125" style="12" customWidth="1"/>
    <col min="12" max="12" width="11.5703125" style="12" customWidth="1"/>
    <col min="13" max="13" width="2.85546875" style="12" customWidth="1"/>
    <col min="14" max="14" width="12.7109375" style="12" bestFit="1" customWidth="1"/>
    <col min="15" max="15" width="10.85546875" style="12" bestFit="1" customWidth="1"/>
    <col min="16" max="16" width="3.85546875" style="12" customWidth="1"/>
    <col min="17" max="19" width="9.140625" style="12"/>
    <col min="20" max="20" width="9.140625" style="12" customWidth="1"/>
    <col min="21" max="16384" width="9.140625" style="12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EBNUMBER</f>
        <v>EB 2014 0073</v>
      </c>
      <c r="P1"/>
      <c r="T1" s="2">
        <v>1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8</v>
      </c>
      <c r="P2"/>
    </row>
    <row r="3" spans="1:20" s="2" customFormat="1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 t="s">
        <v>2</v>
      </c>
      <c r="O3" s="6">
        <v>12</v>
      </c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8"/>
      <c r="J4" s="8"/>
      <c r="K4" s="8"/>
      <c r="N4" s="3" t="s">
        <v>3</v>
      </c>
      <c r="O4" s="6">
        <v>1</v>
      </c>
      <c r="P4"/>
    </row>
    <row r="5" spans="1:20" s="2" customFormat="1" ht="15" customHeight="1">
      <c r="C5" s="9"/>
      <c r="D5" s="9"/>
      <c r="E5" s="9"/>
      <c r="N5" s="3" t="s">
        <v>4</v>
      </c>
      <c r="O5" s="10">
        <v>1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1">
        <v>41788</v>
      </c>
      <c r="P7"/>
    </row>
    <row r="8" spans="1:20" s="2" customFormat="1" ht="15" customHeight="1">
      <c r="N8" s="12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13" t="s">
        <v>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/>
    </row>
    <row r="11" spans="1:20" ht="18.75" customHeight="1">
      <c r="B11" s="13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4" t="s">
        <v>8</v>
      </c>
      <c r="D14" s="15" t="s">
        <v>83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0" ht="7.5" customHeight="1">
      <c r="B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20" ht="15.75">
      <c r="B16" s="14" t="s">
        <v>10</v>
      </c>
      <c r="D16" s="18" t="s">
        <v>11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15.75">
      <c r="B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2:15">
      <c r="B18" s="19"/>
      <c r="D18" s="20" t="s">
        <v>13</v>
      </c>
      <c r="E18" s="20"/>
      <c r="F18" s="204">
        <v>600</v>
      </c>
      <c r="G18" s="20" t="s">
        <v>80</v>
      </c>
    </row>
    <row r="19" spans="2:15">
      <c r="B19" s="19"/>
    </row>
    <row r="20" spans="2:15">
      <c r="B20" s="19"/>
      <c r="D20" s="22"/>
      <c r="E20" s="22"/>
      <c r="F20" s="23" t="s">
        <v>15</v>
      </c>
      <c r="G20" s="24"/>
      <c r="H20" s="25"/>
      <c r="J20" s="23" t="s">
        <v>16</v>
      </c>
      <c r="K20" s="24"/>
      <c r="L20" s="25"/>
      <c r="N20" s="23" t="s">
        <v>17</v>
      </c>
      <c r="O20" s="25"/>
    </row>
    <row r="21" spans="2:15">
      <c r="B21" s="19"/>
      <c r="D21" s="26" t="s">
        <v>18</v>
      </c>
      <c r="E21" s="27"/>
      <c r="F21" s="28" t="s">
        <v>19</v>
      </c>
      <c r="G21" s="28" t="s">
        <v>20</v>
      </c>
      <c r="H21" s="29" t="s">
        <v>21</v>
      </c>
      <c r="J21" s="28" t="s">
        <v>19</v>
      </c>
      <c r="K21" s="30" t="s">
        <v>20</v>
      </c>
      <c r="L21" s="29" t="s">
        <v>21</v>
      </c>
      <c r="N21" s="31" t="s">
        <v>22</v>
      </c>
      <c r="O21" s="32" t="s">
        <v>23</v>
      </c>
    </row>
    <row r="22" spans="2:15">
      <c r="B22" s="19"/>
      <c r="D22" s="33"/>
      <c r="E22" s="27"/>
      <c r="F22" s="34" t="s">
        <v>24</v>
      </c>
      <c r="G22" s="34"/>
      <c r="H22" s="35" t="s">
        <v>24</v>
      </c>
      <c r="J22" s="34" t="s">
        <v>24</v>
      </c>
      <c r="K22" s="35"/>
      <c r="L22" s="35" t="s">
        <v>24</v>
      </c>
      <c r="N22" s="36"/>
      <c r="O22" s="37"/>
    </row>
    <row r="23" spans="2:15">
      <c r="B23" s="38" t="s">
        <v>25</v>
      </c>
      <c r="C23" s="38"/>
      <c r="D23" s="39" t="s">
        <v>26</v>
      </c>
      <c r="E23" s="40"/>
      <c r="F23" s="41">
        <v>227.57</v>
      </c>
      <c r="G23" s="42">
        <v>1</v>
      </c>
      <c r="H23" s="43">
        <f>G23*F23</f>
        <v>227.57</v>
      </c>
      <c r="I23" s="44"/>
      <c r="J23" s="45">
        <v>227.57</v>
      </c>
      <c r="K23" s="46">
        <v>1</v>
      </c>
      <c r="L23" s="43">
        <f>K23*J23</f>
        <v>227.57</v>
      </c>
      <c r="M23" s="44"/>
      <c r="N23" s="47">
        <f>L23-H23</f>
        <v>0</v>
      </c>
      <c r="O23" s="48">
        <f>IF((H23)=0,"",(N23/H23))</f>
        <v>0</v>
      </c>
    </row>
    <row r="24" spans="2:15">
      <c r="B24" s="38" t="s">
        <v>27</v>
      </c>
      <c r="C24" s="38"/>
      <c r="D24" s="39" t="s">
        <v>26</v>
      </c>
      <c r="E24" s="40"/>
      <c r="F24" s="41"/>
      <c r="G24" s="42">
        <v>1</v>
      </c>
      <c r="H24" s="43">
        <f t="shared" ref="H24:H38" si="0">G24*F24</f>
        <v>0</v>
      </c>
      <c r="I24" s="44"/>
      <c r="J24" s="45"/>
      <c r="K24" s="46">
        <v>1</v>
      </c>
      <c r="L24" s="43">
        <f>K24*J24</f>
        <v>0</v>
      </c>
      <c r="M24" s="44"/>
      <c r="N24" s="47">
        <f>L24-H24</f>
        <v>0</v>
      </c>
      <c r="O24" s="48" t="str">
        <f>IF((H24)=0,"",(N24/H24))</f>
        <v/>
      </c>
    </row>
    <row r="25" spans="2:15">
      <c r="B25" s="49" t="s">
        <v>28</v>
      </c>
      <c r="C25" s="38"/>
      <c r="D25" s="39" t="s">
        <v>26</v>
      </c>
      <c r="E25" s="40"/>
      <c r="F25" s="41">
        <v>14.89</v>
      </c>
      <c r="G25" s="42">
        <v>1</v>
      </c>
      <c r="H25" s="43">
        <f t="shared" si="0"/>
        <v>14.89</v>
      </c>
      <c r="I25" s="44"/>
      <c r="J25" s="45"/>
      <c r="K25" s="46">
        <v>1</v>
      </c>
      <c r="L25" s="43">
        <f t="shared" ref="L25:L38" si="1">K25*J25</f>
        <v>0</v>
      </c>
      <c r="M25" s="44"/>
      <c r="N25" s="47">
        <f t="shared" ref="N25:N65" si="2">L25-H25</f>
        <v>-14.89</v>
      </c>
      <c r="O25" s="48">
        <f t="shared" ref="O25:O45" si="3">IF((H25)=0,"",(N25/H25))</f>
        <v>-1</v>
      </c>
    </row>
    <row r="26" spans="2:15">
      <c r="B26" s="49" t="s">
        <v>29</v>
      </c>
      <c r="C26" s="38"/>
      <c r="D26" s="50" t="s">
        <v>26</v>
      </c>
      <c r="E26" s="40"/>
      <c r="F26" s="41"/>
      <c r="G26" s="42">
        <v>1</v>
      </c>
      <c r="H26" s="43">
        <f t="shared" si="0"/>
        <v>0</v>
      </c>
      <c r="I26" s="44"/>
      <c r="J26" s="45"/>
      <c r="K26" s="46">
        <v>1</v>
      </c>
      <c r="L26" s="43">
        <f t="shared" si="1"/>
        <v>0</v>
      </c>
      <c r="M26" s="44"/>
      <c r="N26" s="47">
        <f t="shared" si="2"/>
        <v>0</v>
      </c>
      <c r="O26" s="48" t="str">
        <f t="shared" si="3"/>
        <v/>
      </c>
    </row>
    <row r="27" spans="2:15">
      <c r="B27" s="49" t="s">
        <v>30</v>
      </c>
      <c r="C27" s="38"/>
      <c r="D27" s="39" t="s">
        <v>26</v>
      </c>
      <c r="E27" s="40"/>
      <c r="F27" s="41"/>
      <c r="G27" s="42">
        <v>1</v>
      </c>
      <c r="H27" s="43">
        <f t="shared" si="0"/>
        <v>0</v>
      </c>
      <c r="I27" s="44"/>
      <c r="J27" s="45"/>
      <c r="K27" s="46">
        <v>1</v>
      </c>
      <c r="L27" s="43">
        <f t="shared" si="1"/>
        <v>0</v>
      </c>
      <c r="M27" s="44"/>
      <c r="N27" s="47">
        <f t="shared" si="2"/>
        <v>0</v>
      </c>
      <c r="O27" s="48" t="str">
        <f t="shared" si="3"/>
        <v/>
      </c>
    </row>
    <row r="28" spans="2:15">
      <c r="B28" s="51"/>
      <c r="C28" s="38"/>
      <c r="D28" s="39"/>
      <c r="E28" s="40"/>
      <c r="F28" s="41"/>
      <c r="G28" s="42">
        <v>1</v>
      </c>
      <c r="H28" s="43">
        <f t="shared" si="0"/>
        <v>0</v>
      </c>
      <c r="I28" s="44"/>
      <c r="J28" s="45"/>
      <c r="K28" s="46">
        <v>1</v>
      </c>
      <c r="L28" s="43">
        <f t="shared" si="1"/>
        <v>0</v>
      </c>
      <c r="M28" s="44"/>
      <c r="N28" s="47">
        <f t="shared" si="2"/>
        <v>0</v>
      </c>
      <c r="O28" s="48" t="str">
        <f t="shared" si="3"/>
        <v/>
      </c>
    </row>
    <row r="29" spans="2:15">
      <c r="B29" s="38" t="s">
        <v>31</v>
      </c>
      <c r="C29" s="38"/>
      <c r="D29" s="39" t="s">
        <v>32</v>
      </c>
      <c r="E29" s="40"/>
      <c r="F29" s="41">
        <v>2.3332999999999999</v>
      </c>
      <c r="G29" s="42">
        <f t="shared" ref="G29:G38" si="4">$F$18</f>
        <v>600</v>
      </c>
      <c r="H29" s="43">
        <f t="shared" si="0"/>
        <v>1399.98</v>
      </c>
      <c r="I29" s="44"/>
      <c r="J29" s="45">
        <v>2.6534</v>
      </c>
      <c r="K29" s="42">
        <f>$F$18</f>
        <v>600</v>
      </c>
      <c r="L29" s="43">
        <f t="shared" si="1"/>
        <v>1592.04</v>
      </c>
      <c r="M29" s="44"/>
      <c r="N29" s="47">
        <f t="shared" si="2"/>
        <v>192.05999999999995</v>
      </c>
      <c r="O29" s="48">
        <f t="shared" si="3"/>
        <v>0.13718767410963009</v>
      </c>
    </row>
    <row r="30" spans="2:15">
      <c r="B30" s="38" t="s">
        <v>33</v>
      </c>
      <c r="C30" s="38"/>
      <c r="D30" s="39"/>
      <c r="E30" s="40"/>
      <c r="F30" s="41"/>
      <c r="G30" s="42">
        <f t="shared" si="4"/>
        <v>600</v>
      </c>
      <c r="H30" s="43">
        <f t="shared" si="0"/>
        <v>0</v>
      </c>
      <c r="I30" s="44"/>
      <c r="J30" s="45"/>
      <c r="K30" s="42">
        <f t="shared" ref="K30:K38" si="5">$F$18</f>
        <v>600</v>
      </c>
      <c r="L30" s="43">
        <f t="shared" si="1"/>
        <v>0</v>
      </c>
      <c r="M30" s="44"/>
      <c r="N30" s="47">
        <f t="shared" si="2"/>
        <v>0</v>
      </c>
      <c r="O30" s="48" t="str">
        <f t="shared" si="3"/>
        <v/>
      </c>
    </row>
    <row r="31" spans="2:15">
      <c r="B31" s="38" t="s">
        <v>34</v>
      </c>
      <c r="C31" s="38"/>
      <c r="D31" s="39"/>
      <c r="E31" s="40"/>
      <c r="F31" s="41"/>
      <c r="G31" s="42">
        <f t="shared" si="4"/>
        <v>600</v>
      </c>
      <c r="H31" s="43">
        <f t="shared" si="0"/>
        <v>0</v>
      </c>
      <c r="I31" s="44"/>
      <c r="J31" s="45"/>
      <c r="K31" s="42">
        <f t="shared" si="5"/>
        <v>600</v>
      </c>
      <c r="L31" s="43">
        <f t="shared" si="1"/>
        <v>0</v>
      </c>
      <c r="M31" s="44"/>
      <c r="N31" s="47">
        <f t="shared" si="2"/>
        <v>0</v>
      </c>
      <c r="O31" s="48" t="str">
        <f t="shared" si="3"/>
        <v/>
      </c>
    </row>
    <row r="32" spans="2:15">
      <c r="B32" s="52" t="s">
        <v>35</v>
      </c>
      <c r="C32" s="38"/>
      <c r="D32" s="39" t="s">
        <v>32</v>
      </c>
      <c r="E32" s="40"/>
      <c r="F32" s="41">
        <v>0.1527</v>
      </c>
      <c r="G32" s="42">
        <f t="shared" si="4"/>
        <v>600</v>
      </c>
      <c r="H32" s="43">
        <f>G32*F32</f>
        <v>91.62</v>
      </c>
      <c r="I32" s="44"/>
      <c r="J32" s="45">
        <v>0.2099</v>
      </c>
      <c r="K32" s="42">
        <f t="shared" si="5"/>
        <v>600</v>
      </c>
      <c r="L32" s="43">
        <f>K32*J32</f>
        <v>125.94</v>
      </c>
      <c r="M32" s="44"/>
      <c r="N32" s="47">
        <f>L32-H32</f>
        <v>34.319999999999993</v>
      </c>
      <c r="O32" s="48">
        <f>IF((H32)=0,"",(N32/H32))</f>
        <v>0.37459070072036665</v>
      </c>
    </row>
    <row r="33" spans="2:15">
      <c r="B33" s="52" t="s">
        <v>36</v>
      </c>
      <c r="C33" s="38"/>
      <c r="D33" s="39" t="s">
        <v>32</v>
      </c>
      <c r="E33" s="40"/>
      <c r="F33" s="41">
        <v>-3.4700000000000002E-2</v>
      </c>
      <c r="G33" s="42">
        <f t="shared" si="4"/>
        <v>600</v>
      </c>
      <c r="H33" s="43">
        <f>G33*F33</f>
        <v>-20.82</v>
      </c>
      <c r="I33" s="44"/>
      <c r="J33" s="45"/>
      <c r="K33" s="42">
        <f t="shared" si="5"/>
        <v>600</v>
      </c>
      <c r="L33" s="43">
        <f>K33*J33</f>
        <v>0</v>
      </c>
      <c r="M33" s="44"/>
      <c r="N33" s="47">
        <f>L33-H33</f>
        <v>20.82</v>
      </c>
      <c r="O33" s="48">
        <f>IF((H33)=0,"",(N33/H33))</f>
        <v>-1</v>
      </c>
    </row>
    <row r="34" spans="2:15">
      <c r="B34" s="52"/>
      <c r="C34" s="38"/>
      <c r="D34" s="39"/>
      <c r="E34" s="40"/>
      <c r="F34" s="41"/>
      <c r="G34" s="42">
        <f t="shared" si="4"/>
        <v>600</v>
      </c>
      <c r="H34" s="43">
        <f>G34*F34</f>
        <v>0</v>
      </c>
      <c r="I34" s="44"/>
      <c r="J34" s="45"/>
      <c r="K34" s="42">
        <f t="shared" si="5"/>
        <v>600</v>
      </c>
      <c r="L34" s="43">
        <f>K34*J34</f>
        <v>0</v>
      </c>
      <c r="M34" s="44"/>
      <c r="N34" s="47">
        <f>L34-H34</f>
        <v>0</v>
      </c>
      <c r="O34" s="48" t="str">
        <f>IF((H34)=0,"",(N34/H34))</f>
        <v/>
      </c>
    </row>
    <row r="35" spans="2:15">
      <c r="B35" s="53"/>
      <c r="C35" s="38"/>
      <c r="D35" s="39"/>
      <c r="E35" s="40"/>
      <c r="F35" s="41"/>
      <c r="G35" s="42">
        <f t="shared" si="4"/>
        <v>600</v>
      </c>
      <c r="H35" s="43">
        <f t="shared" si="0"/>
        <v>0</v>
      </c>
      <c r="I35" s="44"/>
      <c r="J35" s="45"/>
      <c r="K35" s="42">
        <f t="shared" si="5"/>
        <v>600</v>
      </c>
      <c r="L35" s="43">
        <f t="shared" si="1"/>
        <v>0</v>
      </c>
      <c r="M35" s="44"/>
      <c r="N35" s="47">
        <f t="shared" si="2"/>
        <v>0</v>
      </c>
      <c r="O35" s="48" t="str">
        <f t="shared" si="3"/>
        <v/>
      </c>
    </row>
    <row r="36" spans="2:15">
      <c r="B36" s="53"/>
      <c r="C36" s="38"/>
      <c r="D36" s="39"/>
      <c r="E36" s="40"/>
      <c r="F36" s="41"/>
      <c r="G36" s="42">
        <f t="shared" si="4"/>
        <v>600</v>
      </c>
      <c r="H36" s="43">
        <f t="shared" si="0"/>
        <v>0</v>
      </c>
      <c r="I36" s="44"/>
      <c r="J36" s="45"/>
      <c r="K36" s="42">
        <f t="shared" si="5"/>
        <v>600</v>
      </c>
      <c r="L36" s="43">
        <f t="shared" si="1"/>
        <v>0</v>
      </c>
      <c r="M36" s="44"/>
      <c r="N36" s="47">
        <f t="shared" si="2"/>
        <v>0</v>
      </c>
      <c r="O36" s="48" t="str">
        <f t="shared" si="3"/>
        <v/>
      </c>
    </row>
    <row r="37" spans="2:15">
      <c r="B37" s="53"/>
      <c r="C37" s="38"/>
      <c r="D37" s="39"/>
      <c r="E37" s="40"/>
      <c r="F37" s="41"/>
      <c r="G37" s="42">
        <f t="shared" si="4"/>
        <v>600</v>
      </c>
      <c r="H37" s="43">
        <f t="shared" si="0"/>
        <v>0</v>
      </c>
      <c r="I37" s="44"/>
      <c r="J37" s="45"/>
      <c r="K37" s="42">
        <f t="shared" si="5"/>
        <v>600</v>
      </c>
      <c r="L37" s="43">
        <f t="shared" si="1"/>
        <v>0</v>
      </c>
      <c r="M37" s="44"/>
      <c r="N37" s="47">
        <f t="shared" si="2"/>
        <v>0</v>
      </c>
      <c r="O37" s="48" t="str">
        <f t="shared" si="3"/>
        <v/>
      </c>
    </row>
    <row r="38" spans="2:15">
      <c r="B38" s="53"/>
      <c r="C38" s="38"/>
      <c r="D38" s="39"/>
      <c r="E38" s="40"/>
      <c r="F38" s="41"/>
      <c r="G38" s="42">
        <f t="shared" si="4"/>
        <v>600</v>
      </c>
      <c r="H38" s="43">
        <f t="shared" si="0"/>
        <v>0</v>
      </c>
      <c r="I38" s="44"/>
      <c r="J38" s="45"/>
      <c r="K38" s="42">
        <f t="shared" si="5"/>
        <v>600</v>
      </c>
      <c r="L38" s="43">
        <f t="shared" si="1"/>
        <v>0</v>
      </c>
      <c r="M38" s="44"/>
      <c r="N38" s="47">
        <f t="shared" si="2"/>
        <v>0</v>
      </c>
      <c r="O38" s="48" t="str">
        <f t="shared" si="3"/>
        <v/>
      </c>
    </row>
    <row r="39" spans="2:15" s="65" customFormat="1">
      <c r="B39" s="54" t="s">
        <v>37</v>
      </c>
      <c r="C39" s="55"/>
      <c r="D39" s="56"/>
      <c r="E39" s="55"/>
      <c r="F39" s="57"/>
      <c r="G39" s="58"/>
      <c r="H39" s="59">
        <f>SUM(H23:H38)</f>
        <v>1713.24</v>
      </c>
      <c r="I39" s="60"/>
      <c r="J39" s="61"/>
      <c r="K39" s="62"/>
      <c r="L39" s="59">
        <f>SUM(L23:L38)</f>
        <v>1945.55</v>
      </c>
      <c r="M39" s="60"/>
      <c r="N39" s="63">
        <f t="shared" si="2"/>
        <v>232.30999999999995</v>
      </c>
      <c r="O39" s="64">
        <f t="shared" si="3"/>
        <v>0.13559688076393264</v>
      </c>
    </row>
    <row r="40" spans="2:15" ht="25.5">
      <c r="B40" s="66" t="s">
        <v>38</v>
      </c>
      <c r="C40" s="38"/>
      <c r="D40" s="39"/>
      <c r="E40" s="40"/>
      <c r="F40" s="41"/>
      <c r="G40" s="42">
        <f>$F$18</f>
        <v>600</v>
      </c>
      <c r="H40" s="43">
        <f t="shared" ref="H40:H46" si="6">G40*F40</f>
        <v>0</v>
      </c>
      <c r="I40" s="44"/>
      <c r="J40" s="45">
        <v>-0.76070000000000004</v>
      </c>
      <c r="K40" s="42">
        <f>$F$18</f>
        <v>600</v>
      </c>
      <c r="L40" s="43">
        <f t="shared" ref="L40:L46" si="7">K40*J40</f>
        <v>-456.42</v>
      </c>
      <c r="M40" s="44"/>
      <c r="N40" s="47">
        <f t="shared" si="2"/>
        <v>-456.42</v>
      </c>
      <c r="O40" s="48" t="str">
        <f t="shared" si="3"/>
        <v/>
      </c>
    </row>
    <row r="41" spans="2:15">
      <c r="B41" s="66" t="s">
        <v>39</v>
      </c>
      <c r="C41" s="38"/>
      <c r="D41" s="39"/>
      <c r="E41" s="40"/>
      <c r="F41" s="41"/>
      <c r="G41" s="42">
        <f>$F$18</f>
        <v>600</v>
      </c>
      <c r="H41" s="43">
        <f t="shared" si="6"/>
        <v>0</v>
      </c>
      <c r="I41" s="67"/>
      <c r="J41" s="45">
        <v>-0.24379999999999999</v>
      </c>
      <c r="K41" s="42">
        <f>$F$18</f>
        <v>600</v>
      </c>
      <c r="L41" s="43">
        <f t="shared" si="7"/>
        <v>-146.28</v>
      </c>
      <c r="M41" s="68"/>
      <c r="N41" s="47">
        <f t="shared" si="2"/>
        <v>-146.28</v>
      </c>
      <c r="O41" s="48" t="str">
        <f t="shared" si="3"/>
        <v/>
      </c>
    </row>
    <row r="42" spans="2:15" ht="25.5">
      <c r="B42" s="66" t="s">
        <v>40</v>
      </c>
      <c r="C42" s="38"/>
      <c r="D42" s="39" t="s">
        <v>32</v>
      </c>
      <c r="E42" s="40"/>
      <c r="F42" s="41"/>
      <c r="G42" s="42">
        <f>$F$18</f>
        <v>600</v>
      </c>
      <c r="H42" s="43">
        <f t="shared" si="6"/>
        <v>0</v>
      </c>
      <c r="I42" s="67"/>
      <c r="J42" s="45">
        <v>0.99270000000000003</v>
      </c>
      <c r="K42" s="42">
        <f>$F$18</f>
        <v>600</v>
      </c>
      <c r="L42" s="43">
        <f t="shared" si="7"/>
        <v>595.62</v>
      </c>
      <c r="M42" s="68"/>
      <c r="N42" s="47">
        <f t="shared" si="2"/>
        <v>595.62</v>
      </c>
      <c r="O42" s="48" t="str">
        <f t="shared" si="3"/>
        <v/>
      </c>
    </row>
    <row r="43" spans="2:15">
      <c r="B43" s="66"/>
      <c r="C43" s="38"/>
      <c r="D43" s="39"/>
      <c r="E43" s="40"/>
      <c r="F43" s="41"/>
      <c r="G43" s="42">
        <f>$F$18</f>
        <v>600</v>
      </c>
      <c r="H43" s="43">
        <f t="shared" si="6"/>
        <v>0</v>
      </c>
      <c r="I43" s="67"/>
      <c r="J43" s="45"/>
      <c r="K43" s="42">
        <f>$F$18</f>
        <v>600</v>
      </c>
      <c r="L43" s="43">
        <f t="shared" si="7"/>
        <v>0</v>
      </c>
      <c r="M43" s="68"/>
      <c r="N43" s="47">
        <f t="shared" si="2"/>
        <v>0</v>
      </c>
      <c r="O43" s="48" t="str">
        <f t="shared" si="3"/>
        <v/>
      </c>
    </row>
    <row r="44" spans="2:15">
      <c r="B44" s="69" t="s">
        <v>41</v>
      </c>
      <c r="C44" s="38"/>
      <c r="D44" s="39" t="s">
        <v>32</v>
      </c>
      <c r="E44" s="40"/>
      <c r="F44" s="41">
        <v>6.8900000000000003E-2</v>
      </c>
      <c r="G44" s="42">
        <f>$F$18</f>
        <v>600</v>
      </c>
      <c r="H44" s="43">
        <f t="shared" si="6"/>
        <v>41.34</v>
      </c>
      <c r="I44" s="44"/>
      <c r="J44" s="45">
        <v>0.13522000000000001</v>
      </c>
      <c r="K44" s="42">
        <f>$F$18</f>
        <v>600</v>
      </c>
      <c r="L44" s="43">
        <f t="shared" si="7"/>
        <v>81.132000000000005</v>
      </c>
      <c r="M44" s="44"/>
      <c r="N44" s="47">
        <f t="shared" si="2"/>
        <v>39.792000000000002</v>
      </c>
      <c r="O44" s="48">
        <f t="shared" si="3"/>
        <v>0.96255442670537006</v>
      </c>
    </row>
    <row r="45" spans="2:15">
      <c r="B45" s="69" t="s">
        <v>42</v>
      </c>
      <c r="C45" s="38"/>
      <c r="D45" s="39"/>
      <c r="E45" s="40"/>
      <c r="F45" s="70">
        <f>IF(ISBLANK(D16)=TRUE, 0, IF(D16="TOU", 0.64*$F$55+0.18*$F$56+0.18*$F$57, IF(AND(D16="non-TOU", G59&gt;0), F59,F58)))</f>
        <v>8.7999999999999995E-2</v>
      </c>
      <c r="G45" s="71">
        <f>$F$18*(1+$F$74)-$F$18</f>
        <v>6.1224000000000842</v>
      </c>
      <c r="H45" s="43">
        <f t="shared" si="6"/>
        <v>0.53877120000000733</v>
      </c>
      <c r="I45" s="44"/>
      <c r="J45" s="72">
        <f>0.64*$F$55+0.18*$F$56+0.18*$F$57</f>
        <v>8.3919999999999995E-2</v>
      </c>
      <c r="K45" s="71">
        <f>$F$18*(1+$J$74)-$F$18</f>
        <v>6.1128000000001066</v>
      </c>
      <c r="L45" s="43">
        <f t="shared" si="7"/>
        <v>0.51298617600000895</v>
      </c>
      <c r="M45" s="44"/>
      <c r="N45" s="47">
        <f t="shared" si="2"/>
        <v>-2.578502399999838E-2</v>
      </c>
      <c r="O45" s="48">
        <f t="shared" si="3"/>
        <v>-4.7858950144324772E-2</v>
      </c>
    </row>
    <row r="46" spans="2:15">
      <c r="B46" s="69" t="s">
        <v>43</v>
      </c>
      <c r="C46" s="38"/>
      <c r="D46" s="39"/>
      <c r="E46" s="40"/>
      <c r="F46" s="70">
        <v>0</v>
      </c>
      <c r="G46" s="42">
        <v>1</v>
      </c>
      <c r="H46" s="43">
        <f t="shared" si="6"/>
        <v>0</v>
      </c>
      <c r="I46" s="44"/>
      <c r="J46" s="70">
        <v>0</v>
      </c>
      <c r="K46" s="42">
        <v>1</v>
      </c>
      <c r="L46" s="43">
        <f t="shared" si="7"/>
        <v>0</v>
      </c>
      <c r="M46" s="44"/>
      <c r="N46" s="47">
        <f t="shared" si="2"/>
        <v>0</v>
      </c>
      <c r="O46" s="48"/>
    </row>
    <row r="47" spans="2:15" ht="25.5">
      <c r="B47" s="73" t="s">
        <v>44</v>
      </c>
      <c r="C47" s="74"/>
      <c r="D47" s="74"/>
      <c r="E47" s="74"/>
      <c r="F47" s="75"/>
      <c r="G47" s="76"/>
      <c r="H47" s="77">
        <f>SUM(H40:H46)+H39</f>
        <v>1755.1187712000001</v>
      </c>
      <c r="I47" s="60"/>
      <c r="J47" s="76"/>
      <c r="K47" s="78"/>
      <c r="L47" s="77">
        <f>SUM(L40:L46)+L39</f>
        <v>2020.114986176</v>
      </c>
      <c r="M47" s="60"/>
      <c r="N47" s="63">
        <f t="shared" si="2"/>
        <v>264.99621497599992</v>
      </c>
      <c r="O47" s="64">
        <f t="shared" ref="O47:O65" si="8">IF((H47)=0,"",(N47/H47))</f>
        <v>0.15098477625808662</v>
      </c>
    </row>
    <row r="48" spans="2:15">
      <c r="B48" s="44" t="s">
        <v>45</v>
      </c>
      <c r="C48" s="44"/>
      <c r="D48" s="79" t="s">
        <v>32</v>
      </c>
      <c r="E48" s="80"/>
      <c r="F48" s="45">
        <v>2.7761</v>
      </c>
      <c r="G48" s="90">
        <v>600</v>
      </c>
      <c r="H48" s="43">
        <f>G48*F48</f>
        <v>1665.66</v>
      </c>
      <c r="I48" s="44"/>
      <c r="J48" s="45">
        <v>2.8201999999999998</v>
      </c>
      <c r="K48" s="93">
        <v>600</v>
      </c>
      <c r="L48" s="43">
        <f>K48*J48</f>
        <v>1692.12</v>
      </c>
      <c r="M48" s="44"/>
      <c r="N48" s="47">
        <f t="shared" si="2"/>
        <v>26.459999999999809</v>
      </c>
      <c r="O48" s="48">
        <f t="shared" si="8"/>
        <v>1.5885594899319073E-2</v>
      </c>
    </row>
    <row r="49" spans="2:19" ht="30">
      <c r="B49" s="83" t="s">
        <v>46</v>
      </c>
      <c r="C49" s="44"/>
      <c r="D49" s="79" t="s">
        <v>32</v>
      </c>
      <c r="E49" s="80"/>
      <c r="F49" s="45">
        <v>2.0480999999999998</v>
      </c>
      <c r="G49" s="90">
        <f>G48</f>
        <v>600</v>
      </c>
      <c r="H49" s="43">
        <f>G49*F49</f>
        <v>1228.8599999999999</v>
      </c>
      <c r="I49" s="44"/>
      <c r="J49" s="45">
        <v>1.7971999999999999</v>
      </c>
      <c r="K49" s="93">
        <f>K48</f>
        <v>600</v>
      </c>
      <c r="L49" s="43">
        <f>K49*J49</f>
        <v>1078.32</v>
      </c>
      <c r="M49" s="44"/>
      <c r="N49" s="47">
        <f t="shared" si="2"/>
        <v>-150.53999999999996</v>
      </c>
      <c r="O49" s="48">
        <f t="shared" si="8"/>
        <v>-0.12250378399492211</v>
      </c>
    </row>
    <row r="50" spans="2:19" ht="25.5">
      <c r="B50" s="73" t="s">
        <v>47</v>
      </c>
      <c r="C50" s="55"/>
      <c r="D50" s="55"/>
      <c r="E50" s="55"/>
      <c r="F50" s="84"/>
      <c r="G50" s="76"/>
      <c r="H50" s="77">
        <f>SUM(H47:H49)</f>
        <v>4649.6387711999996</v>
      </c>
      <c r="I50" s="85"/>
      <c r="J50" s="86"/>
      <c r="K50" s="87"/>
      <c r="L50" s="77">
        <f>SUM(L47:L49)</f>
        <v>4790.5549861760001</v>
      </c>
      <c r="M50" s="85"/>
      <c r="N50" s="63">
        <f t="shared" si="2"/>
        <v>140.91621497600045</v>
      </c>
      <c r="O50" s="64">
        <f t="shared" si="8"/>
        <v>3.030691671121629E-2</v>
      </c>
    </row>
    <row r="51" spans="2:19" ht="30">
      <c r="B51" s="88" t="s">
        <v>48</v>
      </c>
      <c r="C51" s="38"/>
      <c r="D51" s="39" t="s">
        <v>32</v>
      </c>
      <c r="E51" s="40"/>
      <c r="F51" s="89">
        <v>4.4000000000000003E-3</v>
      </c>
      <c r="G51" s="90">
        <v>306600</v>
      </c>
      <c r="H51" s="91">
        <f t="shared" ref="H51:H57" si="9">G51*F51</f>
        <v>1349.0400000000002</v>
      </c>
      <c r="I51" s="44"/>
      <c r="J51" s="92">
        <v>4.4000000000000003E-3</v>
      </c>
      <c r="K51" s="93">
        <f>+G51</f>
        <v>306600</v>
      </c>
      <c r="L51" s="91">
        <f t="shared" ref="L51:L57" si="10">K51*J51</f>
        <v>1349.0400000000002</v>
      </c>
      <c r="M51" s="44"/>
      <c r="N51" s="47">
        <f t="shared" si="2"/>
        <v>0</v>
      </c>
      <c r="O51" s="94">
        <f t="shared" si="8"/>
        <v>0</v>
      </c>
    </row>
    <row r="52" spans="2:19" ht="30">
      <c r="B52" s="88" t="s">
        <v>49</v>
      </c>
      <c r="C52" s="38"/>
      <c r="D52" s="39" t="s">
        <v>32</v>
      </c>
      <c r="E52" s="40"/>
      <c r="F52" s="89">
        <v>1.2999999999999999E-3</v>
      </c>
      <c r="G52" s="90">
        <f>+G51</f>
        <v>306600</v>
      </c>
      <c r="H52" s="91">
        <f t="shared" si="9"/>
        <v>398.58</v>
      </c>
      <c r="I52" s="44"/>
      <c r="J52" s="92">
        <v>1.2999999999999999E-3</v>
      </c>
      <c r="K52" s="93">
        <f>+G52</f>
        <v>306600</v>
      </c>
      <c r="L52" s="91">
        <f t="shared" si="10"/>
        <v>398.58</v>
      </c>
      <c r="M52" s="44"/>
      <c r="N52" s="47">
        <f t="shared" si="2"/>
        <v>0</v>
      </c>
      <c r="O52" s="94">
        <f t="shared" si="8"/>
        <v>0</v>
      </c>
    </row>
    <row r="53" spans="2:19">
      <c r="B53" s="38" t="s">
        <v>50</v>
      </c>
      <c r="C53" s="38"/>
      <c r="D53" s="39" t="s">
        <v>26</v>
      </c>
      <c r="E53" s="40"/>
      <c r="F53" s="89">
        <v>0.25</v>
      </c>
      <c r="G53" s="42">
        <v>1</v>
      </c>
      <c r="H53" s="91">
        <f t="shared" si="9"/>
        <v>0.25</v>
      </c>
      <c r="I53" s="44"/>
      <c r="J53" s="92">
        <v>0.25</v>
      </c>
      <c r="K53" s="46">
        <v>1</v>
      </c>
      <c r="L53" s="91">
        <f t="shared" si="10"/>
        <v>0.25</v>
      </c>
      <c r="M53" s="44"/>
      <c r="N53" s="47">
        <f t="shared" si="2"/>
        <v>0</v>
      </c>
      <c r="O53" s="94">
        <f t="shared" si="8"/>
        <v>0</v>
      </c>
    </row>
    <row r="54" spans="2:19">
      <c r="B54" s="38" t="s">
        <v>51</v>
      </c>
      <c r="C54" s="38"/>
      <c r="D54" s="39"/>
      <c r="E54" s="40"/>
      <c r="F54" s="89">
        <v>7.0000000000000001E-3</v>
      </c>
      <c r="G54" s="95">
        <v>306600</v>
      </c>
      <c r="H54" s="91">
        <f t="shared" si="9"/>
        <v>2146.1999999999998</v>
      </c>
      <c r="I54" s="44"/>
      <c r="J54" s="92">
        <v>7.0000000000000001E-3</v>
      </c>
      <c r="K54" s="96">
        <f>+G54</f>
        <v>306600</v>
      </c>
      <c r="L54" s="91">
        <f t="shared" si="10"/>
        <v>2146.1999999999998</v>
      </c>
      <c r="M54" s="44"/>
      <c r="N54" s="47">
        <f t="shared" si="2"/>
        <v>0</v>
      </c>
      <c r="O54" s="94">
        <f t="shared" si="8"/>
        <v>0</v>
      </c>
    </row>
    <row r="55" spans="2:19">
      <c r="B55" s="69" t="s">
        <v>52</v>
      </c>
      <c r="C55" s="38"/>
      <c r="D55" s="39" t="s">
        <v>32</v>
      </c>
      <c r="E55" s="40"/>
      <c r="F55" s="97">
        <v>6.7000000000000004E-2</v>
      </c>
      <c r="G55" s="98">
        <f>0.64*$G$54</f>
        <v>196224</v>
      </c>
      <c r="H55" s="91">
        <f t="shared" si="9"/>
        <v>13147.008000000002</v>
      </c>
      <c r="I55" s="44"/>
      <c r="J55" s="89">
        <v>6.7000000000000004E-2</v>
      </c>
      <c r="K55" s="98">
        <f>G55</f>
        <v>196224</v>
      </c>
      <c r="L55" s="91">
        <f t="shared" si="10"/>
        <v>13147.008000000002</v>
      </c>
      <c r="M55" s="44"/>
      <c r="N55" s="47">
        <f t="shared" si="2"/>
        <v>0</v>
      </c>
      <c r="O55" s="94">
        <f t="shared" si="8"/>
        <v>0</v>
      </c>
      <c r="S55" s="99"/>
    </row>
    <row r="56" spans="2:19">
      <c r="B56" s="69" t="s">
        <v>53</v>
      </c>
      <c r="C56" s="38"/>
      <c r="D56" s="39" t="s">
        <v>32</v>
      </c>
      <c r="E56" s="40"/>
      <c r="F56" s="97">
        <v>0.104</v>
      </c>
      <c r="G56" s="98">
        <f>0.18*$G$54</f>
        <v>55188</v>
      </c>
      <c r="H56" s="91">
        <f t="shared" si="9"/>
        <v>5739.5519999999997</v>
      </c>
      <c r="I56" s="44"/>
      <c r="J56" s="89">
        <v>0.104</v>
      </c>
      <c r="K56" s="98">
        <f>G56</f>
        <v>55188</v>
      </c>
      <c r="L56" s="91">
        <f t="shared" si="10"/>
        <v>5739.5519999999997</v>
      </c>
      <c r="M56" s="44"/>
      <c r="N56" s="47">
        <f t="shared" si="2"/>
        <v>0</v>
      </c>
      <c r="O56" s="94">
        <f t="shared" si="8"/>
        <v>0</v>
      </c>
      <c r="S56" s="99"/>
    </row>
    <row r="57" spans="2:19">
      <c r="B57" s="19" t="s">
        <v>54</v>
      </c>
      <c r="C57" s="38"/>
      <c r="D57" s="39" t="s">
        <v>32</v>
      </c>
      <c r="E57" s="40"/>
      <c r="F57" s="97">
        <v>0.124</v>
      </c>
      <c r="G57" s="98">
        <f>0.18*$G$54</f>
        <v>55188</v>
      </c>
      <c r="H57" s="91">
        <f t="shared" si="9"/>
        <v>6843.3119999999999</v>
      </c>
      <c r="I57" s="44"/>
      <c r="J57" s="89">
        <v>0.124</v>
      </c>
      <c r="K57" s="98">
        <f>G57</f>
        <v>55188</v>
      </c>
      <c r="L57" s="91">
        <f t="shared" si="10"/>
        <v>6843.3119999999999</v>
      </c>
      <c r="M57" s="44"/>
      <c r="N57" s="47">
        <f t="shared" si="2"/>
        <v>0</v>
      </c>
      <c r="O57" s="94">
        <f t="shared" si="8"/>
        <v>0</v>
      </c>
      <c r="S57" s="99"/>
    </row>
    <row r="58" spans="2:19" s="107" customFormat="1" ht="12.75">
      <c r="B58" s="100" t="s">
        <v>55</v>
      </c>
      <c r="C58" s="101"/>
      <c r="D58" s="102" t="s">
        <v>32</v>
      </c>
      <c r="E58" s="103"/>
      <c r="F58" s="97">
        <v>7.4999999999999997E-2</v>
      </c>
      <c r="G58" s="104">
        <v>750</v>
      </c>
      <c r="H58" s="91">
        <f>G58*F58</f>
        <v>56.25</v>
      </c>
      <c r="I58" s="105"/>
      <c r="J58" s="89">
        <v>7.4999999999999997E-2</v>
      </c>
      <c r="K58" s="104">
        <f>G58</f>
        <v>750</v>
      </c>
      <c r="L58" s="91">
        <f>K58*J58</f>
        <v>56.25</v>
      </c>
      <c r="M58" s="105"/>
      <c r="N58" s="106">
        <f t="shared" si="2"/>
        <v>0</v>
      </c>
      <c r="O58" s="94">
        <f t="shared" si="8"/>
        <v>0</v>
      </c>
    </row>
    <row r="59" spans="2:19" s="107" customFormat="1" ht="13.5" thickBot="1">
      <c r="B59" s="100" t="s">
        <v>56</v>
      </c>
      <c r="C59" s="101"/>
      <c r="D59" s="102" t="s">
        <v>32</v>
      </c>
      <c r="E59" s="103"/>
      <c r="F59" s="97">
        <v>8.7999999999999995E-2</v>
      </c>
      <c r="G59" s="104">
        <f>306600-750</f>
        <v>305850</v>
      </c>
      <c r="H59" s="91">
        <f>G59*F59</f>
        <v>26914.799999999999</v>
      </c>
      <c r="I59" s="105"/>
      <c r="J59" s="89">
        <v>8.7999999999999995E-2</v>
      </c>
      <c r="K59" s="104">
        <f>G59</f>
        <v>305850</v>
      </c>
      <c r="L59" s="91">
        <f>K59*J59</f>
        <v>26914.799999999999</v>
      </c>
      <c r="M59" s="105"/>
      <c r="N59" s="106">
        <f t="shared" si="2"/>
        <v>0</v>
      </c>
      <c r="O59" s="94">
        <f t="shared" si="8"/>
        <v>0</v>
      </c>
    </row>
    <row r="60" spans="2:19" ht="15.75" thickBot="1">
      <c r="B60" s="108"/>
      <c r="C60" s="109"/>
      <c r="D60" s="110"/>
      <c r="E60" s="109"/>
      <c r="F60" s="111"/>
      <c r="G60" s="112"/>
      <c r="H60" s="113"/>
      <c r="I60" s="114"/>
      <c r="J60" s="111"/>
      <c r="K60" s="115"/>
      <c r="L60" s="113"/>
      <c r="M60" s="114"/>
      <c r="N60" s="116"/>
      <c r="O60" s="117"/>
    </row>
    <row r="61" spans="2:19">
      <c r="B61" s="118" t="s">
        <v>57</v>
      </c>
      <c r="C61" s="38"/>
      <c r="D61" s="38"/>
      <c r="E61" s="38"/>
      <c r="F61" s="119"/>
      <c r="G61" s="120"/>
      <c r="H61" s="121">
        <f>SUM(H51:H57,H50)</f>
        <v>34273.580771200002</v>
      </c>
      <c r="I61" s="122"/>
      <c r="J61" s="123"/>
      <c r="K61" s="123"/>
      <c r="L61" s="121">
        <f>SUM(L51:L57,L50)</f>
        <v>34414.496986176004</v>
      </c>
      <c r="M61" s="124"/>
      <c r="N61" s="125">
        <f>L61-H61</f>
        <v>140.91621497600136</v>
      </c>
      <c r="O61" s="126">
        <f>IF((H61)=0,"",(N61/H61))</f>
        <v>4.1115113100295862E-3</v>
      </c>
      <c r="S61" s="99"/>
    </row>
    <row r="62" spans="2:19">
      <c r="B62" s="127" t="s">
        <v>58</v>
      </c>
      <c r="C62" s="38"/>
      <c r="D62" s="38"/>
      <c r="E62" s="38"/>
      <c r="F62" s="128">
        <v>0.13</v>
      </c>
      <c r="G62" s="129"/>
      <c r="H62" s="130">
        <f>H61*F62</f>
        <v>4455.5655002560006</v>
      </c>
      <c r="I62" s="131"/>
      <c r="J62" s="132">
        <v>0.13</v>
      </c>
      <c r="K62" s="131"/>
      <c r="L62" s="133">
        <f>L61*J62</f>
        <v>4473.8846082028804</v>
      </c>
      <c r="M62" s="134"/>
      <c r="N62" s="135">
        <f t="shared" si="2"/>
        <v>18.31910794687974</v>
      </c>
      <c r="O62" s="136">
        <f t="shared" si="8"/>
        <v>4.1115113100294882E-3</v>
      </c>
      <c r="S62" s="99"/>
    </row>
    <row r="63" spans="2:19">
      <c r="B63" s="137" t="s">
        <v>59</v>
      </c>
      <c r="C63" s="38"/>
      <c r="D63" s="38"/>
      <c r="E63" s="38"/>
      <c r="F63" s="138"/>
      <c r="G63" s="129"/>
      <c r="H63" s="130">
        <f>H61+H62</f>
        <v>38729.146271456004</v>
      </c>
      <c r="I63" s="131"/>
      <c r="J63" s="131"/>
      <c r="K63" s="131"/>
      <c r="L63" s="133">
        <f>L61+L62</f>
        <v>38888.381594378887</v>
      </c>
      <c r="M63" s="134"/>
      <c r="N63" s="135">
        <f t="shared" si="2"/>
        <v>159.23532292288292</v>
      </c>
      <c r="O63" s="136">
        <f t="shared" si="8"/>
        <v>4.1115113100296218E-3</v>
      </c>
      <c r="S63" s="99"/>
    </row>
    <row r="64" spans="2:19">
      <c r="B64" s="139" t="s">
        <v>60</v>
      </c>
      <c r="C64" s="139"/>
      <c r="D64" s="139"/>
      <c r="E64" s="38"/>
      <c r="F64" s="138"/>
      <c r="G64" s="129"/>
      <c r="H64" s="140">
        <v>0</v>
      </c>
      <c r="I64" s="131"/>
      <c r="J64" s="131"/>
      <c r="K64" s="131"/>
      <c r="L64" s="141"/>
      <c r="M64" s="134"/>
      <c r="N64" s="142">
        <f t="shared" si="2"/>
        <v>0</v>
      </c>
      <c r="O64" s="143" t="str">
        <f t="shared" si="8"/>
        <v/>
      </c>
    </row>
    <row r="65" spans="1:15" ht="15.75" thickBot="1">
      <c r="B65" s="144" t="s">
        <v>61</v>
      </c>
      <c r="C65" s="144"/>
      <c r="D65" s="144"/>
      <c r="E65" s="145"/>
      <c r="F65" s="146"/>
      <c r="G65" s="147"/>
      <c r="H65" s="148">
        <f>H63+H64</f>
        <v>38729.146271456004</v>
      </c>
      <c r="I65" s="149"/>
      <c r="J65" s="149"/>
      <c r="K65" s="149"/>
      <c r="L65" s="150">
        <f>L63+L64</f>
        <v>38888.381594378887</v>
      </c>
      <c r="M65" s="151"/>
      <c r="N65" s="152">
        <f t="shared" si="2"/>
        <v>159.23532292288292</v>
      </c>
      <c r="O65" s="153">
        <f t="shared" si="8"/>
        <v>4.1115113100296218E-3</v>
      </c>
    </row>
    <row r="66" spans="1:15" s="107" customFormat="1" ht="13.5" thickBot="1">
      <c r="B66" s="154"/>
      <c r="C66" s="155"/>
      <c r="D66" s="156"/>
      <c r="E66" s="155"/>
      <c r="F66" s="111"/>
      <c r="G66" s="157"/>
      <c r="H66" s="113"/>
      <c r="I66" s="158"/>
      <c r="J66" s="111"/>
      <c r="K66" s="159"/>
      <c r="L66" s="113"/>
      <c r="M66" s="158"/>
      <c r="N66" s="160"/>
      <c r="O66" s="117"/>
    </row>
    <row r="67" spans="1:15" s="107" customFormat="1" ht="12.75">
      <c r="B67" s="161" t="s">
        <v>62</v>
      </c>
      <c r="C67" s="101"/>
      <c r="D67" s="101"/>
      <c r="E67" s="101"/>
      <c r="F67" s="162"/>
      <c r="G67" s="163"/>
      <c r="H67" s="164">
        <f>SUM(H58:H59,H50,H51:H54)</f>
        <v>35514.758771199995</v>
      </c>
      <c r="I67" s="165"/>
      <c r="J67" s="166"/>
      <c r="K67" s="166"/>
      <c r="L67" s="164">
        <f>SUM(L58:L59,L50,L51:L54)</f>
        <v>35655.674986175996</v>
      </c>
      <c r="M67" s="167"/>
      <c r="N67" s="168">
        <f>L67-H67</f>
        <v>140.91621497600136</v>
      </c>
      <c r="O67" s="126">
        <f>IF((H67)=0,"",(N67/H67))</f>
        <v>3.9678212622487139E-3</v>
      </c>
    </row>
    <row r="68" spans="1:15" s="107" customFormat="1" ht="12.75">
      <c r="B68" s="169" t="s">
        <v>58</v>
      </c>
      <c r="C68" s="101"/>
      <c r="D68" s="101"/>
      <c r="E68" s="101"/>
      <c r="F68" s="170">
        <v>0.13</v>
      </c>
      <c r="G68" s="163"/>
      <c r="H68" s="171">
        <f>H67*F68</f>
        <v>4616.9186402559999</v>
      </c>
      <c r="I68" s="172"/>
      <c r="J68" s="173">
        <v>0.13</v>
      </c>
      <c r="K68" s="174"/>
      <c r="L68" s="175">
        <f>L67*J68</f>
        <v>4635.2377482028796</v>
      </c>
      <c r="M68" s="176"/>
      <c r="N68" s="177">
        <f>L68-H68</f>
        <v>18.31910794687974</v>
      </c>
      <c r="O68" s="136">
        <f>IF((H68)=0,"",(N68/H68))</f>
        <v>3.9678212622486194E-3</v>
      </c>
    </row>
    <row r="69" spans="1:15" s="107" customFormat="1" ht="12.75">
      <c r="B69" s="178" t="s">
        <v>59</v>
      </c>
      <c r="C69" s="101"/>
      <c r="D69" s="101"/>
      <c r="E69" s="101"/>
      <c r="F69" s="179"/>
      <c r="G69" s="180"/>
      <c r="H69" s="171">
        <f>H67+H68</f>
        <v>40131.677411455996</v>
      </c>
      <c r="I69" s="172"/>
      <c r="J69" s="172"/>
      <c r="K69" s="172">
        <v>9</v>
      </c>
      <c r="L69" s="175">
        <f>L67+L68</f>
        <v>40290.912734378879</v>
      </c>
      <c r="M69" s="176"/>
      <c r="N69" s="177">
        <f>L69-H69</f>
        <v>159.23532292288292</v>
      </c>
      <c r="O69" s="136">
        <f>IF((H69)=0,"",(N69/H69))</f>
        <v>3.9678212622487486E-3</v>
      </c>
    </row>
    <row r="70" spans="1:15" s="107" customFormat="1" ht="12.75">
      <c r="B70" s="181" t="s">
        <v>60</v>
      </c>
      <c r="C70" s="181"/>
      <c r="D70" s="181"/>
      <c r="E70" s="101"/>
      <c r="F70" s="179"/>
      <c r="G70" s="180"/>
      <c r="H70" s="182">
        <v>0</v>
      </c>
      <c r="I70" s="172"/>
      <c r="J70" s="172"/>
      <c r="K70" s="172"/>
      <c r="L70" s="183"/>
      <c r="M70" s="176"/>
      <c r="N70" s="184">
        <f>L70-H70</f>
        <v>0</v>
      </c>
      <c r="O70" s="143" t="str">
        <f>IF((H70)=0,"",(N70/H70))</f>
        <v/>
      </c>
    </row>
    <row r="71" spans="1:15" s="107" customFormat="1" ht="13.5" thickBot="1">
      <c r="B71" s="185" t="s">
        <v>63</v>
      </c>
      <c r="C71" s="185"/>
      <c r="D71" s="185"/>
      <c r="E71" s="186"/>
      <c r="F71" s="187"/>
      <c r="G71" s="188"/>
      <c r="H71" s="189">
        <f>SUM(H69:H70)</f>
        <v>40131.677411455996</v>
      </c>
      <c r="I71" s="190"/>
      <c r="J71" s="190"/>
      <c r="K71" s="190"/>
      <c r="L71" s="191">
        <f>SUM(L69:L70)</f>
        <v>40290.912734378879</v>
      </c>
      <c r="M71" s="192"/>
      <c r="N71" s="193">
        <f>L71-H71</f>
        <v>159.23532292288292</v>
      </c>
      <c r="O71" s="194">
        <f>IF((H71)=0,"",(N71/H71))</f>
        <v>3.9678212622487486E-3</v>
      </c>
    </row>
    <row r="72" spans="1:15" s="107" customFormat="1" ht="13.5" thickBot="1">
      <c r="B72" s="154"/>
      <c r="C72" s="155"/>
      <c r="D72" s="156"/>
      <c r="E72" s="155"/>
      <c r="F72" s="195"/>
      <c r="G72" s="196"/>
      <c r="H72" s="197"/>
      <c r="I72" s="198"/>
      <c r="J72" s="195"/>
      <c r="K72" s="157"/>
      <c r="L72" s="199"/>
      <c r="M72" s="158"/>
      <c r="N72" s="200"/>
      <c r="O72" s="117"/>
    </row>
    <row r="73" spans="1:15">
      <c r="L73" s="99"/>
    </row>
    <row r="74" spans="1:15">
      <c r="B74" s="20" t="s">
        <v>64</v>
      </c>
      <c r="F74" s="201">
        <v>1.0204E-2</v>
      </c>
      <c r="J74" s="201">
        <v>1.0187999999999999E-2</v>
      </c>
    </row>
    <row r="76" spans="1:15">
      <c r="A76" s="202" t="s">
        <v>65</v>
      </c>
    </row>
    <row r="78" spans="1:15">
      <c r="A78" s="12" t="s">
        <v>66</v>
      </c>
    </row>
    <row r="79" spans="1:15">
      <c r="A79" s="12" t="s">
        <v>67</v>
      </c>
    </row>
    <row r="81" spans="1:2">
      <c r="A81" s="19" t="s">
        <v>68</v>
      </c>
    </row>
    <row r="82" spans="1:2">
      <c r="A82" s="19" t="s">
        <v>69</v>
      </c>
    </row>
    <row r="84" spans="1:2">
      <c r="A84" s="12" t="s">
        <v>70</v>
      </c>
    </row>
    <row r="85" spans="1:2">
      <c r="A85" s="12" t="s">
        <v>71</v>
      </c>
    </row>
    <row r="86" spans="1:2">
      <c r="A86" s="12" t="s">
        <v>72</v>
      </c>
    </row>
    <row r="87" spans="1:2">
      <c r="A87" s="12" t="s">
        <v>73</v>
      </c>
    </row>
    <row r="88" spans="1:2">
      <c r="A88" s="12" t="s">
        <v>74</v>
      </c>
    </row>
    <row r="90" spans="1:2">
      <c r="A90" s="203"/>
      <c r="B90" s="12" t="s">
        <v>75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E48:E49 E40:E46 E23:E38 E51:E57 E60">
      <formula1>#REF!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90"/>
  <sheetViews>
    <sheetView workbookViewId="0">
      <selection activeCell="K32" sqref="K32"/>
    </sheetView>
  </sheetViews>
  <sheetFormatPr defaultRowHeight="15"/>
  <cols>
    <col min="1" max="1" width="2.140625" style="12" customWidth="1"/>
    <col min="2" max="2" width="26.5703125" style="12" customWidth="1"/>
    <col min="3" max="3" width="1.28515625" style="12" customWidth="1"/>
    <col min="4" max="4" width="11.28515625" style="12" customWidth="1"/>
    <col min="5" max="5" width="1.28515625" style="12" customWidth="1"/>
    <col min="6" max="6" width="13.42578125" style="12" bestFit="1" customWidth="1"/>
    <col min="7" max="7" width="8.5703125" style="12" customWidth="1"/>
    <col min="8" max="8" width="12.28515625" style="12" bestFit="1" customWidth="1"/>
    <col min="9" max="9" width="2.85546875" style="12" customWidth="1"/>
    <col min="10" max="10" width="13.5703125" style="12" customWidth="1"/>
    <col min="11" max="11" width="8.5703125" style="12" customWidth="1"/>
    <col min="12" max="12" width="13.5703125" style="12" customWidth="1"/>
    <col min="13" max="13" width="2.85546875" style="12" customWidth="1"/>
    <col min="14" max="14" width="12.7109375" style="12" bestFit="1" customWidth="1"/>
    <col min="15" max="15" width="10.85546875" style="12" bestFit="1" customWidth="1"/>
    <col min="16" max="16" width="3.85546875" style="12" customWidth="1"/>
    <col min="17" max="19" width="9.140625" style="12"/>
    <col min="20" max="20" width="9.140625" style="12" customWidth="1"/>
    <col min="21" max="16384" width="9.140625" style="12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EBNUMBER</f>
        <v>EB 2014 0073</v>
      </c>
      <c r="P1"/>
      <c r="T1" s="2">
        <v>1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8</v>
      </c>
      <c r="P2"/>
    </row>
    <row r="3" spans="1:20" s="2" customFormat="1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 t="s">
        <v>2</v>
      </c>
      <c r="O3" s="6">
        <v>12</v>
      </c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8"/>
      <c r="J4" s="8"/>
      <c r="K4" s="8"/>
      <c r="N4" s="3" t="s">
        <v>3</v>
      </c>
      <c r="O4" s="6">
        <v>1</v>
      </c>
      <c r="P4"/>
    </row>
    <row r="5" spans="1:20" s="2" customFormat="1" ht="15" customHeight="1">
      <c r="C5" s="9"/>
      <c r="D5" s="9"/>
      <c r="E5" s="9"/>
      <c r="N5" s="3" t="s">
        <v>4</v>
      </c>
      <c r="O5" s="10">
        <v>1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1">
        <v>41754</v>
      </c>
      <c r="P7"/>
    </row>
    <row r="8" spans="1:20" s="2" customFormat="1" ht="15" customHeight="1">
      <c r="N8" s="12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13" t="s">
        <v>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/>
    </row>
    <row r="11" spans="1:20" ht="18.75" customHeight="1">
      <c r="B11" s="13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4" t="s">
        <v>8</v>
      </c>
      <c r="D14" s="15" t="s">
        <v>84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0" ht="7.5" customHeight="1">
      <c r="B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20" ht="15.75">
      <c r="B16" s="14" t="s">
        <v>10</v>
      </c>
      <c r="D16" s="18" t="s">
        <v>11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15.75">
      <c r="B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2:15">
      <c r="B18" s="19"/>
      <c r="D18" s="20" t="s">
        <v>13</v>
      </c>
      <c r="E18" s="20"/>
      <c r="F18" s="204">
        <v>5000</v>
      </c>
      <c r="G18" s="20" t="s">
        <v>80</v>
      </c>
    </row>
    <row r="19" spans="2:15">
      <c r="B19" s="19"/>
    </row>
    <row r="20" spans="2:15">
      <c r="B20" s="19"/>
      <c r="D20" s="22"/>
      <c r="E20" s="22"/>
      <c r="F20" s="23" t="s">
        <v>15</v>
      </c>
      <c r="G20" s="24"/>
      <c r="H20" s="25"/>
      <c r="J20" s="23" t="s">
        <v>16</v>
      </c>
      <c r="K20" s="24"/>
      <c r="L20" s="25"/>
      <c r="N20" s="23" t="s">
        <v>17</v>
      </c>
      <c r="O20" s="25"/>
    </row>
    <row r="21" spans="2:15">
      <c r="B21" s="19"/>
      <c r="D21" s="26" t="s">
        <v>18</v>
      </c>
      <c r="E21" s="27"/>
      <c r="F21" s="28" t="s">
        <v>19</v>
      </c>
      <c r="G21" s="28" t="s">
        <v>20</v>
      </c>
      <c r="H21" s="29" t="s">
        <v>21</v>
      </c>
      <c r="J21" s="28" t="s">
        <v>19</v>
      </c>
      <c r="K21" s="30" t="s">
        <v>20</v>
      </c>
      <c r="L21" s="29" t="s">
        <v>21</v>
      </c>
      <c r="N21" s="31" t="s">
        <v>22</v>
      </c>
      <c r="O21" s="32" t="s">
        <v>23</v>
      </c>
    </row>
    <row r="22" spans="2:15">
      <c r="B22" s="19"/>
      <c r="D22" s="33"/>
      <c r="E22" s="27"/>
      <c r="F22" s="34" t="s">
        <v>24</v>
      </c>
      <c r="G22" s="34"/>
      <c r="H22" s="35" t="s">
        <v>24</v>
      </c>
      <c r="J22" s="34" t="s">
        <v>24</v>
      </c>
      <c r="K22" s="35"/>
      <c r="L22" s="35" t="s">
        <v>24</v>
      </c>
      <c r="N22" s="36"/>
      <c r="O22" s="37"/>
    </row>
    <row r="23" spans="2:15">
      <c r="B23" s="38" t="s">
        <v>25</v>
      </c>
      <c r="C23" s="38"/>
      <c r="D23" s="39" t="s">
        <v>26</v>
      </c>
      <c r="E23" s="40"/>
      <c r="F23" s="41">
        <v>10883.89</v>
      </c>
      <c r="G23" s="42">
        <v>1</v>
      </c>
      <c r="H23" s="43">
        <f>G23*F23</f>
        <v>10883.89</v>
      </c>
      <c r="I23" s="44"/>
      <c r="J23" s="45">
        <v>10883.89</v>
      </c>
      <c r="K23" s="46">
        <v>1</v>
      </c>
      <c r="L23" s="43">
        <f>K23*J23</f>
        <v>10883.89</v>
      </c>
      <c r="M23" s="44"/>
      <c r="N23" s="47">
        <f>L23-H23</f>
        <v>0</v>
      </c>
      <c r="O23" s="48">
        <f>IF((H23)=0,"",(N23/H23))</f>
        <v>0</v>
      </c>
    </row>
    <row r="24" spans="2:15">
      <c r="B24" s="38" t="s">
        <v>27</v>
      </c>
      <c r="C24" s="38"/>
      <c r="D24" s="39" t="s">
        <v>26</v>
      </c>
      <c r="E24" s="40"/>
      <c r="F24" s="41"/>
      <c r="G24" s="42">
        <v>1</v>
      </c>
      <c r="H24" s="43">
        <f t="shared" ref="H24:H38" si="0">G24*F24</f>
        <v>0</v>
      </c>
      <c r="I24" s="44"/>
      <c r="J24" s="45"/>
      <c r="K24" s="46">
        <v>1</v>
      </c>
      <c r="L24" s="43">
        <f>K24*J24</f>
        <v>0</v>
      </c>
      <c r="M24" s="44"/>
      <c r="N24" s="47">
        <f>L24-H24</f>
        <v>0</v>
      </c>
      <c r="O24" s="48" t="str">
        <f>IF((H24)=0,"",(N24/H24))</f>
        <v/>
      </c>
    </row>
    <row r="25" spans="2:15">
      <c r="B25" s="49" t="s">
        <v>28</v>
      </c>
      <c r="C25" s="38"/>
      <c r="D25" s="39" t="s">
        <v>26</v>
      </c>
      <c r="E25" s="40"/>
      <c r="F25" s="41">
        <v>712.23</v>
      </c>
      <c r="G25" s="42">
        <v>1</v>
      </c>
      <c r="H25" s="43">
        <f t="shared" si="0"/>
        <v>712.23</v>
      </c>
      <c r="I25" s="44"/>
      <c r="J25" s="45"/>
      <c r="K25" s="46">
        <v>1</v>
      </c>
      <c r="L25" s="43">
        <f t="shared" ref="L25:L38" si="1">K25*J25</f>
        <v>0</v>
      </c>
      <c r="M25" s="44"/>
      <c r="N25" s="47">
        <f t="shared" ref="N25:N65" si="2">L25-H25</f>
        <v>-712.23</v>
      </c>
      <c r="O25" s="48">
        <f t="shared" ref="O25:O45" si="3">IF((H25)=0,"",(N25/H25))</f>
        <v>-1</v>
      </c>
    </row>
    <row r="26" spans="2:15">
      <c r="B26" s="49" t="s">
        <v>29</v>
      </c>
      <c r="C26" s="38"/>
      <c r="D26" s="50" t="s">
        <v>26</v>
      </c>
      <c r="E26" s="40"/>
      <c r="F26" s="41"/>
      <c r="G26" s="42">
        <v>1</v>
      </c>
      <c r="H26" s="43">
        <f t="shared" si="0"/>
        <v>0</v>
      </c>
      <c r="I26" s="44"/>
      <c r="J26" s="45"/>
      <c r="K26" s="46">
        <v>1</v>
      </c>
      <c r="L26" s="43">
        <f t="shared" si="1"/>
        <v>0</v>
      </c>
      <c r="M26" s="44"/>
      <c r="N26" s="47">
        <f t="shared" si="2"/>
        <v>0</v>
      </c>
      <c r="O26" s="48" t="str">
        <f t="shared" si="3"/>
        <v/>
      </c>
    </row>
    <row r="27" spans="2:15">
      <c r="B27" s="49" t="s">
        <v>30</v>
      </c>
      <c r="C27" s="38"/>
      <c r="D27" s="39" t="s">
        <v>26</v>
      </c>
      <c r="E27" s="40"/>
      <c r="F27" s="41"/>
      <c r="G27" s="42">
        <v>1</v>
      </c>
      <c r="H27" s="43">
        <f t="shared" si="0"/>
        <v>0</v>
      </c>
      <c r="I27" s="44"/>
      <c r="J27" s="45"/>
      <c r="K27" s="46">
        <v>1</v>
      </c>
      <c r="L27" s="43">
        <f t="shared" si="1"/>
        <v>0</v>
      </c>
      <c r="M27" s="44"/>
      <c r="N27" s="47">
        <f t="shared" si="2"/>
        <v>0</v>
      </c>
      <c r="O27" s="48" t="str">
        <f t="shared" si="3"/>
        <v/>
      </c>
    </row>
    <row r="28" spans="2:15">
      <c r="B28" s="51"/>
      <c r="C28" s="38"/>
      <c r="D28" s="39"/>
      <c r="E28" s="40"/>
      <c r="F28" s="41"/>
      <c r="G28" s="42">
        <v>1</v>
      </c>
      <c r="H28" s="43">
        <f t="shared" si="0"/>
        <v>0</v>
      </c>
      <c r="I28" s="44"/>
      <c r="J28" s="45"/>
      <c r="K28" s="46">
        <v>1</v>
      </c>
      <c r="L28" s="43">
        <f t="shared" si="1"/>
        <v>0</v>
      </c>
      <c r="M28" s="44"/>
      <c r="N28" s="47">
        <f t="shared" si="2"/>
        <v>0</v>
      </c>
      <c r="O28" s="48" t="str">
        <f t="shared" si="3"/>
        <v/>
      </c>
    </row>
    <row r="29" spans="2:15">
      <c r="B29" s="38" t="s">
        <v>31</v>
      </c>
      <c r="C29" s="38"/>
      <c r="D29" s="39" t="s">
        <v>32</v>
      </c>
      <c r="E29" s="40"/>
      <c r="F29" s="41">
        <v>1.01</v>
      </c>
      <c r="G29" s="42">
        <f t="shared" ref="G29:G38" si="4">$F$18</f>
        <v>5000</v>
      </c>
      <c r="H29" s="43">
        <f t="shared" si="0"/>
        <v>5050</v>
      </c>
      <c r="I29" s="44"/>
      <c r="J29" s="45">
        <v>1.4402999999999999</v>
      </c>
      <c r="K29" s="42">
        <f>$F$18</f>
        <v>5000</v>
      </c>
      <c r="L29" s="43">
        <f t="shared" si="1"/>
        <v>7201.5</v>
      </c>
      <c r="M29" s="44"/>
      <c r="N29" s="47">
        <f t="shared" si="2"/>
        <v>2151.5</v>
      </c>
      <c r="O29" s="48">
        <f t="shared" si="3"/>
        <v>0.42603960396039603</v>
      </c>
    </row>
    <row r="30" spans="2:15">
      <c r="B30" s="38" t="s">
        <v>33</v>
      </c>
      <c r="C30" s="38"/>
      <c r="D30" s="39"/>
      <c r="E30" s="40"/>
      <c r="F30" s="41"/>
      <c r="G30" s="42">
        <f t="shared" si="4"/>
        <v>5000</v>
      </c>
      <c r="H30" s="43">
        <f t="shared" si="0"/>
        <v>0</v>
      </c>
      <c r="I30" s="44"/>
      <c r="J30" s="45"/>
      <c r="K30" s="42">
        <f t="shared" ref="K30:K38" si="5">$F$18</f>
        <v>5000</v>
      </c>
      <c r="L30" s="43">
        <f t="shared" si="1"/>
        <v>0</v>
      </c>
      <c r="M30" s="44"/>
      <c r="N30" s="47">
        <f t="shared" si="2"/>
        <v>0</v>
      </c>
      <c r="O30" s="48" t="str">
        <f t="shared" si="3"/>
        <v/>
      </c>
    </row>
    <row r="31" spans="2:15">
      <c r="B31" s="38" t="s">
        <v>34</v>
      </c>
      <c r="C31" s="38"/>
      <c r="D31" s="39"/>
      <c r="E31" s="40"/>
      <c r="F31" s="41"/>
      <c r="G31" s="42">
        <f t="shared" si="4"/>
        <v>5000</v>
      </c>
      <c r="H31" s="43">
        <f t="shared" si="0"/>
        <v>0</v>
      </c>
      <c r="I31" s="44"/>
      <c r="J31" s="45"/>
      <c r="K31" s="42">
        <f t="shared" si="5"/>
        <v>5000</v>
      </c>
      <c r="L31" s="43">
        <f t="shared" si="1"/>
        <v>0</v>
      </c>
      <c r="M31" s="44"/>
      <c r="N31" s="47">
        <f t="shared" si="2"/>
        <v>0</v>
      </c>
      <c r="O31" s="48" t="str">
        <f t="shared" si="3"/>
        <v/>
      </c>
    </row>
    <row r="32" spans="2:15">
      <c r="B32" s="52" t="s">
        <v>35</v>
      </c>
      <c r="C32" s="38"/>
      <c r="D32" s="39" t="s">
        <v>32</v>
      </c>
      <c r="E32" s="40"/>
      <c r="F32" s="41">
        <v>6.6100000000000006E-2</v>
      </c>
      <c r="G32" s="42">
        <f t="shared" si="4"/>
        <v>5000</v>
      </c>
      <c r="H32" s="43">
        <f>G32*F32</f>
        <v>330.50000000000006</v>
      </c>
      <c r="I32" s="44"/>
      <c r="J32" s="45">
        <v>0.35389999999999999</v>
      </c>
      <c r="K32" s="42">
        <f t="shared" si="5"/>
        <v>5000</v>
      </c>
      <c r="L32" s="43">
        <f>K32*J32</f>
        <v>1769.5</v>
      </c>
      <c r="M32" s="44"/>
      <c r="N32" s="47">
        <f>L32-H32</f>
        <v>1439</v>
      </c>
      <c r="O32" s="48">
        <f>IF((H32)=0,"",(N32/H32))</f>
        <v>4.3540090771558235</v>
      </c>
    </row>
    <row r="33" spans="2:15">
      <c r="B33" s="52" t="s">
        <v>36</v>
      </c>
      <c r="C33" s="38"/>
      <c r="D33" s="39" t="s">
        <v>32</v>
      </c>
      <c r="E33" s="40"/>
      <c r="F33" s="41">
        <v>-3.4200000000000001E-2</v>
      </c>
      <c r="G33" s="42">
        <f t="shared" si="4"/>
        <v>5000</v>
      </c>
      <c r="H33" s="43">
        <f>G33*F33</f>
        <v>-171</v>
      </c>
      <c r="I33" s="44"/>
      <c r="J33" s="45"/>
      <c r="K33" s="42">
        <f t="shared" si="5"/>
        <v>5000</v>
      </c>
      <c r="L33" s="43">
        <f>K33*J33</f>
        <v>0</v>
      </c>
      <c r="M33" s="44"/>
      <c r="N33" s="47">
        <f>L33-H33</f>
        <v>171</v>
      </c>
      <c r="O33" s="48">
        <f>IF((H33)=0,"",(N33/H33))</f>
        <v>-1</v>
      </c>
    </row>
    <row r="34" spans="2:15">
      <c r="B34" s="52"/>
      <c r="C34" s="38"/>
      <c r="D34" s="39"/>
      <c r="E34" s="40"/>
      <c r="F34" s="41"/>
      <c r="G34" s="42">
        <f t="shared" si="4"/>
        <v>5000</v>
      </c>
      <c r="H34" s="43">
        <f>G34*F34</f>
        <v>0</v>
      </c>
      <c r="I34" s="44"/>
      <c r="J34" s="45"/>
      <c r="K34" s="42">
        <f t="shared" si="5"/>
        <v>5000</v>
      </c>
      <c r="L34" s="43">
        <f>K34*J34</f>
        <v>0</v>
      </c>
      <c r="M34" s="44"/>
      <c r="N34" s="47">
        <f>L34-H34</f>
        <v>0</v>
      </c>
      <c r="O34" s="48" t="str">
        <f>IF((H34)=0,"",(N34/H34))</f>
        <v/>
      </c>
    </row>
    <row r="35" spans="2:15">
      <c r="B35" s="53"/>
      <c r="C35" s="38"/>
      <c r="D35" s="39"/>
      <c r="E35" s="40"/>
      <c r="F35" s="41"/>
      <c r="G35" s="42">
        <f t="shared" si="4"/>
        <v>5000</v>
      </c>
      <c r="H35" s="43">
        <f t="shared" si="0"/>
        <v>0</v>
      </c>
      <c r="I35" s="44"/>
      <c r="J35" s="45"/>
      <c r="K35" s="42">
        <f t="shared" si="5"/>
        <v>5000</v>
      </c>
      <c r="L35" s="43">
        <f t="shared" si="1"/>
        <v>0</v>
      </c>
      <c r="M35" s="44"/>
      <c r="N35" s="47">
        <f t="shared" si="2"/>
        <v>0</v>
      </c>
      <c r="O35" s="48" t="str">
        <f t="shared" si="3"/>
        <v/>
      </c>
    </row>
    <row r="36" spans="2:15">
      <c r="B36" s="53"/>
      <c r="C36" s="38"/>
      <c r="D36" s="39"/>
      <c r="E36" s="40"/>
      <c r="F36" s="41"/>
      <c r="G36" s="42">
        <f t="shared" si="4"/>
        <v>5000</v>
      </c>
      <c r="H36" s="43">
        <f t="shared" si="0"/>
        <v>0</v>
      </c>
      <c r="I36" s="44"/>
      <c r="J36" s="45"/>
      <c r="K36" s="42">
        <f t="shared" si="5"/>
        <v>5000</v>
      </c>
      <c r="L36" s="43">
        <f t="shared" si="1"/>
        <v>0</v>
      </c>
      <c r="M36" s="44"/>
      <c r="N36" s="47">
        <f t="shared" si="2"/>
        <v>0</v>
      </c>
      <c r="O36" s="48" t="str">
        <f t="shared" si="3"/>
        <v/>
      </c>
    </row>
    <row r="37" spans="2:15">
      <c r="B37" s="53"/>
      <c r="C37" s="38"/>
      <c r="D37" s="39"/>
      <c r="E37" s="40"/>
      <c r="F37" s="41"/>
      <c r="G37" s="42">
        <f t="shared" si="4"/>
        <v>5000</v>
      </c>
      <c r="H37" s="43">
        <f t="shared" si="0"/>
        <v>0</v>
      </c>
      <c r="I37" s="44"/>
      <c r="J37" s="45"/>
      <c r="K37" s="42">
        <f t="shared" si="5"/>
        <v>5000</v>
      </c>
      <c r="L37" s="43">
        <f t="shared" si="1"/>
        <v>0</v>
      </c>
      <c r="M37" s="44"/>
      <c r="N37" s="47">
        <f t="shared" si="2"/>
        <v>0</v>
      </c>
      <c r="O37" s="48" t="str">
        <f t="shared" si="3"/>
        <v/>
      </c>
    </row>
    <row r="38" spans="2:15">
      <c r="B38" s="53"/>
      <c r="C38" s="38"/>
      <c r="D38" s="39"/>
      <c r="E38" s="40"/>
      <c r="F38" s="41"/>
      <c r="G38" s="42">
        <f t="shared" si="4"/>
        <v>5000</v>
      </c>
      <c r="H38" s="43">
        <f t="shared" si="0"/>
        <v>0</v>
      </c>
      <c r="I38" s="44"/>
      <c r="J38" s="45"/>
      <c r="K38" s="42">
        <f t="shared" si="5"/>
        <v>5000</v>
      </c>
      <c r="L38" s="43">
        <f t="shared" si="1"/>
        <v>0</v>
      </c>
      <c r="M38" s="44"/>
      <c r="N38" s="47">
        <f t="shared" si="2"/>
        <v>0</v>
      </c>
      <c r="O38" s="48" t="str">
        <f t="shared" si="3"/>
        <v/>
      </c>
    </row>
    <row r="39" spans="2:15" s="65" customFormat="1">
      <c r="B39" s="54" t="s">
        <v>37</v>
      </c>
      <c r="C39" s="55"/>
      <c r="D39" s="56"/>
      <c r="E39" s="55"/>
      <c r="F39" s="57"/>
      <c r="G39" s="58"/>
      <c r="H39" s="59">
        <f>SUM(H23:H38)</f>
        <v>16805.62</v>
      </c>
      <c r="I39" s="60"/>
      <c r="J39" s="61"/>
      <c r="K39" s="62"/>
      <c r="L39" s="59">
        <f>SUM(L23:L38)</f>
        <v>19854.89</v>
      </c>
      <c r="M39" s="60"/>
      <c r="N39" s="63">
        <f t="shared" si="2"/>
        <v>3049.2700000000004</v>
      </c>
      <c r="O39" s="64">
        <f t="shared" si="3"/>
        <v>0.18144346950603432</v>
      </c>
    </row>
    <row r="40" spans="2:15" ht="25.5">
      <c r="B40" s="66" t="s">
        <v>38</v>
      </c>
      <c r="C40" s="38"/>
      <c r="D40" s="39"/>
      <c r="E40" s="40"/>
      <c r="F40" s="41"/>
      <c r="G40" s="42">
        <f>$F$18</f>
        <v>5000</v>
      </c>
      <c r="H40" s="43">
        <f t="shared" ref="H40:H46" si="6">G40*F40</f>
        <v>0</v>
      </c>
      <c r="I40" s="44"/>
      <c r="J40" s="45">
        <v>-0.85740000000000005</v>
      </c>
      <c r="K40" s="42">
        <f>$F$18</f>
        <v>5000</v>
      </c>
      <c r="L40" s="43">
        <f t="shared" ref="L40:L46" si="7">K40*J40</f>
        <v>-4287</v>
      </c>
      <c r="M40" s="44"/>
      <c r="N40" s="47">
        <f t="shared" si="2"/>
        <v>-4287</v>
      </c>
      <c r="O40" s="48" t="str">
        <f t="shared" si="3"/>
        <v/>
      </c>
    </row>
    <row r="41" spans="2:15">
      <c r="B41" s="66" t="s">
        <v>39</v>
      </c>
      <c r="C41" s="38"/>
      <c r="D41" s="39"/>
      <c r="E41" s="40"/>
      <c r="F41" s="41"/>
      <c r="G41" s="42">
        <f>$F$18</f>
        <v>5000</v>
      </c>
      <c r="H41" s="43">
        <f t="shared" si="6"/>
        <v>0</v>
      </c>
      <c r="I41" s="67"/>
      <c r="J41" s="45">
        <v>-0.41110000000000002</v>
      </c>
      <c r="K41" s="42">
        <f>$F$18</f>
        <v>5000</v>
      </c>
      <c r="L41" s="43">
        <f t="shared" si="7"/>
        <v>-2055.5</v>
      </c>
      <c r="M41" s="68"/>
      <c r="N41" s="47">
        <f t="shared" si="2"/>
        <v>-2055.5</v>
      </c>
      <c r="O41" s="48" t="str">
        <f t="shared" si="3"/>
        <v/>
      </c>
    </row>
    <row r="42" spans="2:15" ht="25.5">
      <c r="B42" s="66" t="s">
        <v>40</v>
      </c>
      <c r="C42" s="38"/>
      <c r="D42" s="39" t="s">
        <v>32</v>
      </c>
      <c r="E42" s="40"/>
      <c r="F42" s="41"/>
      <c r="G42" s="42">
        <f>$F$18</f>
        <v>5000</v>
      </c>
      <c r="H42" s="43">
        <f t="shared" si="6"/>
        <v>0</v>
      </c>
      <c r="I42" s="67"/>
      <c r="J42" s="45">
        <v>1.6734</v>
      </c>
      <c r="K42" s="42">
        <f>$F$18</f>
        <v>5000</v>
      </c>
      <c r="L42" s="43">
        <f t="shared" si="7"/>
        <v>8367</v>
      </c>
      <c r="M42" s="68"/>
      <c r="N42" s="47">
        <f t="shared" si="2"/>
        <v>8367</v>
      </c>
      <c r="O42" s="48" t="str">
        <f t="shared" si="3"/>
        <v/>
      </c>
    </row>
    <row r="43" spans="2:15">
      <c r="B43" s="66"/>
      <c r="C43" s="38"/>
      <c r="D43" s="39"/>
      <c r="E43" s="40"/>
      <c r="F43" s="41"/>
      <c r="G43" s="42">
        <f>$F$18</f>
        <v>5000</v>
      </c>
      <c r="H43" s="43">
        <f t="shared" si="6"/>
        <v>0</v>
      </c>
      <c r="I43" s="67"/>
      <c r="J43" s="45"/>
      <c r="K43" s="42">
        <f>$F$18</f>
        <v>5000</v>
      </c>
      <c r="L43" s="43">
        <f t="shared" si="7"/>
        <v>0</v>
      </c>
      <c r="M43" s="68"/>
      <c r="N43" s="47">
        <f t="shared" si="2"/>
        <v>0</v>
      </c>
      <c r="O43" s="48" t="str">
        <f t="shared" si="3"/>
        <v/>
      </c>
    </row>
    <row r="44" spans="2:15">
      <c r="B44" s="69" t="s">
        <v>41</v>
      </c>
      <c r="C44" s="38"/>
      <c r="D44" s="39" t="s">
        <v>32</v>
      </c>
      <c r="E44" s="40"/>
      <c r="F44" s="41">
        <v>8.0100000000000005E-2</v>
      </c>
      <c r="G44" s="42">
        <f>$F$18</f>
        <v>5000</v>
      </c>
      <c r="H44" s="43">
        <f t="shared" si="6"/>
        <v>400.5</v>
      </c>
      <c r="I44" s="44"/>
      <c r="J44" s="45">
        <v>0.1578</v>
      </c>
      <c r="K44" s="42">
        <f>$F$18</f>
        <v>5000</v>
      </c>
      <c r="L44" s="43">
        <f t="shared" si="7"/>
        <v>789</v>
      </c>
      <c r="M44" s="44"/>
      <c r="N44" s="47">
        <f t="shared" si="2"/>
        <v>388.5</v>
      </c>
      <c r="O44" s="48">
        <f t="shared" si="3"/>
        <v>0.97003745318352064</v>
      </c>
    </row>
    <row r="45" spans="2:15">
      <c r="B45" s="69" t="s">
        <v>42</v>
      </c>
      <c r="C45" s="38"/>
      <c r="D45" s="39"/>
      <c r="E45" s="40"/>
      <c r="F45" s="70">
        <f>IF(ISBLANK(D16)=TRUE, 0, IF(D16="TOU", 0.64*$F$55+0.18*$F$56+0.18*$F$57, IF(AND(D16="non-TOU", G59&gt;0), F59,F58)))</f>
        <v>8.7999999999999995E-2</v>
      </c>
      <c r="G45" s="71">
        <f>$F$18*(1+$F$74)-$F$18</f>
        <v>50.375</v>
      </c>
      <c r="H45" s="43">
        <f t="shared" si="6"/>
        <v>4.4329999999999998</v>
      </c>
      <c r="I45" s="44"/>
      <c r="J45" s="72">
        <f>0.64*$F$55+0.18*$F$56+0.18*$F$57</f>
        <v>8.3919999999999995E-2</v>
      </c>
      <c r="K45" s="71">
        <f>$F$18*(1+$J$74)-$F$18</f>
        <v>50.375</v>
      </c>
      <c r="L45" s="43">
        <f t="shared" si="7"/>
        <v>4.2274699999999994</v>
      </c>
      <c r="M45" s="44"/>
      <c r="N45" s="47">
        <f t="shared" si="2"/>
        <v>-0.20553000000000043</v>
      </c>
      <c r="O45" s="48">
        <f t="shared" si="3"/>
        <v>-4.6363636363636461E-2</v>
      </c>
    </row>
    <row r="46" spans="2:15">
      <c r="B46" s="69" t="s">
        <v>43</v>
      </c>
      <c r="C46" s="38"/>
      <c r="D46" s="39"/>
      <c r="E46" s="40"/>
      <c r="F46" s="70">
        <v>0</v>
      </c>
      <c r="G46" s="42">
        <v>1</v>
      </c>
      <c r="H46" s="43">
        <f t="shared" si="6"/>
        <v>0</v>
      </c>
      <c r="I46" s="44"/>
      <c r="J46" s="70">
        <v>0</v>
      </c>
      <c r="K46" s="42">
        <v>1</v>
      </c>
      <c r="L46" s="43">
        <f t="shared" si="7"/>
        <v>0</v>
      </c>
      <c r="M46" s="44"/>
      <c r="N46" s="47">
        <f t="shared" si="2"/>
        <v>0</v>
      </c>
      <c r="O46" s="48"/>
    </row>
    <row r="47" spans="2:15" ht="25.5">
      <c r="B47" s="73" t="s">
        <v>44</v>
      </c>
      <c r="C47" s="74"/>
      <c r="D47" s="74"/>
      <c r="E47" s="74"/>
      <c r="F47" s="75"/>
      <c r="G47" s="76"/>
      <c r="H47" s="77">
        <f>SUM(H40:H46)+H39</f>
        <v>17210.553</v>
      </c>
      <c r="I47" s="60"/>
      <c r="J47" s="76"/>
      <c r="K47" s="78"/>
      <c r="L47" s="77">
        <f>SUM(L40:L46)+L39</f>
        <v>22672.617469999997</v>
      </c>
      <c r="M47" s="60"/>
      <c r="N47" s="63">
        <f t="shared" si="2"/>
        <v>5462.0644699999975</v>
      </c>
      <c r="O47" s="64">
        <f t="shared" ref="O47:O65" si="8">IF((H47)=0,"",(N47/H47))</f>
        <v>0.3173671682716992</v>
      </c>
    </row>
    <row r="48" spans="2:15">
      <c r="B48" s="44" t="s">
        <v>45</v>
      </c>
      <c r="C48" s="44"/>
      <c r="D48" s="79" t="s">
        <v>32</v>
      </c>
      <c r="E48" s="80"/>
      <c r="F48" s="45">
        <v>3.0737999999999999</v>
      </c>
      <c r="G48" s="90">
        <v>5000</v>
      </c>
      <c r="H48" s="43">
        <f>G48*F48</f>
        <v>15369</v>
      </c>
      <c r="I48" s="44"/>
      <c r="J48" s="45">
        <v>3.1225999999999998</v>
      </c>
      <c r="K48" s="93">
        <f>+G48</f>
        <v>5000</v>
      </c>
      <c r="L48" s="43">
        <f>K48*J48</f>
        <v>15613</v>
      </c>
      <c r="M48" s="44"/>
      <c r="N48" s="47">
        <f t="shared" si="2"/>
        <v>244</v>
      </c>
      <c r="O48" s="48">
        <f t="shared" si="8"/>
        <v>1.5876114255969808E-2</v>
      </c>
    </row>
    <row r="49" spans="2:19" ht="30">
      <c r="B49" s="83" t="s">
        <v>46</v>
      </c>
      <c r="C49" s="44"/>
      <c r="D49" s="79" t="s">
        <v>32</v>
      </c>
      <c r="E49" s="80"/>
      <c r="F49" s="45">
        <v>2.3422000000000001</v>
      </c>
      <c r="G49" s="90">
        <f>G48</f>
        <v>5000</v>
      </c>
      <c r="H49" s="43">
        <f>G49*F49</f>
        <v>11711</v>
      </c>
      <c r="I49" s="44"/>
      <c r="J49" s="45">
        <v>2.0552000000000001</v>
      </c>
      <c r="K49" s="93">
        <f>K48</f>
        <v>5000</v>
      </c>
      <c r="L49" s="43">
        <f>K49*J49</f>
        <v>10276</v>
      </c>
      <c r="M49" s="44"/>
      <c r="N49" s="47">
        <f t="shared" si="2"/>
        <v>-1435</v>
      </c>
      <c r="O49" s="48">
        <f t="shared" si="8"/>
        <v>-0.12253436939629408</v>
      </c>
    </row>
    <row r="50" spans="2:19" ht="25.5">
      <c r="B50" s="73" t="s">
        <v>47</v>
      </c>
      <c r="C50" s="55"/>
      <c r="D50" s="55"/>
      <c r="E50" s="55"/>
      <c r="F50" s="84"/>
      <c r="G50" s="76"/>
      <c r="H50" s="77">
        <f>SUM(H47:H49)</f>
        <v>44290.553</v>
      </c>
      <c r="I50" s="85"/>
      <c r="J50" s="86"/>
      <c r="K50" s="87"/>
      <c r="L50" s="77">
        <f>SUM(L47:L49)</f>
        <v>48561.617469999997</v>
      </c>
      <c r="M50" s="85"/>
      <c r="N50" s="63">
        <f t="shared" si="2"/>
        <v>4271.0644699999975</v>
      </c>
      <c r="O50" s="64">
        <f t="shared" si="8"/>
        <v>9.6432854879910795E-2</v>
      </c>
    </row>
    <row r="51" spans="2:19" ht="30">
      <c r="B51" s="88" t="s">
        <v>48</v>
      </c>
      <c r="C51" s="38"/>
      <c r="D51" s="39" t="s">
        <v>32</v>
      </c>
      <c r="E51" s="40"/>
      <c r="F51" s="89">
        <v>4.4000000000000003E-3</v>
      </c>
      <c r="G51" s="90">
        <v>2555000</v>
      </c>
      <c r="H51" s="91">
        <f t="shared" ref="H51:H57" si="9">G51*F51</f>
        <v>11242</v>
      </c>
      <c r="I51" s="44"/>
      <c r="J51" s="92">
        <v>4.4000000000000003E-3</v>
      </c>
      <c r="K51" s="93">
        <f>+G51</f>
        <v>2555000</v>
      </c>
      <c r="L51" s="91">
        <f t="shared" ref="L51:L57" si="10">K51*J51</f>
        <v>11242</v>
      </c>
      <c r="M51" s="44"/>
      <c r="N51" s="47">
        <f t="shared" si="2"/>
        <v>0</v>
      </c>
      <c r="O51" s="94">
        <f t="shared" si="8"/>
        <v>0</v>
      </c>
    </row>
    <row r="52" spans="2:19" ht="30">
      <c r="B52" s="88" t="s">
        <v>49</v>
      </c>
      <c r="C52" s="38"/>
      <c r="D52" s="39" t="s">
        <v>32</v>
      </c>
      <c r="E52" s="40"/>
      <c r="F52" s="89">
        <v>1.2999999999999999E-3</v>
      </c>
      <c r="G52" s="90">
        <f>+G51</f>
        <v>2555000</v>
      </c>
      <c r="H52" s="91">
        <f t="shared" si="9"/>
        <v>3321.5</v>
      </c>
      <c r="I52" s="44"/>
      <c r="J52" s="92">
        <v>1.2999999999999999E-3</v>
      </c>
      <c r="K52" s="93">
        <f>+G52</f>
        <v>2555000</v>
      </c>
      <c r="L52" s="91">
        <f t="shared" si="10"/>
        <v>3321.5</v>
      </c>
      <c r="M52" s="44"/>
      <c r="N52" s="47">
        <f t="shared" si="2"/>
        <v>0</v>
      </c>
      <c r="O52" s="94">
        <f t="shared" si="8"/>
        <v>0</v>
      </c>
    </row>
    <row r="53" spans="2:19">
      <c r="B53" s="38" t="s">
        <v>50</v>
      </c>
      <c r="C53" s="38"/>
      <c r="D53" s="39" t="s">
        <v>26</v>
      </c>
      <c r="E53" s="40"/>
      <c r="F53" s="89">
        <v>0.25</v>
      </c>
      <c r="G53" s="42">
        <v>1</v>
      </c>
      <c r="H53" s="91">
        <f t="shared" si="9"/>
        <v>0.25</v>
      </c>
      <c r="I53" s="44"/>
      <c r="J53" s="92">
        <v>0.25</v>
      </c>
      <c r="K53" s="46">
        <v>1</v>
      </c>
      <c r="L53" s="91">
        <f t="shared" si="10"/>
        <v>0.25</v>
      </c>
      <c r="M53" s="44"/>
      <c r="N53" s="47">
        <f t="shared" si="2"/>
        <v>0</v>
      </c>
      <c r="O53" s="94">
        <f t="shared" si="8"/>
        <v>0</v>
      </c>
    </row>
    <row r="54" spans="2:19">
      <c r="B54" s="38" t="s">
        <v>51</v>
      </c>
      <c r="C54" s="38"/>
      <c r="D54" s="39"/>
      <c r="E54" s="40"/>
      <c r="F54" s="89">
        <v>7.0000000000000001E-3</v>
      </c>
      <c r="G54" s="95">
        <f>+G52/1.0075</f>
        <v>2535980.1488833744</v>
      </c>
      <c r="H54" s="91">
        <f t="shared" si="9"/>
        <v>17751.86104218362</v>
      </c>
      <c r="I54" s="44"/>
      <c r="J54" s="92">
        <v>7.0000000000000001E-3</v>
      </c>
      <c r="K54" s="96">
        <f>+K52/1.0075</f>
        <v>2535980.1488833744</v>
      </c>
      <c r="L54" s="91">
        <f t="shared" si="10"/>
        <v>17751.86104218362</v>
      </c>
      <c r="M54" s="44"/>
      <c r="N54" s="47">
        <f t="shared" si="2"/>
        <v>0</v>
      </c>
      <c r="O54" s="94">
        <f t="shared" si="8"/>
        <v>0</v>
      </c>
    </row>
    <row r="55" spans="2:19">
      <c r="B55" s="69" t="s">
        <v>52</v>
      </c>
      <c r="C55" s="38"/>
      <c r="D55" s="39" t="s">
        <v>32</v>
      </c>
      <c r="E55" s="40"/>
      <c r="F55" s="97">
        <v>6.7000000000000004E-2</v>
      </c>
      <c r="G55" s="98">
        <f>0.64*$G$52</f>
        <v>1635200</v>
      </c>
      <c r="H55" s="91">
        <f t="shared" si="9"/>
        <v>109558.40000000001</v>
      </c>
      <c r="I55" s="44"/>
      <c r="J55" s="89">
        <v>6.7000000000000004E-2</v>
      </c>
      <c r="K55" s="98">
        <f>G55</f>
        <v>1635200</v>
      </c>
      <c r="L55" s="91">
        <f t="shared" si="10"/>
        <v>109558.40000000001</v>
      </c>
      <c r="M55" s="44"/>
      <c r="N55" s="47">
        <f t="shared" si="2"/>
        <v>0</v>
      </c>
      <c r="O55" s="94">
        <f t="shared" si="8"/>
        <v>0</v>
      </c>
      <c r="S55" s="99"/>
    </row>
    <row r="56" spans="2:19">
      <c r="B56" s="69" t="s">
        <v>53</v>
      </c>
      <c r="C56" s="38"/>
      <c r="D56" s="39" t="s">
        <v>32</v>
      </c>
      <c r="E56" s="40"/>
      <c r="F56" s="97">
        <v>0.104</v>
      </c>
      <c r="G56" s="98">
        <f>0.18*$G$52</f>
        <v>459900</v>
      </c>
      <c r="H56" s="91">
        <f t="shared" si="9"/>
        <v>47829.599999999999</v>
      </c>
      <c r="I56" s="44"/>
      <c r="J56" s="89">
        <v>0.104</v>
      </c>
      <c r="K56" s="98">
        <f>G56</f>
        <v>459900</v>
      </c>
      <c r="L56" s="91">
        <f t="shared" si="10"/>
        <v>47829.599999999999</v>
      </c>
      <c r="M56" s="44"/>
      <c r="N56" s="47">
        <f t="shared" si="2"/>
        <v>0</v>
      </c>
      <c r="O56" s="94">
        <f t="shared" si="8"/>
        <v>0</v>
      </c>
      <c r="S56" s="99"/>
    </row>
    <row r="57" spans="2:19">
      <c r="B57" s="19" t="s">
        <v>54</v>
      </c>
      <c r="C57" s="38"/>
      <c r="D57" s="39" t="s">
        <v>32</v>
      </c>
      <c r="E57" s="40"/>
      <c r="F57" s="97">
        <v>0.124</v>
      </c>
      <c r="G57" s="98">
        <f>0.18*$G$52</f>
        <v>459900</v>
      </c>
      <c r="H57" s="91">
        <f t="shared" si="9"/>
        <v>57027.6</v>
      </c>
      <c r="I57" s="44"/>
      <c r="J57" s="89">
        <v>0.124</v>
      </c>
      <c r="K57" s="98">
        <f>G57</f>
        <v>459900</v>
      </c>
      <c r="L57" s="91">
        <f t="shared" si="10"/>
        <v>57027.6</v>
      </c>
      <c r="M57" s="44"/>
      <c r="N57" s="47">
        <f t="shared" si="2"/>
        <v>0</v>
      </c>
      <c r="O57" s="94">
        <f t="shared" si="8"/>
        <v>0</v>
      </c>
      <c r="S57" s="99"/>
    </row>
    <row r="58" spans="2:19" s="107" customFormat="1" ht="12.75">
      <c r="B58" s="100" t="s">
        <v>55</v>
      </c>
      <c r="C58" s="101"/>
      <c r="D58" s="102" t="s">
        <v>32</v>
      </c>
      <c r="E58" s="103"/>
      <c r="F58" s="97">
        <v>7.4999999999999997E-2</v>
      </c>
      <c r="G58" s="104">
        <v>750</v>
      </c>
      <c r="H58" s="91">
        <f>G58*F58</f>
        <v>56.25</v>
      </c>
      <c r="I58" s="105"/>
      <c r="J58" s="89">
        <v>7.4999999999999997E-2</v>
      </c>
      <c r="K58" s="104">
        <f>G58</f>
        <v>750</v>
      </c>
      <c r="L58" s="91">
        <f>K58*J58</f>
        <v>56.25</v>
      </c>
      <c r="M58" s="105"/>
      <c r="N58" s="106">
        <f t="shared" si="2"/>
        <v>0</v>
      </c>
      <c r="O58" s="94">
        <f t="shared" si="8"/>
        <v>0</v>
      </c>
    </row>
    <row r="59" spans="2:19" s="107" customFormat="1" ht="13.5" thickBot="1">
      <c r="B59" s="100" t="s">
        <v>56</v>
      </c>
      <c r="C59" s="101"/>
      <c r="D59" s="102" t="s">
        <v>32</v>
      </c>
      <c r="E59" s="103"/>
      <c r="F59" s="97">
        <v>8.7999999999999995E-2</v>
      </c>
      <c r="G59" s="104">
        <f>+G54-G58</f>
        <v>2535230.1488833744</v>
      </c>
      <c r="H59" s="91">
        <f>G59*F59</f>
        <v>223100.25310173695</v>
      </c>
      <c r="I59" s="105"/>
      <c r="J59" s="89">
        <v>8.7999999999999995E-2</v>
      </c>
      <c r="K59" s="104">
        <f>G59</f>
        <v>2535230.1488833744</v>
      </c>
      <c r="L59" s="91">
        <f>K59*J59</f>
        <v>223100.25310173695</v>
      </c>
      <c r="M59" s="105"/>
      <c r="N59" s="106">
        <f t="shared" si="2"/>
        <v>0</v>
      </c>
      <c r="O59" s="94">
        <f t="shared" si="8"/>
        <v>0</v>
      </c>
    </row>
    <row r="60" spans="2:19" ht="15.75" thickBot="1">
      <c r="B60" s="108"/>
      <c r="C60" s="109"/>
      <c r="D60" s="110"/>
      <c r="E60" s="109"/>
      <c r="F60" s="111"/>
      <c r="G60" s="112"/>
      <c r="H60" s="113"/>
      <c r="I60" s="114"/>
      <c r="J60" s="111"/>
      <c r="K60" s="115"/>
      <c r="L60" s="113"/>
      <c r="M60" s="114"/>
      <c r="N60" s="116"/>
      <c r="O60" s="117"/>
    </row>
    <row r="61" spans="2:19">
      <c r="B61" s="118" t="s">
        <v>57</v>
      </c>
      <c r="C61" s="38"/>
      <c r="D61" s="38"/>
      <c r="E61" s="38"/>
      <c r="F61" s="119"/>
      <c r="G61" s="120"/>
      <c r="H61" s="121">
        <f>SUM(H51:H57,H50)</f>
        <v>291021.76404218364</v>
      </c>
      <c r="I61" s="122"/>
      <c r="J61" s="123"/>
      <c r="K61" s="123"/>
      <c r="L61" s="121">
        <f>SUM(L51:L57,L50)</f>
        <v>295292.82851218362</v>
      </c>
      <c r="M61" s="124"/>
      <c r="N61" s="125">
        <f>L61-H61</f>
        <v>4271.064469999983</v>
      </c>
      <c r="O61" s="126">
        <f>IF((H61)=0,"",(N61/H61))</f>
        <v>1.4676099858225352E-2</v>
      </c>
      <c r="S61" s="99"/>
    </row>
    <row r="62" spans="2:19">
      <c r="B62" s="127" t="s">
        <v>58</v>
      </c>
      <c r="C62" s="38"/>
      <c r="D62" s="38"/>
      <c r="E62" s="38"/>
      <c r="F62" s="128">
        <v>0.13</v>
      </c>
      <c r="G62" s="129"/>
      <c r="H62" s="130">
        <f>H61*F62</f>
        <v>37832.829325483872</v>
      </c>
      <c r="I62" s="131"/>
      <c r="J62" s="132">
        <v>0.13</v>
      </c>
      <c r="K62" s="131"/>
      <c r="L62" s="133">
        <f>L61*J62</f>
        <v>38388.067706583875</v>
      </c>
      <c r="M62" s="134"/>
      <c r="N62" s="135">
        <f t="shared" si="2"/>
        <v>555.23838110000361</v>
      </c>
      <c r="O62" s="136">
        <f t="shared" si="8"/>
        <v>1.4676099858225506E-2</v>
      </c>
      <c r="S62" s="99"/>
    </row>
    <row r="63" spans="2:19">
      <c r="B63" s="137" t="s">
        <v>59</v>
      </c>
      <c r="C63" s="38"/>
      <c r="D63" s="38"/>
      <c r="E63" s="38"/>
      <c r="F63" s="138"/>
      <c r="G63" s="129"/>
      <c r="H63" s="130">
        <f>H61+H62</f>
        <v>328854.59336766752</v>
      </c>
      <c r="I63" s="131"/>
      <c r="J63" s="131"/>
      <c r="K63" s="131"/>
      <c r="L63" s="133">
        <f>L61+L62</f>
        <v>333680.89621876751</v>
      </c>
      <c r="M63" s="134"/>
      <c r="N63" s="135">
        <f t="shared" si="2"/>
        <v>4826.3028510999866</v>
      </c>
      <c r="O63" s="136">
        <f t="shared" si="8"/>
        <v>1.4676099858225369E-2</v>
      </c>
      <c r="S63" s="99"/>
    </row>
    <row r="64" spans="2:19">
      <c r="B64" s="139" t="s">
        <v>60</v>
      </c>
      <c r="C64" s="139"/>
      <c r="D64" s="139"/>
      <c r="E64" s="38"/>
      <c r="F64" s="138"/>
      <c r="G64" s="129"/>
      <c r="H64" s="140">
        <v>0</v>
      </c>
      <c r="I64" s="131"/>
      <c r="J64" s="131"/>
      <c r="K64" s="131"/>
      <c r="L64" s="141">
        <v>0</v>
      </c>
      <c r="M64" s="134"/>
      <c r="N64" s="142">
        <f t="shared" si="2"/>
        <v>0</v>
      </c>
      <c r="O64" s="143" t="str">
        <f t="shared" si="8"/>
        <v/>
      </c>
    </row>
    <row r="65" spans="1:15" ht="15.75" thickBot="1">
      <c r="B65" s="144" t="s">
        <v>61</v>
      </c>
      <c r="C65" s="144"/>
      <c r="D65" s="144"/>
      <c r="E65" s="145"/>
      <c r="F65" s="146"/>
      <c r="G65" s="147"/>
      <c r="H65" s="148">
        <f>H63+H64</f>
        <v>328854.59336766752</v>
      </c>
      <c r="I65" s="149"/>
      <c r="J65" s="149"/>
      <c r="K65" s="149"/>
      <c r="L65" s="150">
        <f>L63+L64</f>
        <v>333680.89621876751</v>
      </c>
      <c r="M65" s="151"/>
      <c r="N65" s="152">
        <f t="shared" si="2"/>
        <v>4826.3028510999866</v>
      </c>
      <c r="O65" s="153">
        <f t="shared" si="8"/>
        <v>1.4676099858225369E-2</v>
      </c>
    </row>
    <row r="66" spans="1:15" s="107" customFormat="1" ht="13.5" thickBot="1">
      <c r="B66" s="154"/>
      <c r="C66" s="155"/>
      <c r="D66" s="156"/>
      <c r="E66" s="155"/>
      <c r="F66" s="111"/>
      <c r="G66" s="157"/>
      <c r="H66" s="113"/>
      <c r="I66" s="158"/>
      <c r="J66" s="111"/>
      <c r="K66" s="159"/>
      <c r="L66" s="113"/>
      <c r="M66" s="158"/>
      <c r="N66" s="160"/>
      <c r="O66" s="117"/>
    </row>
    <row r="67" spans="1:15" s="107" customFormat="1" ht="12.75">
      <c r="B67" s="161" t="s">
        <v>62</v>
      </c>
      <c r="C67" s="101"/>
      <c r="D67" s="101"/>
      <c r="E67" s="101"/>
      <c r="F67" s="162"/>
      <c r="G67" s="163"/>
      <c r="H67" s="164">
        <f>SUM(H58:H59,H50,H51:H54)</f>
        <v>299762.66714392055</v>
      </c>
      <c r="I67" s="165"/>
      <c r="J67" s="166"/>
      <c r="K67" s="166"/>
      <c r="L67" s="164">
        <f>SUM(L58:L59,L50,L51:L54)</f>
        <v>304033.73161392054</v>
      </c>
      <c r="M67" s="167"/>
      <c r="N67" s="168">
        <f>L67-H67</f>
        <v>4271.064469999983</v>
      </c>
      <c r="O67" s="126">
        <f>IF((H67)=0,"",(N67/H67))</f>
        <v>1.4248153416480582E-2</v>
      </c>
    </row>
    <row r="68" spans="1:15" s="107" customFormat="1" ht="12.75">
      <c r="B68" s="169" t="s">
        <v>58</v>
      </c>
      <c r="C68" s="101"/>
      <c r="D68" s="101"/>
      <c r="E68" s="101"/>
      <c r="F68" s="170">
        <v>0.13</v>
      </c>
      <c r="G68" s="163"/>
      <c r="H68" s="171">
        <f>H67*F68</f>
        <v>38969.146728709675</v>
      </c>
      <c r="I68" s="172"/>
      <c r="J68" s="173">
        <v>0.13</v>
      </c>
      <c r="K68" s="174"/>
      <c r="L68" s="175">
        <f>L67*J68</f>
        <v>39524.385109809671</v>
      </c>
      <c r="M68" s="176"/>
      <c r="N68" s="177">
        <f>L68-H68</f>
        <v>555.23838109999633</v>
      </c>
      <c r="O68" s="136">
        <f>IF((H68)=0,"",(N68/H68))</f>
        <v>1.4248153416480542E-2</v>
      </c>
    </row>
    <row r="69" spans="1:15" s="107" customFormat="1" ht="12.75">
      <c r="B69" s="178" t="s">
        <v>59</v>
      </c>
      <c r="C69" s="101"/>
      <c r="D69" s="101"/>
      <c r="E69" s="101"/>
      <c r="F69" s="179"/>
      <c r="G69" s="180"/>
      <c r="H69" s="171">
        <f>H67+H68</f>
        <v>338731.81387263024</v>
      </c>
      <c r="I69" s="172"/>
      <c r="J69" s="172"/>
      <c r="K69" s="172"/>
      <c r="L69" s="175">
        <f>L67+L68</f>
        <v>343558.11672373023</v>
      </c>
      <c r="M69" s="176"/>
      <c r="N69" s="177">
        <f>L69-H69</f>
        <v>4826.3028510999866</v>
      </c>
      <c r="O69" s="136">
        <f>IF((H69)=0,"",(N69/H69))</f>
        <v>1.4248153416480598E-2</v>
      </c>
    </row>
    <row r="70" spans="1:15" s="107" customFormat="1" ht="12.75">
      <c r="B70" s="181" t="s">
        <v>60</v>
      </c>
      <c r="C70" s="181"/>
      <c r="D70" s="181"/>
      <c r="E70" s="101"/>
      <c r="F70" s="179"/>
      <c r="G70" s="180"/>
      <c r="H70" s="182">
        <v>0</v>
      </c>
      <c r="I70" s="172"/>
      <c r="J70" s="172"/>
      <c r="K70" s="172"/>
      <c r="L70" s="183">
        <v>0</v>
      </c>
      <c r="M70" s="176"/>
      <c r="N70" s="184">
        <f>L70-H70</f>
        <v>0</v>
      </c>
      <c r="O70" s="143" t="str">
        <f>IF((H70)=0,"",(N70/H70))</f>
        <v/>
      </c>
    </row>
    <row r="71" spans="1:15" s="107" customFormat="1" ht="13.5" thickBot="1">
      <c r="B71" s="185" t="s">
        <v>63</v>
      </c>
      <c r="C71" s="185"/>
      <c r="D71" s="185"/>
      <c r="E71" s="186"/>
      <c r="F71" s="187"/>
      <c r="G71" s="188"/>
      <c r="H71" s="189">
        <f>SUM(H69:H70)</f>
        <v>338731.81387263024</v>
      </c>
      <c r="I71" s="190"/>
      <c r="J71" s="190"/>
      <c r="K71" s="190"/>
      <c r="L71" s="191">
        <f>SUM(L69:L70)</f>
        <v>343558.11672373023</v>
      </c>
      <c r="M71" s="192"/>
      <c r="N71" s="193">
        <f>L71-H71</f>
        <v>4826.3028510999866</v>
      </c>
      <c r="O71" s="194">
        <f>IF((H71)=0,"",(N71/H71))</f>
        <v>1.4248153416480598E-2</v>
      </c>
    </row>
    <row r="72" spans="1:15" s="107" customFormat="1" ht="13.5" thickBot="1">
      <c r="B72" s="154"/>
      <c r="C72" s="155"/>
      <c r="D72" s="156"/>
      <c r="E72" s="155"/>
      <c r="F72" s="195"/>
      <c r="G72" s="196"/>
      <c r="H72" s="197"/>
      <c r="I72" s="198"/>
      <c r="J72" s="195"/>
      <c r="K72" s="157"/>
      <c r="L72" s="199"/>
      <c r="M72" s="158"/>
      <c r="N72" s="200"/>
      <c r="O72" s="117"/>
    </row>
    <row r="73" spans="1:15">
      <c r="L73" s="99"/>
    </row>
    <row r="74" spans="1:15">
      <c r="B74" s="20" t="s">
        <v>64</v>
      </c>
      <c r="F74" s="201">
        <v>1.0075000000000001E-2</v>
      </c>
      <c r="J74" s="201">
        <v>1.0075000000000001E-2</v>
      </c>
    </row>
    <row r="76" spans="1:15">
      <c r="A76" s="202" t="s">
        <v>65</v>
      </c>
    </row>
    <row r="78" spans="1:15">
      <c r="A78" s="12" t="s">
        <v>66</v>
      </c>
    </row>
    <row r="79" spans="1:15">
      <c r="A79" s="12" t="s">
        <v>67</v>
      </c>
    </row>
    <row r="81" spans="1:2">
      <c r="A81" s="19" t="s">
        <v>68</v>
      </c>
    </row>
    <row r="82" spans="1:2">
      <c r="A82" s="19" t="s">
        <v>69</v>
      </c>
    </row>
    <row r="84" spans="1:2">
      <c r="A84" s="12" t="s">
        <v>70</v>
      </c>
    </row>
    <row r="85" spans="1:2">
      <c r="A85" s="12" t="s">
        <v>71</v>
      </c>
    </row>
    <row r="86" spans="1:2">
      <c r="A86" s="12" t="s">
        <v>72</v>
      </c>
    </row>
    <row r="87" spans="1:2">
      <c r="A87" s="12" t="s">
        <v>73</v>
      </c>
    </row>
    <row r="88" spans="1:2">
      <c r="A88" s="12" t="s">
        <v>74</v>
      </c>
    </row>
    <row r="90" spans="1:2">
      <c r="A90" s="203"/>
      <c r="B90" s="12" t="s">
        <v>75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E48:E49 E40:E46 E23:E38 E51:E57 E60">
      <formula1>#REF!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90"/>
  <sheetViews>
    <sheetView workbookViewId="0">
      <selection activeCell="L55" sqref="L55"/>
    </sheetView>
  </sheetViews>
  <sheetFormatPr defaultRowHeight="15"/>
  <cols>
    <col min="1" max="1" width="2.140625" style="12" customWidth="1"/>
    <col min="2" max="2" width="26.5703125" style="12" customWidth="1"/>
    <col min="3" max="3" width="1.28515625" style="12" customWidth="1"/>
    <col min="4" max="4" width="11.28515625" style="12" customWidth="1"/>
    <col min="5" max="5" width="1.28515625" style="12" customWidth="1"/>
    <col min="6" max="6" width="13.42578125" style="12" bestFit="1" customWidth="1"/>
    <col min="7" max="7" width="8.5703125" style="12" customWidth="1"/>
    <col min="8" max="8" width="12.28515625" style="12" bestFit="1" customWidth="1"/>
    <col min="9" max="9" width="2.85546875" style="12" customWidth="1"/>
    <col min="10" max="10" width="13.5703125" style="12" customWidth="1"/>
    <col min="11" max="11" width="8.5703125" style="12" customWidth="1"/>
    <col min="12" max="12" width="11.5703125" style="12" customWidth="1"/>
    <col min="13" max="13" width="2.85546875" style="12" customWidth="1"/>
    <col min="14" max="14" width="12.7109375" style="12" bestFit="1" customWidth="1"/>
    <col min="15" max="15" width="10.85546875" style="12" bestFit="1" customWidth="1"/>
    <col min="16" max="16" width="3.85546875" style="12" customWidth="1"/>
    <col min="17" max="19" width="9.140625" style="12"/>
    <col min="20" max="20" width="9.140625" style="12" customWidth="1"/>
    <col min="21" max="16384" width="9.140625" style="12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EBNUMBER</f>
        <v>EB 2014 0073</v>
      </c>
      <c r="P1"/>
      <c r="T1" s="2">
        <v>2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8</v>
      </c>
      <c r="P2"/>
    </row>
    <row r="3" spans="1:20" s="2" customFormat="1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 t="s">
        <v>2</v>
      </c>
      <c r="O3" s="6">
        <v>12</v>
      </c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8"/>
      <c r="J4" s="8"/>
      <c r="K4" s="8"/>
      <c r="N4" s="3" t="s">
        <v>3</v>
      </c>
      <c r="O4" s="6">
        <v>1</v>
      </c>
      <c r="P4"/>
    </row>
    <row r="5" spans="1:20" s="2" customFormat="1" ht="15" customHeight="1">
      <c r="C5" s="9"/>
      <c r="D5" s="9"/>
      <c r="E5" s="9"/>
      <c r="N5" s="3" t="s">
        <v>4</v>
      </c>
      <c r="O5" s="10">
        <v>1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1">
        <v>41754</v>
      </c>
      <c r="P7"/>
    </row>
    <row r="8" spans="1:20" s="2" customFormat="1" ht="15" customHeight="1">
      <c r="N8" s="12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13" t="s">
        <v>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/>
    </row>
    <row r="11" spans="1:20" ht="18.75" customHeight="1">
      <c r="B11" s="13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4" t="s">
        <v>8</v>
      </c>
      <c r="D14" s="15" t="s">
        <v>9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0" ht="7.5" customHeight="1">
      <c r="B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20" ht="15.75">
      <c r="B16" s="14" t="s">
        <v>10</v>
      </c>
      <c r="D16" s="18" t="s">
        <v>11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15.75">
      <c r="B17" s="16"/>
      <c r="D17" s="17"/>
      <c r="E17" s="17"/>
      <c r="F17" s="17">
        <v>131</v>
      </c>
      <c r="G17" s="17" t="s">
        <v>12</v>
      </c>
      <c r="H17" s="17"/>
      <c r="I17" s="17"/>
      <c r="J17" s="17"/>
      <c r="K17" s="17"/>
      <c r="L17" s="17"/>
      <c r="M17" s="17"/>
      <c r="N17" s="17"/>
      <c r="O17" s="17"/>
    </row>
    <row r="18" spans="2:15">
      <c r="B18" s="19"/>
      <c r="D18" s="20" t="s">
        <v>13</v>
      </c>
      <c r="E18" s="20"/>
      <c r="F18" s="21">
        <v>0.36</v>
      </c>
      <c r="G18" s="20" t="s">
        <v>14</v>
      </c>
    </row>
    <row r="19" spans="2:15">
      <c r="B19" s="19"/>
    </row>
    <row r="20" spans="2:15">
      <c r="B20" s="19"/>
      <c r="D20" s="22"/>
      <c r="E20" s="22"/>
      <c r="F20" s="23" t="s">
        <v>15</v>
      </c>
      <c r="G20" s="24"/>
      <c r="H20" s="25"/>
      <c r="J20" s="23" t="s">
        <v>16</v>
      </c>
      <c r="K20" s="24"/>
      <c r="L20" s="25"/>
      <c r="N20" s="23" t="s">
        <v>17</v>
      </c>
      <c r="O20" s="25"/>
    </row>
    <row r="21" spans="2:15">
      <c r="B21" s="19"/>
      <c r="D21" s="26" t="s">
        <v>18</v>
      </c>
      <c r="E21" s="27"/>
      <c r="F21" s="28" t="s">
        <v>19</v>
      </c>
      <c r="G21" s="28" t="s">
        <v>20</v>
      </c>
      <c r="H21" s="29" t="s">
        <v>21</v>
      </c>
      <c r="J21" s="28" t="s">
        <v>19</v>
      </c>
      <c r="K21" s="30" t="s">
        <v>20</v>
      </c>
      <c r="L21" s="29" t="s">
        <v>21</v>
      </c>
      <c r="N21" s="31" t="s">
        <v>22</v>
      </c>
      <c r="O21" s="32" t="s">
        <v>23</v>
      </c>
    </row>
    <row r="22" spans="2:15">
      <c r="B22" s="19"/>
      <c r="D22" s="33"/>
      <c r="E22" s="27"/>
      <c r="F22" s="34" t="s">
        <v>24</v>
      </c>
      <c r="G22" s="34"/>
      <c r="H22" s="35" t="s">
        <v>24</v>
      </c>
      <c r="J22" s="34" t="s">
        <v>24</v>
      </c>
      <c r="K22" s="35"/>
      <c r="L22" s="35" t="s">
        <v>24</v>
      </c>
      <c r="N22" s="36"/>
      <c r="O22" s="37"/>
    </row>
    <row r="23" spans="2:15">
      <c r="B23" s="38" t="s">
        <v>25</v>
      </c>
      <c r="C23" s="38"/>
      <c r="D23" s="39" t="s">
        <v>26</v>
      </c>
      <c r="E23" s="40"/>
      <c r="F23" s="41">
        <v>2.06</v>
      </c>
      <c r="G23" s="42">
        <v>1</v>
      </c>
      <c r="H23" s="43">
        <f>G23*F23</f>
        <v>2.06</v>
      </c>
      <c r="I23" s="44"/>
      <c r="J23" s="45">
        <v>2.27</v>
      </c>
      <c r="K23" s="46">
        <v>1</v>
      </c>
      <c r="L23" s="43">
        <f>K23*J23</f>
        <v>2.27</v>
      </c>
      <c r="M23" s="44"/>
      <c r="N23" s="47">
        <f>L23-H23</f>
        <v>0.20999999999999996</v>
      </c>
      <c r="O23" s="48">
        <f>IF((H23)=0,"",(N23/H23))</f>
        <v>0.10194174757281552</v>
      </c>
    </row>
    <row r="24" spans="2:15">
      <c r="B24" s="38" t="s">
        <v>27</v>
      </c>
      <c r="C24" s="38"/>
      <c r="D24" s="39" t="s">
        <v>26</v>
      </c>
      <c r="E24" s="40"/>
      <c r="F24" s="41"/>
      <c r="G24" s="42">
        <v>1</v>
      </c>
      <c r="H24" s="43">
        <f t="shared" ref="H24:H38" si="0">G24*F24</f>
        <v>0</v>
      </c>
      <c r="I24" s="44"/>
      <c r="J24" s="45"/>
      <c r="K24" s="46">
        <v>1</v>
      </c>
      <c r="L24" s="43">
        <f>K24*J24</f>
        <v>0</v>
      </c>
      <c r="M24" s="44"/>
      <c r="N24" s="47">
        <f>L24-H24</f>
        <v>0</v>
      </c>
      <c r="O24" s="48" t="str">
        <f>IF((H24)=0,"",(N24/H24))</f>
        <v/>
      </c>
    </row>
    <row r="25" spans="2:15">
      <c r="B25" s="49" t="s">
        <v>28</v>
      </c>
      <c r="C25" s="38"/>
      <c r="D25" s="39" t="s">
        <v>26</v>
      </c>
      <c r="E25" s="40"/>
      <c r="F25" s="41">
        <v>0.13</v>
      </c>
      <c r="G25" s="42">
        <v>1</v>
      </c>
      <c r="H25" s="43">
        <f t="shared" si="0"/>
        <v>0.13</v>
      </c>
      <c r="I25" s="44"/>
      <c r="J25" s="45"/>
      <c r="K25" s="46">
        <v>1</v>
      </c>
      <c r="L25" s="43">
        <f t="shared" ref="L25:L38" si="1">K25*J25</f>
        <v>0</v>
      </c>
      <c r="M25" s="44"/>
      <c r="N25" s="47">
        <f t="shared" ref="N25:N65" si="2">L25-H25</f>
        <v>-0.13</v>
      </c>
      <c r="O25" s="48">
        <f t="shared" ref="O25:O45" si="3">IF((H25)=0,"",(N25/H25))</f>
        <v>-1</v>
      </c>
    </row>
    <row r="26" spans="2:15">
      <c r="B26" s="49" t="s">
        <v>29</v>
      </c>
      <c r="C26" s="38"/>
      <c r="D26" s="50" t="s">
        <v>26</v>
      </c>
      <c r="E26" s="40"/>
      <c r="F26" s="41"/>
      <c r="G26" s="42">
        <v>1</v>
      </c>
      <c r="H26" s="43">
        <f t="shared" si="0"/>
        <v>0</v>
      </c>
      <c r="I26" s="44"/>
      <c r="J26" s="45"/>
      <c r="K26" s="46">
        <v>1</v>
      </c>
      <c r="L26" s="43">
        <f t="shared" si="1"/>
        <v>0</v>
      </c>
      <c r="M26" s="44"/>
      <c r="N26" s="47">
        <f t="shared" si="2"/>
        <v>0</v>
      </c>
      <c r="O26" s="48" t="str">
        <f t="shared" si="3"/>
        <v/>
      </c>
    </row>
    <row r="27" spans="2:15">
      <c r="B27" s="49" t="s">
        <v>30</v>
      </c>
      <c r="C27" s="38"/>
      <c r="D27" s="39" t="s">
        <v>26</v>
      </c>
      <c r="E27" s="40"/>
      <c r="F27" s="41"/>
      <c r="G27" s="42">
        <v>1</v>
      </c>
      <c r="H27" s="43">
        <f t="shared" si="0"/>
        <v>0</v>
      </c>
      <c r="I27" s="44"/>
      <c r="J27" s="45"/>
      <c r="K27" s="46">
        <v>1</v>
      </c>
      <c r="L27" s="43">
        <f t="shared" si="1"/>
        <v>0</v>
      </c>
      <c r="M27" s="44"/>
      <c r="N27" s="47">
        <f t="shared" si="2"/>
        <v>0</v>
      </c>
      <c r="O27" s="48" t="str">
        <f t="shared" si="3"/>
        <v/>
      </c>
    </row>
    <row r="28" spans="2:15">
      <c r="B28" s="51"/>
      <c r="C28" s="38"/>
      <c r="D28" s="39"/>
      <c r="E28" s="40"/>
      <c r="F28" s="41"/>
      <c r="G28" s="42">
        <v>1</v>
      </c>
      <c r="H28" s="43">
        <f t="shared" si="0"/>
        <v>0</v>
      </c>
      <c r="I28" s="44"/>
      <c r="J28" s="45"/>
      <c r="K28" s="46">
        <v>1</v>
      </c>
      <c r="L28" s="43">
        <f t="shared" si="1"/>
        <v>0</v>
      </c>
      <c r="M28" s="44"/>
      <c r="N28" s="47">
        <f t="shared" si="2"/>
        <v>0</v>
      </c>
      <c r="O28" s="48" t="str">
        <f t="shared" si="3"/>
        <v/>
      </c>
    </row>
    <row r="29" spans="2:15">
      <c r="B29" s="38" t="s">
        <v>31</v>
      </c>
      <c r="C29" s="38"/>
      <c r="D29" s="39" t="s">
        <v>32</v>
      </c>
      <c r="E29" s="40"/>
      <c r="F29" s="41">
        <v>10.819800000000001</v>
      </c>
      <c r="G29" s="42">
        <f t="shared" ref="G29:G38" si="4">$F$18</f>
        <v>0.36</v>
      </c>
      <c r="H29" s="43">
        <f t="shared" si="0"/>
        <v>3.8951280000000001</v>
      </c>
      <c r="I29" s="44"/>
      <c r="J29" s="45">
        <v>11.924799999999999</v>
      </c>
      <c r="K29" s="42">
        <f>$F$18</f>
        <v>0.36</v>
      </c>
      <c r="L29" s="43">
        <f t="shared" si="1"/>
        <v>4.2929279999999999</v>
      </c>
      <c r="M29" s="44"/>
      <c r="N29" s="47">
        <f t="shared" si="2"/>
        <v>0.39779999999999971</v>
      </c>
      <c r="O29" s="48">
        <f t="shared" si="3"/>
        <v>0.10212758091646788</v>
      </c>
    </row>
    <row r="30" spans="2:15">
      <c r="B30" s="38" t="s">
        <v>33</v>
      </c>
      <c r="C30" s="38"/>
      <c r="D30" s="39"/>
      <c r="E30" s="40"/>
      <c r="F30" s="41"/>
      <c r="G30" s="42">
        <f t="shared" si="4"/>
        <v>0.36</v>
      </c>
      <c r="H30" s="43">
        <f t="shared" si="0"/>
        <v>0</v>
      </c>
      <c r="I30" s="44"/>
      <c r="J30" s="45"/>
      <c r="K30" s="42">
        <f t="shared" ref="K30:K38" si="5">$F$18</f>
        <v>0.36</v>
      </c>
      <c r="L30" s="43">
        <f t="shared" si="1"/>
        <v>0</v>
      </c>
      <c r="M30" s="44"/>
      <c r="N30" s="47">
        <f t="shared" si="2"/>
        <v>0</v>
      </c>
      <c r="O30" s="48" t="str">
        <f t="shared" si="3"/>
        <v/>
      </c>
    </row>
    <row r="31" spans="2:15">
      <c r="B31" s="38" t="s">
        <v>34</v>
      </c>
      <c r="C31" s="38"/>
      <c r="D31" s="39"/>
      <c r="E31" s="40"/>
      <c r="F31" s="41"/>
      <c r="G31" s="42">
        <f t="shared" si="4"/>
        <v>0.36</v>
      </c>
      <c r="H31" s="43">
        <f t="shared" si="0"/>
        <v>0</v>
      </c>
      <c r="I31" s="44"/>
      <c r="J31" s="45"/>
      <c r="K31" s="42">
        <f t="shared" si="5"/>
        <v>0.36</v>
      </c>
      <c r="L31" s="43">
        <f t="shared" si="1"/>
        <v>0</v>
      </c>
      <c r="M31" s="44"/>
      <c r="N31" s="47">
        <f t="shared" si="2"/>
        <v>0</v>
      </c>
      <c r="O31" s="48" t="str">
        <f t="shared" si="3"/>
        <v/>
      </c>
    </row>
    <row r="32" spans="2:15">
      <c r="B32" s="52" t="s">
        <v>35</v>
      </c>
      <c r="C32" s="38"/>
      <c r="D32" s="39" t="s">
        <v>32</v>
      </c>
      <c r="E32" s="40"/>
      <c r="F32" s="41">
        <v>0.70799999999999996</v>
      </c>
      <c r="G32" s="42">
        <f t="shared" si="4"/>
        <v>0.36</v>
      </c>
      <c r="H32" s="43">
        <f>G32*F32</f>
        <v>0.25488</v>
      </c>
      <c r="I32" s="44"/>
      <c r="J32" s="45">
        <v>0.23150000000000001</v>
      </c>
      <c r="K32" s="42">
        <f t="shared" si="5"/>
        <v>0.36</v>
      </c>
      <c r="L32" s="43">
        <f>K32*J32</f>
        <v>8.3339999999999997E-2</v>
      </c>
      <c r="M32" s="44"/>
      <c r="N32" s="47">
        <f>L32-H32</f>
        <v>-0.17154</v>
      </c>
      <c r="O32" s="48">
        <f>IF((H32)=0,"",(N32/H32))</f>
        <v>-0.67302259887005655</v>
      </c>
    </row>
    <row r="33" spans="2:15">
      <c r="B33" s="52" t="s">
        <v>36</v>
      </c>
      <c r="C33" s="38"/>
      <c r="D33" s="39" t="s">
        <v>32</v>
      </c>
      <c r="E33" s="40"/>
      <c r="F33" s="41">
        <v>-0.15540000000000001</v>
      </c>
      <c r="G33" s="42">
        <f t="shared" si="4"/>
        <v>0.36</v>
      </c>
      <c r="H33" s="43">
        <f>G33*F33</f>
        <v>-5.5944000000000001E-2</v>
      </c>
      <c r="I33" s="44"/>
      <c r="J33" s="45"/>
      <c r="K33" s="42">
        <f t="shared" si="5"/>
        <v>0.36</v>
      </c>
      <c r="L33" s="43">
        <f>K33*J33</f>
        <v>0</v>
      </c>
      <c r="M33" s="44"/>
      <c r="N33" s="47">
        <f>L33-H33</f>
        <v>5.5944000000000001E-2</v>
      </c>
      <c r="O33" s="48">
        <f>IF((H33)=0,"",(N33/H33))</f>
        <v>-1</v>
      </c>
    </row>
    <row r="34" spans="2:15">
      <c r="B34" s="52"/>
      <c r="C34" s="38"/>
      <c r="D34" s="39"/>
      <c r="E34" s="40"/>
      <c r="F34" s="41"/>
      <c r="G34" s="42">
        <f t="shared" si="4"/>
        <v>0.36</v>
      </c>
      <c r="H34" s="43">
        <f>G34*F34</f>
        <v>0</v>
      </c>
      <c r="I34" s="44"/>
      <c r="J34" s="45"/>
      <c r="K34" s="42">
        <f t="shared" si="5"/>
        <v>0.36</v>
      </c>
      <c r="L34" s="43">
        <f>K34*J34</f>
        <v>0</v>
      </c>
      <c r="M34" s="44"/>
      <c r="N34" s="47">
        <f>L34-H34</f>
        <v>0</v>
      </c>
      <c r="O34" s="48" t="str">
        <f>IF((H34)=0,"",(N34/H34))</f>
        <v/>
      </c>
    </row>
    <row r="35" spans="2:15">
      <c r="B35" s="53"/>
      <c r="C35" s="38"/>
      <c r="D35" s="39"/>
      <c r="E35" s="40"/>
      <c r="F35" s="41"/>
      <c r="G35" s="42">
        <f t="shared" si="4"/>
        <v>0.36</v>
      </c>
      <c r="H35" s="43">
        <f t="shared" si="0"/>
        <v>0</v>
      </c>
      <c r="I35" s="44"/>
      <c r="J35" s="45"/>
      <c r="K35" s="42">
        <f t="shared" si="5"/>
        <v>0.36</v>
      </c>
      <c r="L35" s="43">
        <f t="shared" si="1"/>
        <v>0</v>
      </c>
      <c r="M35" s="44"/>
      <c r="N35" s="47">
        <f t="shared" si="2"/>
        <v>0</v>
      </c>
      <c r="O35" s="48" t="str">
        <f t="shared" si="3"/>
        <v/>
      </c>
    </row>
    <row r="36" spans="2:15">
      <c r="B36" s="53"/>
      <c r="C36" s="38"/>
      <c r="D36" s="39"/>
      <c r="E36" s="40"/>
      <c r="F36" s="41"/>
      <c r="G36" s="42">
        <f t="shared" si="4"/>
        <v>0.36</v>
      </c>
      <c r="H36" s="43">
        <f t="shared" si="0"/>
        <v>0</v>
      </c>
      <c r="I36" s="44"/>
      <c r="J36" s="45"/>
      <c r="K36" s="42">
        <f t="shared" si="5"/>
        <v>0.36</v>
      </c>
      <c r="L36" s="43">
        <f t="shared" si="1"/>
        <v>0</v>
      </c>
      <c r="M36" s="44"/>
      <c r="N36" s="47">
        <f t="shared" si="2"/>
        <v>0</v>
      </c>
      <c r="O36" s="48" t="str">
        <f t="shared" si="3"/>
        <v/>
      </c>
    </row>
    <row r="37" spans="2:15">
      <c r="B37" s="53"/>
      <c r="C37" s="38"/>
      <c r="D37" s="39"/>
      <c r="E37" s="40"/>
      <c r="F37" s="41"/>
      <c r="G37" s="42">
        <f t="shared" si="4"/>
        <v>0.36</v>
      </c>
      <c r="H37" s="43">
        <f t="shared" si="0"/>
        <v>0</v>
      </c>
      <c r="I37" s="44"/>
      <c r="J37" s="45"/>
      <c r="K37" s="42">
        <f t="shared" si="5"/>
        <v>0.36</v>
      </c>
      <c r="L37" s="43">
        <f t="shared" si="1"/>
        <v>0</v>
      </c>
      <c r="M37" s="44"/>
      <c r="N37" s="47">
        <f t="shared" si="2"/>
        <v>0</v>
      </c>
      <c r="O37" s="48" t="str">
        <f t="shared" si="3"/>
        <v/>
      </c>
    </row>
    <row r="38" spans="2:15">
      <c r="B38" s="53"/>
      <c r="C38" s="38"/>
      <c r="D38" s="39"/>
      <c r="E38" s="40"/>
      <c r="F38" s="41"/>
      <c r="G38" s="42">
        <f t="shared" si="4"/>
        <v>0.36</v>
      </c>
      <c r="H38" s="43">
        <f t="shared" si="0"/>
        <v>0</v>
      </c>
      <c r="I38" s="44"/>
      <c r="J38" s="45"/>
      <c r="K38" s="42">
        <f t="shared" si="5"/>
        <v>0.36</v>
      </c>
      <c r="L38" s="43">
        <f t="shared" si="1"/>
        <v>0</v>
      </c>
      <c r="M38" s="44"/>
      <c r="N38" s="47">
        <f t="shared" si="2"/>
        <v>0</v>
      </c>
      <c r="O38" s="48" t="str">
        <f t="shared" si="3"/>
        <v/>
      </c>
    </row>
    <row r="39" spans="2:15" s="65" customFormat="1">
      <c r="B39" s="54" t="s">
        <v>37</v>
      </c>
      <c r="C39" s="55"/>
      <c r="D39" s="56"/>
      <c r="E39" s="55"/>
      <c r="F39" s="57"/>
      <c r="G39" s="58"/>
      <c r="H39" s="59">
        <f>SUM(H23:H38)</f>
        <v>6.2840639999999999</v>
      </c>
      <c r="I39" s="60"/>
      <c r="J39" s="61"/>
      <c r="K39" s="62"/>
      <c r="L39" s="59">
        <f>SUM(L23:L38)</f>
        <v>6.6462679999999992</v>
      </c>
      <c r="M39" s="60"/>
      <c r="N39" s="63">
        <f t="shared" si="2"/>
        <v>0.3622039999999993</v>
      </c>
      <c r="O39" s="64">
        <f t="shared" si="3"/>
        <v>5.7638496361590096E-2</v>
      </c>
    </row>
    <row r="40" spans="2:15" ht="25.5">
      <c r="B40" s="66" t="s">
        <v>38</v>
      </c>
      <c r="C40" s="38"/>
      <c r="D40" s="39"/>
      <c r="E40" s="40"/>
      <c r="F40" s="41"/>
      <c r="G40" s="42">
        <f>$F$18</f>
        <v>0.36</v>
      </c>
      <c r="H40" s="43">
        <f t="shared" ref="H40:H46" si="6">G40*F40</f>
        <v>0</v>
      </c>
      <c r="I40" s="44"/>
      <c r="J40" s="45">
        <v>-1.3227</v>
      </c>
      <c r="K40" s="42">
        <f>$F$18</f>
        <v>0.36</v>
      </c>
      <c r="L40" s="43">
        <f t="shared" ref="L40:L46" si="7">K40*J40</f>
        <v>-0.47617199999999998</v>
      </c>
      <c r="M40" s="44"/>
      <c r="N40" s="47">
        <f t="shared" si="2"/>
        <v>-0.47617199999999998</v>
      </c>
      <c r="O40" s="48" t="str">
        <f t="shared" si="3"/>
        <v/>
      </c>
    </row>
    <row r="41" spans="2:15">
      <c r="B41" s="66" t="s">
        <v>39</v>
      </c>
      <c r="C41" s="38"/>
      <c r="D41" s="39"/>
      <c r="E41" s="40"/>
      <c r="F41" s="41"/>
      <c r="G41" s="42">
        <f>$F$18</f>
        <v>0.36</v>
      </c>
      <c r="H41" s="43">
        <f t="shared" si="6"/>
        <v>0</v>
      </c>
      <c r="I41" s="67"/>
      <c r="J41" s="45">
        <v>-0.26850000000000002</v>
      </c>
      <c r="K41" s="42">
        <f>$F$18</f>
        <v>0.36</v>
      </c>
      <c r="L41" s="43">
        <f t="shared" si="7"/>
        <v>-9.6659999999999996E-2</v>
      </c>
      <c r="M41" s="68"/>
      <c r="N41" s="47">
        <f t="shared" si="2"/>
        <v>-9.6659999999999996E-2</v>
      </c>
      <c r="O41" s="48" t="str">
        <f t="shared" si="3"/>
        <v/>
      </c>
    </row>
    <row r="42" spans="2:15" ht="25.5">
      <c r="B42" s="66" t="s">
        <v>40</v>
      </c>
      <c r="C42" s="38"/>
      <c r="D42" s="39" t="s">
        <v>32</v>
      </c>
      <c r="E42" s="40"/>
      <c r="F42" s="41"/>
      <c r="G42" s="42">
        <f>$F$18</f>
        <v>0.36</v>
      </c>
      <c r="H42" s="43">
        <f t="shared" si="6"/>
        <v>0</v>
      </c>
      <c r="I42" s="67"/>
      <c r="J42" s="45"/>
      <c r="K42" s="42">
        <f>$F$18</f>
        <v>0.36</v>
      </c>
      <c r="L42" s="43">
        <f t="shared" si="7"/>
        <v>0</v>
      </c>
      <c r="M42" s="68"/>
      <c r="N42" s="47">
        <f t="shared" si="2"/>
        <v>0</v>
      </c>
      <c r="O42" s="48" t="str">
        <f t="shared" si="3"/>
        <v/>
      </c>
    </row>
    <row r="43" spans="2:15">
      <c r="B43" s="66"/>
      <c r="C43" s="38"/>
      <c r="D43" s="39"/>
      <c r="E43" s="40"/>
      <c r="F43" s="41"/>
      <c r="G43" s="42">
        <f>$F$18</f>
        <v>0.36</v>
      </c>
      <c r="H43" s="43">
        <f t="shared" si="6"/>
        <v>0</v>
      </c>
      <c r="I43" s="67"/>
      <c r="J43" s="45"/>
      <c r="K43" s="42">
        <f>$F$18</f>
        <v>0.36</v>
      </c>
      <c r="L43" s="43">
        <f t="shared" si="7"/>
        <v>0</v>
      </c>
      <c r="M43" s="68"/>
      <c r="N43" s="47">
        <f t="shared" si="2"/>
        <v>0</v>
      </c>
      <c r="O43" s="48" t="str">
        <f t="shared" si="3"/>
        <v/>
      </c>
    </row>
    <row r="44" spans="2:15">
      <c r="B44" s="69" t="s">
        <v>41</v>
      </c>
      <c r="C44" s="38"/>
      <c r="D44" s="39" t="s">
        <v>32</v>
      </c>
      <c r="E44" s="40"/>
      <c r="F44" s="41">
        <v>5.04E-2</v>
      </c>
      <c r="G44" s="42">
        <f>$F$18</f>
        <v>0.36</v>
      </c>
      <c r="H44" s="43">
        <f t="shared" si="6"/>
        <v>1.8144E-2</v>
      </c>
      <c r="I44" s="44"/>
      <c r="J44" s="45">
        <v>9.9400000000000002E-2</v>
      </c>
      <c r="K44" s="42">
        <f>$F$18</f>
        <v>0.36</v>
      </c>
      <c r="L44" s="43">
        <f t="shared" si="7"/>
        <v>3.5783999999999996E-2</v>
      </c>
      <c r="M44" s="44"/>
      <c r="N44" s="47">
        <f t="shared" si="2"/>
        <v>1.7639999999999996E-2</v>
      </c>
      <c r="O44" s="48">
        <f t="shared" si="3"/>
        <v>0.97222222222222199</v>
      </c>
    </row>
    <row r="45" spans="2:15">
      <c r="B45" s="69" t="s">
        <v>42</v>
      </c>
      <c r="C45" s="38"/>
      <c r="D45" s="39"/>
      <c r="E45" s="40"/>
      <c r="F45" s="70">
        <f>IF(ISBLANK(D16)=TRUE, 0, IF(D16="TOU", 0.64*$F$55+0.18*$F$56+0.18*$F$57, IF(AND(D16="non-TOU", G59&gt;0), F59,F58)))</f>
        <v>7.4999999999999997E-2</v>
      </c>
      <c r="G45" s="71">
        <f>$F$18*(1+$F$74)-$F$18</f>
        <v>3.7105200000000504E-3</v>
      </c>
      <c r="H45" s="43">
        <f t="shared" si="6"/>
        <v>2.7828900000000377E-4</v>
      </c>
      <c r="I45" s="44"/>
      <c r="J45" s="72">
        <f>0.64*$F$55+0.18*$F$56+0.18*$F$57</f>
        <v>8.3919999999999995E-2</v>
      </c>
      <c r="K45" s="71">
        <f>$F$18*(1+$J$74)-$F$18</f>
        <v>3.7047600000000291E-3</v>
      </c>
      <c r="L45" s="43">
        <f t="shared" si="7"/>
        <v>3.1090345920000242E-4</v>
      </c>
      <c r="M45" s="44"/>
      <c r="N45" s="47">
        <f t="shared" si="2"/>
        <v>3.2614459199998647E-5</v>
      </c>
      <c r="O45" s="48">
        <f t="shared" si="3"/>
        <v>0.11719636492997641</v>
      </c>
    </row>
    <row r="46" spans="2:15">
      <c r="B46" s="69" t="s">
        <v>43</v>
      </c>
      <c r="C46" s="38"/>
      <c r="D46" s="39"/>
      <c r="E46" s="40"/>
      <c r="F46" s="70">
        <v>0</v>
      </c>
      <c r="G46" s="42">
        <v>1</v>
      </c>
      <c r="H46" s="43">
        <f t="shared" si="6"/>
        <v>0</v>
      </c>
      <c r="I46" s="44"/>
      <c r="J46" s="70">
        <v>0</v>
      </c>
      <c r="K46" s="42">
        <v>1</v>
      </c>
      <c r="L46" s="43">
        <f t="shared" si="7"/>
        <v>0</v>
      </c>
      <c r="M46" s="44"/>
      <c r="N46" s="47">
        <f t="shared" si="2"/>
        <v>0</v>
      </c>
      <c r="O46" s="48"/>
    </row>
    <row r="47" spans="2:15" ht="25.5">
      <c r="B47" s="73" t="s">
        <v>44</v>
      </c>
      <c r="C47" s="74"/>
      <c r="D47" s="74"/>
      <c r="E47" s="74"/>
      <c r="F47" s="75"/>
      <c r="G47" s="76"/>
      <c r="H47" s="77">
        <f>SUM(H40:H46)+H39</f>
        <v>6.302486289</v>
      </c>
      <c r="I47" s="60"/>
      <c r="J47" s="76"/>
      <c r="K47" s="78"/>
      <c r="L47" s="77">
        <f>SUM(L40:L46)+L39</f>
        <v>6.1095309034591994</v>
      </c>
      <c r="M47" s="60"/>
      <c r="N47" s="63">
        <f t="shared" si="2"/>
        <v>-0.19295538554080061</v>
      </c>
      <c r="O47" s="64">
        <f t="shared" ref="O47:O65" si="8">IF((H47)=0,"",(N47/H47))</f>
        <v>-3.0615756495587135E-2</v>
      </c>
    </row>
    <row r="48" spans="2:15">
      <c r="B48" s="44" t="s">
        <v>45</v>
      </c>
      <c r="C48" s="44"/>
      <c r="D48" s="79" t="s">
        <v>32</v>
      </c>
      <c r="E48" s="80"/>
      <c r="F48" s="45">
        <v>1.9812000000000001</v>
      </c>
      <c r="G48" s="81">
        <f>F18*(1+F74)</f>
        <v>0.36371052000000004</v>
      </c>
      <c r="H48" s="43">
        <f>G48*F48</f>
        <v>0.72058328222400014</v>
      </c>
      <c r="I48" s="44"/>
      <c r="J48" s="45">
        <v>2.0127000000000002</v>
      </c>
      <c r="K48" s="82">
        <f>F18*(1+J74)</f>
        <v>0.36370476000000002</v>
      </c>
      <c r="L48" s="43">
        <f>K48*J48</f>
        <v>0.73202857045200009</v>
      </c>
      <c r="M48" s="44"/>
      <c r="N48" s="47">
        <f t="shared" si="2"/>
        <v>1.144528822799995E-2</v>
      </c>
      <c r="O48" s="48">
        <f t="shared" si="8"/>
        <v>1.5883366309408873E-2</v>
      </c>
    </row>
    <row r="49" spans="2:19" ht="30">
      <c r="B49" s="83" t="s">
        <v>46</v>
      </c>
      <c r="C49" s="44"/>
      <c r="D49" s="79" t="s">
        <v>32</v>
      </c>
      <c r="E49" s="80"/>
      <c r="F49" s="45">
        <v>1.4745999999999999</v>
      </c>
      <c r="G49" s="81">
        <f>G48</f>
        <v>0.36371052000000004</v>
      </c>
      <c r="H49" s="43">
        <f>G49*F49</f>
        <v>0.53632753279200007</v>
      </c>
      <c r="I49" s="44"/>
      <c r="J49" s="45">
        <v>1.2939000000000001</v>
      </c>
      <c r="K49" s="82">
        <f>K48</f>
        <v>0.36370476000000002</v>
      </c>
      <c r="L49" s="43">
        <f>K49*J49</f>
        <v>0.47059758896400006</v>
      </c>
      <c r="M49" s="44"/>
      <c r="N49" s="47">
        <f t="shared" si="2"/>
        <v>-6.5729943828000015E-2</v>
      </c>
      <c r="O49" s="48">
        <f t="shared" si="8"/>
        <v>-0.12255560233095766</v>
      </c>
    </row>
    <row r="50" spans="2:19" ht="25.5">
      <c r="B50" s="73" t="s">
        <v>47</v>
      </c>
      <c r="C50" s="55"/>
      <c r="D50" s="55"/>
      <c r="E50" s="55"/>
      <c r="F50" s="84"/>
      <c r="G50" s="76"/>
      <c r="H50" s="77">
        <f>SUM(H47:H49)</f>
        <v>7.559397104016</v>
      </c>
      <c r="I50" s="85"/>
      <c r="J50" s="86"/>
      <c r="K50" s="87"/>
      <c r="L50" s="77">
        <f>SUM(L47:L49)</f>
        <v>7.3121570628751993</v>
      </c>
      <c r="M50" s="85"/>
      <c r="N50" s="63">
        <f t="shared" si="2"/>
        <v>-0.24724004114080067</v>
      </c>
      <c r="O50" s="64">
        <f t="shared" si="8"/>
        <v>-3.2706317413785831E-2</v>
      </c>
    </row>
    <row r="51" spans="2:19" ht="30">
      <c r="B51" s="88" t="s">
        <v>48</v>
      </c>
      <c r="C51" s="38"/>
      <c r="D51" s="39" t="s">
        <v>32</v>
      </c>
      <c r="E51" s="40"/>
      <c r="F51" s="89">
        <v>4.4000000000000003E-3</v>
      </c>
      <c r="G51" s="90">
        <f>131*1.0307</f>
        <v>135.02169999999998</v>
      </c>
      <c r="H51" s="91">
        <f t="shared" ref="H51:H57" si="9">G51*F51</f>
        <v>0.59409548000000001</v>
      </c>
      <c r="I51" s="44"/>
      <c r="J51" s="92">
        <v>4.4000000000000003E-3</v>
      </c>
      <c r="K51" s="93">
        <f>131*1.0291</f>
        <v>134.81209999999999</v>
      </c>
      <c r="L51" s="91">
        <f t="shared" ref="L51:L57" si="10">K51*J51</f>
        <v>0.59317323999999994</v>
      </c>
      <c r="M51" s="44"/>
      <c r="N51" s="47">
        <f t="shared" si="2"/>
        <v>-9.2224000000007411E-4</v>
      </c>
      <c r="O51" s="94">
        <f t="shared" si="8"/>
        <v>-1.5523430678181125E-3</v>
      </c>
    </row>
    <row r="52" spans="2:19" ht="30">
      <c r="B52" s="88" t="s">
        <v>49</v>
      </c>
      <c r="C52" s="38"/>
      <c r="D52" s="39" t="s">
        <v>32</v>
      </c>
      <c r="E52" s="40"/>
      <c r="F52" s="89">
        <v>1.2999999999999999E-3</v>
      </c>
      <c r="G52" s="90">
        <f>+G51</f>
        <v>135.02169999999998</v>
      </c>
      <c r="H52" s="91">
        <f t="shared" si="9"/>
        <v>0.17552820999999996</v>
      </c>
      <c r="I52" s="44"/>
      <c r="J52" s="92">
        <v>1.2999999999999999E-3</v>
      </c>
      <c r="K52" s="93">
        <f>+G52</f>
        <v>135.02169999999998</v>
      </c>
      <c r="L52" s="91">
        <f t="shared" si="10"/>
        <v>0.17552820999999996</v>
      </c>
      <c r="M52" s="44"/>
      <c r="N52" s="47">
        <f t="shared" si="2"/>
        <v>0</v>
      </c>
      <c r="O52" s="94">
        <f t="shared" si="8"/>
        <v>0</v>
      </c>
    </row>
    <row r="53" spans="2:19">
      <c r="B53" s="38" t="s">
        <v>50</v>
      </c>
      <c r="C53" s="38"/>
      <c r="D53" s="39" t="s">
        <v>26</v>
      </c>
      <c r="E53" s="40"/>
      <c r="F53" s="89">
        <v>0.25</v>
      </c>
      <c r="G53" s="42">
        <v>1</v>
      </c>
      <c r="H53" s="91">
        <f t="shared" si="9"/>
        <v>0.25</v>
      </c>
      <c r="I53" s="44"/>
      <c r="J53" s="92">
        <v>0.25</v>
      </c>
      <c r="K53" s="46">
        <v>1</v>
      </c>
      <c r="L53" s="91">
        <f t="shared" si="10"/>
        <v>0.25</v>
      </c>
      <c r="M53" s="44"/>
      <c r="N53" s="47">
        <f t="shared" si="2"/>
        <v>0</v>
      </c>
      <c r="O53" s="94">
        <f t="shared" si="8"/>
        <v>0</v>
      </c>
    </row>
    <row r="54" spans="2:19">
      <c r="B54" s="38" t="s">
        <v>51</v>
      </c>
      <c r="C54" s="38"/>
      <c r="D54" s="39"/>
      <c r="E54" s="40"/>
      <c r="F54" s="89">
        <v>7.0000000000000001E-3</v>
      </c>
      <c r="G54" s="95">
        <v>131</v>
      </c>
      <c r="H54" s="91">
        <f t="shared" si="9"/>
        <v>0.91700000000000004</v>
      </c>
      <c r="I54" s="44"/>
      <c r="J54" s="92">
        <v>7.0000000000000001E-3</v>
      </c>
      <c r="K54" s="96">
        <f>+G54</f>
        <v>131</v>
      </c>
      <c r="L54" s="91">
        <f t="shared" si="10"/>
        <v>0.91700000000000004</v>
      </c>
      <c r="M54" s="44"/>
      <c r="N54" s="47">
        <f t="shared" si="2"/>
        <v>0</v>
      </c>
      <c r="O54" s="94">
        <f t="shared" si="8"/>
        <v>0</v>
      </c>
    </row>
    <row r="55" spans="2:19">
      <c r="B55" s="69" t="s">
        <v>52</v>
      </c>
      <c r="C55" s="38"/>
      <c r="D55" s="39" t="s">
        <v>32</v>
      </c>
      <c r="E55" s="40"/>
      <c r="F55" s="97">
        <v>6.7000000000000004E-2</v>
      </c>
      <c r="G55" s="98">
        <f>0.64*$F$17</f>
        <v>83.84</v>
      </c>
      <c r="H55" s="91">
        <f t="shared" si="9"/>
        <v>5.6172800000000009</v>
      </c>
      <c r="I55" s="44"/>
      <c r="J55" s="89">
        <v>6.7000000000000004E-2</v>
      </c>
      <c r="K55" s="98">
        <f>G55</f>
        <v>83.84</v>
      </c>
      <c r="L55" s="91">
        <f t="shared" si="10"/>
        <v>5.6172800000000009</v>
      </c>
      <c r="M55" s="44"/>
      <c r="N55" s="47">
        <f t="shared" si="2"/>
        <v>0</v>
      </c>
      <c r="O55" s="94">
        <f t="shared" si="8"/>
        <v>0</v>
      </c>
      <c r="S55" s="99"/>
    </row>
    <row r="56" spans="2:19">
      <c r="B56" s="69" t="s">
        <v>53</v>
      </c>
      <c r="C56" s="38"/>
      <c r="D56" s="39" t="s">
        <v>32</v>
      </c>
      <c r="E56" s="40"/>
      <c r="F56" s="97">
        <v>0.104</v>
      </c>
      <c r="G56" s="98">
        <f>0.18*$F$17</f>
        <v>23.58</v>
      </c>
      <c r="H56" s="91">
        <f t="shared" si="9"/>
        <v>2.4523199999999998</v>
      </c>
      <c r="I56" s="44"/>
      <c r="J56" s="89">
        <v>0.104</v>
      </c>
      <c r="K56" s="98">
        <f>G56</f>
        <v>23.58</v>
      </c>
      <c r="L56" s="91">
        <f t="shared" si="10"/>
        <v>2.4523199999999998</v>
      </c>
      <c r="M56" s="44"/>
      <c r="N56" s="47">
        <f t="shared" si="2"/>
        <v>0</v>
      </c>
      <c r="O56" s="94">
        <f t="shared" si="8"/>
        <v>0</v>
      </c>
      <c r="S56" s="99"/>
    </row>
    <row r="57" spans="2:19">
      <c r="B57" s="19" t="s">
        <v>54</v>
      </c>
      <c r="C57" s="38"/>
      <c r="D57" s="39" t="s">
        <v>32</v>
      </c>
      <c r="E57" s="40"/>
      <c r="F57" s="97">
        <v>0.124</v>
      </c>
      <c r="G57" s="98">
        <f>0.18*$F$17</f>
        <v>23.58</v>
      </c>
      <c r="H57" s="91">
        <f t="shared" si="9"/>
        <v>2.9239199999999999</v>
      </c>
      <c r="I57" s="44"/>
      <c r="J57" s="89">
        <v>0.124</v>
      </c>
      <c r="K57" s="98">
        <f>G57</f>
        <v>23.58</v>
      </c>
      <c r="L57" s="91">
        <f t="shared" si="10"/>
        <v>2.9239199999999999</v>
      </c>
      <c r="M57" s="44"/>
      <c r="N57" s="47">
        <f t="shared" si="2"/>
        <v>0</v>
      </c>
      <c r="O57" s="94">
        <f t="shared" si="8"/>
        <v>0</v>
      </c>
      <c r="S57" s="99"/>
    </row>
    <row r="58" spans="2:19" s="107" customFormat="1" ht="12.75">
      <c r="B58" s="100" t="s">
        <v>55</v>
      </c>
      <c r="C58" s="101"/>
      <c r="D58" s="102" t="s">
        <v>32</v>
      </c>
      <c r="E58" s="103"/>
      <c r="F58" s="97">
        <v>7.4999999999999997E-2</v>
      </c>
      <c r="G58" s="104">
        <v>131</v>
      </c>
      <c r="H58" s="91">
        <f>G58*F58</f>
        <v>9.8249999999999993</v>
      </c>
      <c r="I58" s="105"/>
      <c r="J58" s="89">
        <v>7.4999999999999997E-2</v>
      </c>
      <c r="K58" s="104">
        <f>G58</f>
        <v>131</v>
      </c>
      <c r="L58" s="91">
        <f>K58*J58</f>
        <v>9.8249999999999993</v>
      </c>
      <c r="M58" s="105"/>
      <c r="N58" s="106">
        <f t="shared" si="2"/>
        <v>0</v>
      </c>
      <c r="O58" s="94">
        <f t="shared" si="8"/>
        <v>0</v>
      </c>
    </row>
    <row r="59" spans="2:19" s="107" customFormat="1" ht="13.5" thickBot="1">
      <c r="B59" s="100" t="s">
        <v>56</v>
      </c>
      <c r="C59" s="101"/>
      <c r="D59" s="102" t="s">
        <v>32</v>
      </c>
      <c r="E59" s="103"/>
      <c r="F59" s="97">
        <v>8.7999999999999995E-2</v>
      </c>
      <c r="G59" s="104">
        <f>IF(AND($T$1=1, F18&gt;=600), F18-600, IF(AND($T$1=1, AND(F18&lt;600, F18&gt;=0)), 0, IF(AND($T$1=2, F18&gt;=1000), F18-1000, IF(AND($T$1=2, AND(F18&lt;1000, F18&gt;=0)), 0))))</f>
        <v>0</v>
      </c>
      <c r="H59" s="91">
        <f>G59*F59</f>
        <v>0</v>
      </c>
      <c r="I59" s="105"/>
      <c r="J59" s="89">
        <v>8.7999999999999995E-2</v>
      </c>
      <c r="K59" s="104">
        <f>G59</f>
        <v>0</v>
      </c>
      <c r="L59" s="91">
        <f>K59*J59</f>
        <v>0</v>
      </c>
      <c r="M59" s="105"/>
      <c r="N59" s="106">
        <f t="shared" si="2"/>
        <v>0</v>
      </c>
      <c r="O59" s="94" t="str">
        <f t="shared" si="8"/>
        <v/>
      </c>
    </row>
    <row r="60" spans="2:19" ht="15.75" thickBot="1">
      <c r="B60" s="108"/>
      <c r="C60" s="109"/>
      <c r="D60" s="110"/>
      <c r="E60" s="109"/>
      <c r="F60" s="111"/>
      <c r="G60" s="112"/>
      <c r="H60" s="113"/>
      <c r="I60" s="114"/>
      <c r="J60" s="111"/>
      <c r="K60" s="115"/>
      <c r="L60" s="113"/>
      <c r="M60" s="114"/>
      <c r="N60" s="116"/>
      <c r="O60" s="117"/>
    </row>
    <row r="61" spans="2:19">
      <c r="B61" s="118" t="s">
        <v>57</v>
      </c>
      <c r="C61" s="38"/>
      <c r="D61" s="38"/>
      <c r="E61" s="38"/>
      <c r="F61" s="119"/>
      <c r="G61" s="120"/>
      <c r="H61" s="121">
        <f>SUM(H51:H57,H50)</f>
        <v>20.489540794016001</v>
      </c>
      <c r="I61" s="122"/>
      <c r="J61" s="123"/>
      <c r="K61" s="123"/>
      <c r="L61" s="121">
        <f>SUM(L51:L57,L50)</f>
        <v>20.241378512875201</v>
      </c>
      <c r="M61" s="124"/>
      <c r="N61" s="125">
        <f>L61-H61</f>
        <v>-0.24816228114080019</v>
      </c>
      <c r="O61" s="126">
        <f>IF((H61)=0,"",(N61/H61))</f>
        <v>-1.2111656558612398E-2</v>
      </c>
      <c r="S61" s="99"/>
    </row>
    <row r="62" spans="2:19">
      <c r="B62" s="127" t="s">
        <v>58</v>
      </c>
      <c r="C62" s="38"/>
      <c r="D62" s="38"/>
      <c r="E62" s="38"/>
      <c r="F62" s="128">
        <v>0.13</v>
      </c>
      <c r="G62" s="129"/>
      <c r="H62" s="130">
        <f>H61*F62</f>
        <v>2.6636403032220803</v>
      </c>
      <c r="I62" s="131"/>
      <c r="J62" s="132">
        <v>0.13</v>
      </c>
      <c r="K62" s="131"/>
      <c r="L62" s="133">
        <f>L61*J62</f>
        <v>2.6313792066737762</v>
      </c>
      <c r="M62" s="134"/>
      <c r="N62" s="135">
        <f t="shared" si="2"/>
        <v>-3.2261096548304113E-2</v>
      </c>
      <c r="O62" s="136">
        <f t="shared" si="8"/>
        <v>-1.2111656558612431E-2</v>
      </c>
      <c r="S62" s="99"/>
    </row>
    <row r="63" spans="2:19">
      <c r="B63" s="137" t="s">
        <v>59</v>
      </c>
      <c r="C63" s="38"/>
      <c r="D63" s="38"/>
      <c r="E63" s="38"/>
      <c r="F63" s="138"/>
      <c r="G63" s="129"/>
      <c r="H63" s="130">
        <f>H61+H62</f>
        <v>23.153181097238082</v>
      </c>
      <c r="I63" s="131"/>
      <c r="J63" s="131"/>
      <c r="K63" s="131"/>
      <c r="L63" s="133">
        <f>L61+L62</f>
        <v>22.872757719548979</v>
      </c>
      <c r="M63" s="134"/>
      <c r="N63" s="135">
        <f t="shared" si="2"/>
        <v>-0.28042337768910386</v>
      </c>
      <c r="O63" s="136">
        <f t="shared" si="8"/>
        <v>-1.2111656558612382E-2</v>
      </c>
      <c r="S63" s="99"/>
    </row>
    <row r="64" spans="2:19">
      <c r="B64" s="139" t="s">
        <v>60</v>
      </c>
      <c r="C64" s="139"/>
      <c r="D64" s="139"/>
      <c r="E64" s="38"/>
      <c r="F64" s="138"/>
      <c r="G64" s="129"/>
      <c r="H64" s="140">
        <f>ROUND(-H63*10%,2)</f>
        <v>-2.3199999999999998</v>
      </c>
      <c r="I64" s="131"/>
      <c r="J64" s="131"/>
      <c r="K64" s="131"/>
      <c r="L64" s="141">
        <f>ROUND(-L63*10%,2)</f>
        <v>-2.29</v>
      </c>
      <c r="M64" s="134"/>
      <c r="N64" s="142">
        <f t="shared" si="2"/>
        <v>2.9999999999999805E-2</v>
      </c>
      <c r="O64" s="143">
        <f t="shared" si="8"/>
        <v>-1.2931034482758537E-2</v>
      </c>
    </row>
    <row r="65" spans="1:15" ht="15.75" thickBot="1">
      <c r="B65" s="144" t="s">
        <v>61</v>
      </c>
      <c r="C65" s="144"/>
      <c r="D65" s="144"/>
      <c r="E65" s="145"/>
      <c r="F65" s="146"/>
      <c r="G65" s="147"/>
      <c r="H65" s="148">
        <f>H63+H64</f>
        <v>20.833181097238082</v>
      </c>
      <c r="I65" s="149"/>
      <c r="J65" s="149"/>
      <c r="K65" s="149"/>
      <c r="L65" s="150">
        <f>L63+L64</f>
        <v>20.582757719548979</v>
      </c>
      <c r="M65" s="151"/>
      <c r="N65" s="152">
        <f t="shared" si="2"/>
        <v>-0.25042337768910272</v>
      </c>
      <c r="O65" s="153">
        <f t="shared" si="8"/>
        <v>-1.2020409966210207E-2</v>
      </c>
    </row>
    <row r="66" spans="1:15" s="107" customFormat="1" ht="13.5" thickBot="1">
      <c r="B66" s="154"/>
      <c r="C66" s="155"/>
      <c r="D66" s="156"/>
      <c r="E66" s="155"/>
      <c r="F66" s="111"/>
      <c r="G66" s="157"/>
      <c r="H66" s="113"/>
      <c r="I66" s="158"/>
      <c r="J66" s="111"/>
      <c r="K66" s="159"/>
      <c r="L66" s="113"/>
      <c r="M66" s="158"/>
      <c r="N66" s="160"/>
      <c r="O66" s="117"/>
    </row>
    <row r="67" spans="1:15" s="107" customFormat="1" ht="12.75">
      <c r="B67" s="161" t="s">
        <v>62</v>
      </c>
      <c r="C67" s="101"/>
      <c r="D67" s="101"/>
      <c r="E67" s="101"/>
      <c r="F67" s="162"/>
      <c r="G67" s="163"/>
      <c r="H67" s="164">
        <f>SUM(H58:H59,H50,H51:H54)</f>
        <v>19.321020794016</v>
      </c>
      <c r="I67" s="165"/>
      <c r="J67" s="166"/>
      <c r="K67" s="166"/>
      <c r="L67" s="164">
        <f>SUM(L58:L59,L50,L51:L54)</f>
        <v>19.072858512875197</v>
      </c>
      <c r="M67" s="167"/>
      <c r="N67" s="168">
        <f>L67-H67</f>
        <v>-0.24816228114080374</v>
      </c>
      <c r="O67" s="126">
        <f>IF((H67)=0,"",(N67/H67))</f>
        <v>-1.2844159932671011E-2</v>
      </c>
    </row>
    <row r="68" spans="1:15" s="107" customFormat="1" ht="12.75">
      <c r="B68" s="169" t="s">
        <v>58</v>
      </c>
      <c r="C68" s="101"/>
      <c r="D68" s="101"/>
      <c r="E68" s="101"/>
      <c r="F68" s="170">
        <v>0.13</v>
      </c>
      <c r="G68" s="163"/>
      <c r="H68" s="171">
        <f>H67*F68</f>
        <v>2.51173270322208</v>
      </c>
      <c r="I68" s="172"/>
      <c r="J68" s="173">
        <v>0.13</v>
      </c>
      <c r="K68" s="174"/>
      <c r="L68" s="175">
        <f>L67*J68</f>
        <v>2.4794716066737759</v>
      </c>
      <c r="M68" s="176"/>
      <c r="N68" s="177">
        <f>L68-H68</f>
        <v>-3.2261096548304113E-2</v>
      </c>
      <c r="O68" s="136">
        <f>IF((H68)=0,"",(N68/H68))</f>
        <v>-1.2844159932670862E-2</v>
      </c>
    </row>
    <row r="69" spans="1:15" s="107" customFormat="1" ht="12.75">
      <c r="B69" s="178" t="s">
        <v>59</v>
      </c>
      <c r="C69" s="101"/>
      <c r="D69" s="101"/>
      <c r="E69" s="101"/>
      <c r="F69" s="179"/>
      <c r="G69" s="180"/>
      <c r="H69" s="171">
        <f>H67+H68</f>
        <v>21.83275349723808</v>
      </c>
      <c r="I69" s="172"/>
      <c r="J69" s="172"/>
      <c r="K69" s="172"/>
      <c r="L69" s="175">
        <f>L67+L68</f>
        <v>21.552330119548973</v>
      </c>
      <c r="M69" s="176"/>
      <c r="N69" s="177">
        <f>L69-H69</f>
        <v>-0.28042337768910741</v>
      </c>
      <c r="O69" s="136">
        <f>IF((H69)=0,"",(N69/H69))</f>
        <v>-1.2844159932670973E-2</v>
      </c>
    </row>
    <row r="70" spans="1:15" s="107" customFormat="1" ht="12.75">
      <c r="B70" s="181" t="s">
        <v>60</v>
      </c>
      <c r="C70" s="181"/>
      <c r="D70" s="181"/>
      <c r="E70" s="101"/>
      <c r="F70" s="179"/>
      <c r="G70" s="180"/>
      <c r="H70" s="182">
        <f>ROUND(-H69*10%,2)</f>
        <v>-2.1800000000000002</v>
      </c>
      <c r="I70" s="172"/>
      <c r="J70" s="172"/>
      <c r="K70" s="172"/>
      <c r="L70" s="183">
        <f>ROUND(-L69*10%,2)</f>
        <v>-2.16</v>
      </c>
      <c r="M70" s="176"/>
      <c r="N70" s="184">
        <f>L70-H70</f>
        <v>2.0000000000000018E-2</v>
      </c>
      <c r="O70" s="143">
        <f>IF((H70)=0,"",(N70/H70))</f>
        <v>-9.174311926605512E-3</v>
      </c>
    </row>
    <row r="71" spans="1:15" s="107" customFormat="1" ht="13.5" thickBot="1">
      <c r="B71" s="185" t="s">
        <v>63</v>
      </c>
      <c r="C71" s="185"/>
      <c r="D71" s="185"/>
      <c r="E71" s="186"/>
      <c r="F71" s="187"/>
      <c r="G71" s="188"/>
      <c r="H71" s="189">
        <f>SUM(H69:H70)</f>
        <v>19.652753497238081</v>
      </c>
      <c r="I71" s="190"/>
      <c r="J71" s="190"/>
      <c r="K71" s="190"/>
      <c r="L71" s="191">
        <f>SUM(L69:L70)</f>
        <v>19.392330119548973</v>
      </c>
      <c r="M71" s="192"/>
      <c r="N71" s="193">
        <f>L71-H71</f>
        <v>-0.26042337768910784</v>
      </c>
      <c r="O71" s="194">
        <f>IF((H71)=0,"",(N71/H71))</f>
        <v>-1.3251241243406767E-2</v>
      </c>
    </row>
    <row r="72" spans="1:15" s="107" customFormat="1" ht="13.5" thickBot="1">
      <c r="B72" s="154"/>
      <c r="C72" s="155"/>
      <c r="D72" s="156"/>
      <c r="E72" s="155"/>
      <c r="F72" s="195"/>
      <c r="G72" s="196"/>
      <c r="H72" s="197"/>
      <c r="I72" s="198"/>
      <c r="J72" s="195"/>
      <c r="K72" s="157"/>
      <c r="L72" s="199"/>
      <c r="M72" s="158"/>
      <c r="N72" s="200"/>
      <c r="O72" s="117"/>
    </row>
    <row r="73" spans="1:15">
      <c r="L73" s="99"/>
    </row>
    <row r="74" spans="1:15">
      <c r="B74" s="20" t="s">
        <v>64</v>
      </c>
      <c r="F74" s="201">
        <v>1.0307E-2</v>
      </c>
      <c r="J74" s="201">
        <v>1.0291E-2</v>
      </c>
    </row>
    <row r="76" spans="1:15">
      <c r="A76" s="202" t="s">
        <v>65</v>
      </c>
    </row>
    <row r="78" spans="1:15">
      <c r="A78" s="12" t="s">
        <v>66</v>
      </c>
    </row>
    <row r="79" spans="1:15">
      <c r="A79" s="12" t="s">
        <v>67</v>
      </c>
    </row>
    <row r="81" spans="1:2">
      <c r="A81" s="19" t="s">
        <v>68</v>
      </c>
    </row>
    <row r="82" spans="1:2">
      <c r="A82" s="19" t="s">
        <v>69</v>
      </c>
    </row>
    <row r="84" spans="1:2">
      <c r="A84" s="12" t="s">
        <v>70</v>
      </c>
    </row>
    <row r="85" spans="1:2">
      <c r="A85" s="12" t="s">
        <v>71</v>
      </c>
    </row>
    <row r="86" spans="1:2">
      <c r="A86" s="12" t="s">
        <v>72</v>
      </c>
    </row>
    <row r="87" spans="1:2">
      <c r="A87" s="12" t="s">
        <v>73</v>
      </c>
    </row>
    <row r="88" spans="1:2">
      <c r="A88" s="12" t="s">
        <v>74</v>
      </c>
    </row>
    <row r="90" spans="1:2">
      <c r="A90" s="203"/>
      <c r="B90" s="12" t="s">
        <v>75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E48:E49 E40:E46 E23:E38 E51:E57 E60">
      <formula1>#REF!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90"/>
  <sheetViews>
    <sheetView tabSelected="1" workbookViewId="0">
      <selection activeCell="B18" sqref="B18"/>
    </sheetView>
  </sheetViews>
  <sheetFormatPr defaultRowHeight="15"/>
  <cols>
    <col min="1" max="1" width="2.140625" style="12" customWidth="1"/>
    <col min="2" max="2" width="26.5703125" style="12" customWidth="1"/>
    <col min="3" max="3" width="1.28515625" style="12" customWidth="1"/>
    <col min="4" max="4" width="11.28515625" style="12" customWidth="1"/>
    <col min="5" max="5" width="1.28515625" style="12" customWidth="1"/>
    <col min="6" max="6" width="13.42578125" style="12" bestFit="1" customWidth="1"/>
    <col min="7" max="7" width="8.5703125" style="12" customWidth="1"/>
    <col min="8" max="8" width="12.28515625" style="12" bestFit="1" customWidth="1"/>
    <col min="9" max="9" width="2.85546875" style="12" customWidth="1"/>
    <col min="10" max="10" width="13.5703125" style="12" customWidth="1"/>
    <col min="11" max="11" width="8.5703125" style="12" customWidth="1"/>
    <col min="12" max="12" width="11.5703125" style="12" customWidth="1"/>
    <col min="13" max="13" width="2.85546875" style="12" customWidth="1"/>
    <col min="14" max="14" width="12.7109375" style="12" bestFit="1" customWidth="1"/>
    <col min="15" max="15" width="10.85546875" style="12" bestFit="1" customWidth="1"/>
    <col min="16" max="16" width="3.85546875" style="12" customWidth="1"/>
    <col min="17" max="19" width="9.140625" style="12"/>
    <col min="20" max="20" width="9.140625" style="12" customWidth="1"/>
    <col min="21" max="16384" width="9.140625" style="12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EBNUMBER</f>
        <v>EB 2014 0073</v>
      </c>
      <c r="P1"/>
      <c r="T1" s="2">
        <v>1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8</v>
      </c>
      <c r="P2"/>
    </row>
    <row r="3" spans="1:20" s="2" customFormat="1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 t="s">
        <v>2</v>
      </c>
      <c r="O3" s="6">
        <v>12</v>
      </c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8"/>
      <c r="J4" s="8"/>
      <c r="K4" s="8"/>
      <c r="N4" s="3" t="s">
        <v>3</v>
      </c>
      <c r="O4" s="6">
        <v>1</v>
      </c>
      <c r="P4"/>
    </row>
    <row r="5" spans="1:20" s="2" customFormat="1" ht="15" customHeight="1">
      <c r="C5" s="9"/>
      <c r="D5" s="9"/>
      <c r="E5" s="9"/>
      <c r="N5" s="3" t="s">
        <v>4</v>
      </c>
      <c r="O5" s="10">
        <v>1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1">
        <v>41788</v>
      </c>
      <c r="P7"/>
    </row>
    <row r="8" spans="1:20" s="2" customFormat="1" ht="15" customHeight="1">
      <c r="N8" s="12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13" t="s">
        <v>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/>
    </row>
    <row r="11" spans="1:20" ht="18.75" customHeight="1">
      <c r="B11" s="13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4" t="s">
        <v>8</v>
      </c>
      <c r="D14" s="15" t="s">
        <v>85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0" ht="7.5" customHeight="1">
      <c r="B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20" ht="15.75">
      <c r="B16" s="14" t="s">
        <v>10</v>
      </c>
      <c r="D16" s="18" t="s">
        <v>79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15.75">
      <c r="B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2:15">
      <c r="B18" s="19"/>
      <c r="D18" s="20" t="s">
        <v>13</v>
      </c>
      <c r="E18" s="20"/>
      <c r="F18" s="204">
        <v>340</v>
      </c>
      <c r="G18" s="20" t="s">
        <v>80</v>
      </c>
    </row>
    <row r="19" spans="2:15">
      <c r="B19" s="19"/>
    </row>
    <row r="20" spans="2:15">
      <c r="B20" s="19"/>
      <c r="D20" s="22"/>
      <c r="E20" s="22"/>
      <c r="F20" s="23" t="s">
        <v>15</v>
      </c>
      <c r="G20" s="24"/>
      <c r="H20" s="25"/>
      <c r="J20" s="23" t="s">
        <v>16</v>
      </c>
      <c r="K20" s="24"/>
      <c r="L20" s="25"/>
      <c r="N20" s="23" t="s">
        <v>17</v>
      </c>
      <c r="O20" s="25"/>
    </row>
    <row r="21" spans="2:15">
      <c r="B21" s="19"/>
      <c r="D21" s="26" t="s">
        <v>18</v>
      </c>
      <c r="E21" s="27"/>
      <c r="F21" s="28" t="s">
        <v>19</v>
      </c>
      <c r="G21" s="28" t="s">
        <v>20</v>
      </c>
      <c r="H21" s="29" t="s">
        <v>21</v>
      </c>
      <c r="J21" s="28" t="s">
        <v>19</v>
      </c>
      <c r="K21" s="30" t="s">
        <v>20</v>
      </c>
      <c r="L21" s="29" t="s">
        <v>21</v>
      </c>
      <c r="N21" s="31" t="s">
        <v>22</v>
      </c>
      <c r="O21" s="32" t="s">
        <v>23</v>
      </c>
    </row>
    <row r="22" spans="2:15">
      <c r="B22" s="19"/>
      <c r="D22" s="33"/>
      <c r="E22" s="27"/>
      <c r="F22" s="34" t="s">
        <v>24</v>
      </c>
      <c r="G22" s="34"/>
      <c r="H22" s="35" t="s">
        <v>24</v>
      </c>
      <c r="J22" s="34" t="s">
        <v>24</v>
      </c>
      <c r="K22" s="35"/>
      <c r="L22" s="35" t="s">
        <v>24</v>
      </c>
      <c r="N22" s="36"/>
      <c r="O22" s="37"/>
    </row>
    <row r="23" spans="2:15">
      <c r="B23" s="38" t="s">
        <v>25</v>
      </c>
      <c r="C23" s="38"/>
      <c r="D23" s="39" t="s">
        <v>26</v>
      </c>
      <c r="E23" s="40"/>
      <c r="F23" s="41">
        <v>13.04</v>
      </c>
      <c r="G23" s="42">
        <v>1</v>
      </c>
      <c r="H23" s="43">
        <f>G23*F23</f>
        <v>13.04</v>
      </c>
      <c r="I23" s="44"/>
      <c r="J23" s="45">
        <v>8.1999999999999993</v>
      </c>
      <c r="K23" s="46">
        <v>1</v>
      </c>
      <c r="L23" s="43">
        <f>K23*J23</f>
        <v>8.1999999999999993</v>
      </c>
      <c r="M23" s="44"/>
      <c r="N23" s="47">
        <f>L23-H23</f>
        <v>-4.84</v>
      </c>
      <c r="O23" s="48">
        <f>IF((H23)=0,"",(N23/H23))</f>
        <v>-0.37116564417177916</v>
      </c>
    </row>
    <row r="24" spans="2:15">
      <c r="B24" s="38" t="s">
        <v>27</v>
      </c>
      <c r="C24" s="38"/>
      <c r="D24" s="39" t="s">
        <v>26</v>
      </c>
      <c r="E24" s="40"/>
      <c r="F24" s="41"/>
      <c r="G24" s="42">
        <v>1</v>
      </c>
      <c r="H24" s="43">
        <f t="shared" ref="H24:H38" si="0">G24*F24</f>
        <v>0</v>
      </c>
      <c r="I24" s="44"/>
      <c r="J24" s="45"/>
      <c r="K24" s="46">
        <v>1</v>
      </c>
      <c r="L24" s="43">
        <f>K24*J24</f>
        <v>0</v>
      </c>
      <c r="M24" s="44"/>
      <c r="N24" s="47">
        <f>L24-H24</f>
        <v>0</v>
      </c>
      <c r="O24" s="48" t="str">
        <f>IF((H24)=0,"",(N24/H24))</f>
        <v/>
      </c>
    </row>
    <row r="25" spans="2:15">
      <c r="B25" s="49" t="s">
        <v>28</v>
      </c>
      <c r="C25" s="38"/>
      <c r="D25" s="39" t="s">
        <v>26</v>
      </c>
      <c r="E25" s="40"/>
      <c r="F25" s="41">
        <v>0.85</v>
      </c>
      <c r="G25" s="42">
        <v>1</v>
      </c>
      <c r="H25" s="43">
        <f t="shared" si="0"/>
        <v>0.85</v>
      </c>
      <c r="I25" s="44"/>
      <c r="J25" s="45"/>
      <c r="K25" s="46">
        <v>1</v>
      </c>
      <c r="L25" s="43">
        <f t="shared" ref="L25:L38" si="1">K25*J25</f>
        <v>0</v>
      </c>
      <c r="M25" s="44"/>
      <c r="N25" s="47">
        <f t="shared" ref="N25:N65" si="2">L25-H25</f>
        <v>-0.85</v>
      </c>
      <c r="O25" s="48">
        <f t="shared" ref="O25:O45" si="3">IF((H25)=0,"",(N25/H25))</f>
        <v>-1</v>
      </c>
    </row>
    <row r="26" spans="2:15">
      <c r="B26" s="49" t="s">
        <v>29</v>
      </c>
      <c r="C26" s="38"/>
      <c r="D26" s="50" t="s">
        <v>26</v>
      </c>
      <c r="E26" s="40"/>
      <c r="F26" s="41"/>
      <c r="G26" s="42">
        <v>1</v>
      </c>
      <c r="H26" s="43">
        <f t="shared" si="0"/>
        <v>0</v>
      </c>
      <c r="I26" s="44"/>
      <c r="J26" s="45"/>
      <c r="K26" s="46">
        <v>1</v>
      </c>
      <c r="L26" s="43">
        <f t="shared" si="1"/>
        <v>0</v>
      </c>
      <c r="M26" s="44"/>
      <c r="N26" s="47">
        <f t="shared" si="2"/>
        <v>0</v>
      </c>
      <c r="O26" s="48" t="str">
        <f t="shared" si="3"/>
        <v/>
      </c>
    </row>
    <row r="27" spans="2:15">
      <c r="B27" s="49" t="s">
        <v>30</v>
      </c>
      <c r="C27" s="38"/>
      <c r="D27" s="39" t="s">
        <v>26</v>
      </c>
      <c r="E27" s="40"/>
      <c r="F27" s="41"/>
      <c r="G27" s="42">
        <v>1</v>
      </c>
      <c r="H27" s="43">
        <f t="shared" si="0"/>
        <v>0</v>
      </c>
      <c r="I27" s="44"/>
      <c r="J27" s="45"/>
      <c r="K27" s="46">
        <v>1</v>
      </c>
      <c r="L27" s="43">
        <f t="shared" si="1"/>
        <v>0</v>
      </c>
      <c r="M27" s="44"/>
      <c r="N27" s="47">
        <f t="shared" si="2"/>
        <v>0</v>
      </c>
      <c r="O27" s="48" t="str">
        <f t="shared" si="3"/>
        <v/>
      </c>
    </row>
    <row r="28" spans="2:15">
      <c r="B28" s="51"/>
      <c r="C28" s="38"/>
      <c r="D28" s="39"/>
      <c r="E28" s="40"/>
      <c r="F28" s="41"/>
      <c r="G28" s="42">
        <v>1</v>
      </c>
      <c r="H28" s="43">
        <f t="shared" si="0"/>
        <v>0</v>
      </c>
      <c r="I28" s="44"/>
      <c r="J28" s="45"/>
      <c r="K28" s="46">
        <v>1</v>
      </c>
      <c r="L28" s="43">
        <f t="shared" si="1"/>
        <v>0</v>
      </c>
      <c r="M28" s="44"/>
      <c r="N28" s="47">
        <f t="shared" si="2"/>
        <v>0</v>
      </c>
      <c r="O28" s="48" t="str">
        <f t="shared" si="3"/>
        <v/>
      </c>
    </row>
    <row r="29" spans="2:15">
      <c r="B29" s="38" t="s">
        <v>31</v>
      </c>
      <c r="C29" s="38"/>
      <c r="D29" s="39" t="s">
        <v>81</v>
      </c>
      <c r="E29" s="40"/>
      <c r="F29" s="41">
        <v>1.29E-2</v>
      </c>
      <c r="G29" s="42">
        <f t="shared" ref="G29:G38" si="4">$F$18</f>
        <v>340</v>
      </c>
      <c r="H29" s="43">
        <f t="shared" si="0"/>
        <v>4.3860000000000001</v>
      </c>
      <c r="I29" s="44"/>
      <c r="J29" s="45">
        <v>8.3000000000000001E-3</v>
      </c>
      <c r="K29" s="42">
        <f>$F$18</f>
        <v>340</v>
      </c>
      <c r="L29" s="43">
        <f t="shared" si="1"/>
        <v>2.8220000000000001</v>
      </c>
      <c r="M29" s="44"/>
      <c r="N29" s="47">
        <f t="shared" si="2"/>
        <v>-1.5640000000000001</v>
      </c>
      <c r="O29" s="48">
        <f t="shared" si="3"/>
        <v>-0.35658914728682173</v>
      </c>
    </row>
    <row r="30" spans="2:15">
      <c r="B30" s="38" t="s">
        <v>33</v>
      </c>
      <c r="C30" s="38"/>
      <c r="D30" s="39"/>
      <c r="E30" s="40"/>
      <c r="F30" s="41"/>
      <c r="G30" s="42">
        <f t="shared" si="4"/>
        <v>340</v>
      </c>
      <c r="H30" s="43">
        <f t="shared" si="0"/>
        <v>0</v>
      </c>
      <c r="I30" s="44"/>
      <c r="J30" s="45"/>
      <c r="K30" s="42">
        <f t="shared" ref="K30:K38" si="5">$F$18</f>
        <v>340</v>
      </c>
      <c r="L30" s="43">
        <f t="shared" si="1"/>
        <v>0</v>
      </c>
      <c r="M30" s="44"/>
      <c r="N30" s="47">
        <f t="shared" si="2"/>
        <v>0</v>
      </c>
      <c r="O30" s="48" t="str">
        <f t="shared" si="3"/>
        <v/>
      </c>
    </row>
    <row r="31" spans="2:15">
      <c r="B31" s="38" t="s">
        <v>34</v>
      </c>
      <c r="C31" s="38"/>
      <c r="D31" s="39"/>
      <c r="E31" s="40"/>
      <c r="F31" s="41"/>
      <c r="G31" s="42">
        <f t="shared" si="4"/>
        <v>340</v>
      </c>
      <c r="H31" s="43">
        <f t="shared" si="0"/>
        <v>0</v>
      </c>
      <c r="I31" s="44"/>
      <c r="J31" s="45"/>
      <c r="K31" s="42">
        <f t="shared" si="5"/>
        <v>340</v>
      </c>
      <c r="L31" s="43">
        <f t="shared" si="1"/>
        <v>0</v>
      </c>
      <c r="M31" s="44"/>
      <c r="N31" s="47">
        <f t="shared" si="2"/>
        <v>0</v>
      </c>
      <c r="O31" s="48" t="str">
        <f t="shared" si="3"/>
        <v/>
      </c>
    </row>
    <row r="32" spans="2:15">
      <c r="B32" s="52" t="s">
        <v>35</v>
      </c>
      <c r="C32" s="38"/>
      <c r="D32" s="39" t="s">
        <v>81</v>
      </c>
      <c r="E32" s="40"/>
      <c r="F32" s="41">
        <v>8.0000000000000004E-4</v>
      </c>
      <c r="G32" s="42">
        <f t="shared" si="4"/>
        <v>340</v>
      </c>
      <c r="H32" s="43">
        <f>G32*F32</f>
        <v>0.27200000000000002</v>
      </c>
      <c r="I32" s="44"/>
      <c r="J32" s="45">
        <v>5.0000000000000001E-4</v>
      </c>
      <c r="K32" s="42">
        <f t="shared" si="5"/>
        <v>340</v>
      </c>
      <c r="L32" s="43">
        <f>K32*J32</f>
        <v>0.17</v>
      </c>
      <c r="M32" s="44"/>
      <c r="N32" s="47">
        <f>L32-H32</f>
        <v>-0.10200000000000001</v>
      </c>
      <c r="O32" s="48">
        <f>IF((H32)=0,"",(N32/H32))</f>
        <v>-0.375</v>
      </c>
    </row>
    <row r="33" spans="2:15">
      <c r="B33" s="52" t="s">
        <v>36</v>
      </c>
      <c r="C33" s="38"/>
      <c r="D33" s="39" t="s">
        <v>81</v>
      </c>
      <c r="E33" s="40"/>
      <c r="F33" s="41">
        <v>-5.9999999999999995E-4</v>
      </c>
      <c r="G33" s="42">
        <f t="shared" si="4"/>
        <v>340</v>
      </c>
      <c r="H33" s="43">
        <f>G33*F33</f>
        <v>-0.20399999999999999</v>
      </c>
      <c r="I33" s="44"/>
      <c r="J33" s="45"/>
      <c r="K33" s="42">
        <f t="shared" si="5"/>
        <v>340</v>
      </c>
      <c r="L33" s="43">
        <f>K33*J33</f>
        <v>0</v>
      </c>
      <c r="M33" s="44"/>
      <c r="N33" s="47">
        <f>L33-H33</f>
        <v>0.20399999999999999</v>
      </c>
      <c r="O33" s="48">
        <f>IF((H33)=0,"",(N33/H33))</f>
        <v>-1</v>
      </c>
    </row>
    <row r="34" spans="2:15">
      <c r="B34" s="52"/>
      <c r="C34" s="38"/>
      <c r="D34" s="39"/>
      <c r="E34" s="40"/>
      <c r="F34" s="41"/>
      <c r="G34" s="42">
        <f t="shared" si="4"/>
        <v>340</v>
      </c>
      <c r="H34" s="43">
        <f>G34*F34</f>
        <v>0</v>
      </c>
      <c r="I34" s="44"/>
      <c r="J34" s="45"/>
      <c r="K34" s="42">
        <f t="shared" si="5"/>
        <v>340</v>
      </c>
      <c r="L34" s="43">
        <f>K34*J34</f>
        <v>0</v>
      </c>
      <c r="M34" s="44"/>
      <c r="N34" s="47">
        <f>L34-H34</f>
        <v>0</v>
      </c>
      <c r="O34" s="48" t="str">
        <f>IF((H34)=0,"",(N34/H34))</f>
        <v/>
      </c>
    </row>
    <row r="35" spans="2:15">
      <c r="B35" s="53"/>
      <c r="C35" s="38"/>
      <c r="D35" s="39"/>
      <c r="E35" s="40"/>
      <c r="F35" s="41"/>
      <c r="G35" s="42">
        <f t="shared" si="4"/>
        <v>340</v>
      </c>
      <c r="H35" s="43">
        <f t="shared" si="0"/>
        <v>0</v>
      </c>
      <c r="I35" s="44"/>
      <c r="J35" s="45"/>
      <c r="K35" s="42">
        <f t="shared" si="5"/>
        <v>340</v>
      </c>
      <c r="L35" s="43">
        <f t="shared" si="1"/>
        <v>0</v>
      </c>
      <c r="M35" s="44"/>
      <c r="N35" s="47">
        <f t="shared" si="2"/>
        <v>0</v>
      </c>
      <c r="O35" s="48" t="str">
        <f t="shared" si="3"/>
        <v/>
      </c>
    </row>
    <row r="36" spans="2:15">
      <c r="B36" s="53"/>
      <c r="C36" s="38"/>
      <c r="D36" s="39"/>
      <c r="E36" s="40"/>
      <c r="F36" s="41"/>
      <c r="G36" s="42">
        <f t="shared" si="4"/>
        <v>340</v>
      </c>
      <c r="H36" s="43">
        <f t="shared" si="0"/>
        <v>0</v>
      </c>
      <c r="I36" s="44"/>
      <c r="J36" s="45"/>
      <c r="K36" s="42">
        <f t="shared" si="5"/>
        <v>340</v>
      </c>
      <c r="L36" s="43">
        <f t="shared" si="1"/>
        <v>0</v>
      </c>
      <c r="M36" s="44"/>
      <c r="N36" s="47">
        <f t="shared" si="2"/>
        <v>0</v>
      </c>
      <c r="O36" s="48" t="str">
        <f t="shared" si="3"/>
        <v/>
      </c>
    </row>
    <row r="37" spans="2:15">
      <c r="B37" s="53"/>
      <c r="C37" s="38"/>
      <c r="D37" s="39"/>
      <c r="E37" s="40"/>
      <c r="F37" s="41"/>
      <c r="G37" s="42">
        <f t="shared" si="4"/>
        <v>340</v>
      </c>
      <c r="H37" s="43">
        <f t="shared" si="0"/>
        <v>0</v>
      </c>
      <c r="I37" s="44"/>
      <c r="J37" s="45"/>
      <c r="K37" s="42">
        <f t="shared" si="5"/>
        <v>340</v>
      </c>
      <c r="L37" s="43">
        <f t="shared" si="1"/>
        <v>0</v>
      </c>
      <c r="M37" s="44"/>
      <c r="N37" s="47">
        <f t="shared" si="2"/>
        <v>0</v>
      </c>
      <c r="O37" s="48" t="str">
        <f t="shared" si="3"/>
        <v/>
      </c>
    </row>
    <row r="38" spans="2:15">
      <c r="B38" s="53"/>
      <c r="C38" s="38"/>
      <c r="D38" s="39"/>
      <c r="E38" s="40"/>
      <c r="F38" s="41"/>
      <c r="G38" s="42">
        <f t="shared" si="4"/>
        <v>340</v>
      </c>
      <c r="H38" s="43">
        <f t="shared" si="0"/>
        <v>0</v>
      </c>
      <c r="I38" s="44"/>
      <c r="J38" s="45"/>
      <c r="K38" s="42">
        <f t="shared" si="5"/>
        <v>340</v>
      </c>
      <c r="L38" s="43">
        <f t="shared" si="1"/>
        <v>0</v>
      </c>
      <c r="M38" s="44"/>
      <c r="N38" s="47">
        <f t="shared" si="2"/>
        <v>0</v>
      </c>
      <c r="O38" s="48" t="str">
        <f t="shared" si="3"/>
        <v/>
      </c>
    </row>
    <row r="39" spans="2:15" s="65" customFormat="1">
      <c r="B39" s="54" t="s">
        <v>37</v>
      </c>
      <c r="C39" s="55"/>
      <c r="D39" s="56"/>
      <c r="E39" s="55"/>
      <c r="F39" s="57"/>
      <c r="G39" s="58"/>
      <c r="H39" s="59">
        <f>SUM(H23:H38)</f>
        <v>18.343999999999998</v>
      </c>
      <c r="I39" s="60"/>
      <c r="J39" s="61"/>
      <c r="K39" s="62"/>
      <c r="L39" s="59">
        <f>SUM(L23:L38)</f>
        <v>11.191999999999998</v>
      </c>
      <c r="M39" s="60"/>
      <c r="N39" s="63">
        <f t="shared" si="2"/>
        <v>-7.1519999999999992</v>
      </c>
      <c r="O39" s="64">
        <f t="shared" si="3"/>
        <v>-0.38988225032708246</v>
      </c>
    </row>
    <row r="40" spans="2:15" ht="25.5">
      <c r="B40" s="66" t="s">
        <v>38</v>
      </c>
      <c r="C40" s="38"/>
      <c r="D40" s="39"/>
      <c r="E40" s="40"/>
      <c r="F40" s="41"/>
      <c r="G40" s="42">
        <f>$F$18</f>
        <v>340</v>
      </c>
      <c r="H40" s="43">
        <f t="shared" ref="H40:H46" si="6">G40*F40</f>
        <v>0</v>
      </c>
      <c r="I40" s="44"/>
      <c r="J40" s="45">
        <v>-2.5000000000000001E-3</v>
      </c>
      <c r="K40" s="42">
        <f>$F$18</f>
        <v>340</v>
      </c>
      <c r="L40" s="43">
        <f t="shared" ref="L40:L46" si="7">K40*J40</f>
        <v>-0.85</v>
      </c>
      <c r="M40" s="44"/>
      <c r="N40" s="47">
        <f t="shared" si="2"/>
        <v>-0.85</v>
      </c>
      <c r="O40" s="48" t="str">
        <f t="shared" si="3"/>
        <v/>
      </c>
    </row>
    <row r="41" spans="2:15">
      <c r="B41" s="66" t="s">
        <v>39</v>
      </c>
      <c r="C41" s="38"/>
      <c r="D41" s="39"/>
      <c r="E41" s="40"/>
      <c r="F41" s="41"/>
      <c r="G41" s="42">
        <f>$F$18</f>
        <v>340</v>
      </c>
      <c r="H41" s="43">
        <f t="shared" si="6"/>
        <v>0</v>
      </c>
      <c r="I41" s="67"/>
      <c r="J41" s="45">
        <v>-5.9999999999999995E-4</v>
      </c>
      <c r="K41" s="42">
        <f>$F$18</f>
        <v>340</v>
      </c>
      <c r="L41" s="43">
        <f t="shared" si="7"/>
        <v>-0.20399999999999999</v>
      </c>
      <c r="M41" s="68"/>
      <c r="N41" s="47">
        <f t="shared" si="2"/>
        <v>-0.20399999999999999</v>
      </c>
      <c r="O41" s="48" t="str">
        <f t="shared" si="3"/>
        <v/>
      </c>
    </row>
    <row r="42" spans="2:15" ht="25.5">
      <c r="B42" s="66" t="s">
        <v>40</v>
      </c>
      <c r="C42" s="38"/>
      <c r="D42" s="39" t="s">
        <v>81</v>
      </c>
      <c r="E42" s="40"/>
      <c r="F42" s="41"/>
      <c r="G42" s="42">
        <f>$F$18</f>
        <v>340</v>
      </c>
      <c r="H42" s="43">
        <f t="shared" si="6"/>
        <v>0</v>
      </c>
      <c r="I42" s="67"/>
      <c r="J42" s="45">
        <v>0</v>
      </c>
      <c r="K42" s="42">
        <f>$F$18</f>
        <v>340</v>
      </c>
      <c r="L42" s="43">
        <f t="shared" si="7"/>
        <v>0</v>
      </c>
      <c r="M42" s="68"/>
      <c r="N42" s="47">
        <f t="shared" si="2"/>
        <v>0</v>
      </c>
      <c r="O42" s="48" t="str">
        <f t="shared" si="3"/>
        <v/>
      </c>
    </row>
    <row r="43" spans="2:15">
      <c r="B43" s="66"/>
      <c r="C43" s="38"/>
      <c r="D43" s="39"/>
      <c r="E43" s="40"/>
      <c r="F43" s="41"/>
      <c r="G43" s="42">
        <f>$F$18</f>
        <v>340</v>
      </c>
      <c r="H43" s="43">
        <f t="shared" si="6"/>
        <v>0</v>
      </c>
      <c r="I43" s="67"/>
      <c r="J43" s="45"/>
      <c r="K43" s="42">
        <f>$F$18</f>
        <v>340</v>
      </c>
      <c r="L43" s="43">
        <f t="shared" si="7"/>
        <v>0</v>
      </c>
      <c r="M43" s="68"/>
      <c r="N43" s="47">
        <f t="shared" si="2"/>
        <v>0</v>
      </c>
      <c r="O43" s="48" t="str">
        <f t="shared" si="3"/>
        <v/>
      </c>
    </row>
    <row r="44" spans="2:15">
      <c r="B44" s="69" t="s">
        <v>41</v>
      </c>
      <c r="C44" s="38"/>
      <c r="D44" s="39" t="s">
        <v>81</v>
      </c>
      <c r="E44" s="40"/>
      <c r="F44" s="41">
        <v>2.0000000000000001E-4</v>
      </c>
      <c r="G44" s="42">
        <f>$F$18</f>
        <v>340</v>
      </c>
      <c r="H44" s="43">
        <f t="shared" si="6"/>
        <v>6.8000000000000005E-2</v>
      </c>
      <c r="I44" s="44"/>
      <c r="J44" s="45">
        <v>2.9999999999999997E-4</v>
      </c>
      <c r="K44" s="42">
        <f>$F$18</f>
        <v>340</v>
      </c>
      <c r="L44" s="43">
        <f t="shared" si="7"/>
        <v>0.10199999999999999</v>
      </c>
      <c r="M44" s="44"/>
      <c r="N44" s="47">
        <f t="shared" si="2"/>
        <v>3.3999999999999989E-2</v>
      </c>
      <c r="O44" s="48">
        <f t="shared" si="3"/>
        <v>0.49999999999999978</v>
      </c>
    </row>
    <row r="45" spans="2:15">
      <c r="B45" s="69" t="s">
        <v>42</v>
      </c>
      <c r="C45" s="38"/>
      <c r="D45" s="39"/>
      <c r="E45" s="40"/>
      <c r="F45" s="70">
        <f>IF(ISBLANK(D16)=TRUE, 0, IF(D16="TOU", 0.64*$F$55+0.18*$F$56+0.18*$F$57, IF(AND(D16="non-TOU", G59&gt;0), F59,F58)))</f>
        <v>8.3919999999999995E-2</v>
      </c>
      <c r="G45" s="71">
        <f>$F$18*(1+$F$74)-$F$18</f>
        <v>3.504380000000026</v>
      </c>
      <c r="H45" s="43">
        <f t="shared" si="6"/>
        <v>0.29408756960000215</v>
      </c>
      <c r="I45" s="44"/>
      <c r="J45" s="72">
        <f>0.64*$F$55+0.18*$F$56+0.18*$F$57</f>
        <v>8.3919999999999995E-2</v>
      </c>
      <c r="K45" s="71">
        <f>$F$18*(1+$J$74)-$F$18</f>
        <v>3.4989400000000046</v>
      </c>
      <c r="L45" s="43">
        <f t="shared" si="7"/>
        <v>0.29363104480000035</v>
      </c>
      <c r="M45" s="44"/>
      <c r="N45" s="47">
        <f t="shared" si="2"/>
        <v>-4.5652480000180073E-4</v>
      </c>
      <c r="O45" s="48">
        <f t="shared" si="3"/>
        <v>-1.5523430678240995E-3</v>
      </c>
    </row>
    <row r="46" spans="2:15">
      <c r="B46" s="69" t="s">
        <v>43</v>
      </c>
      <c r="C46" s="38"/>
      <c r="D46" s="39"/>
      <c r="E46" s="40"/>
      <c r="F46" s="70">
        <v>0</v>
      </c>
      <c r="G46" s="42">
        <v>1</v>
      </c>
      <c r="H46" s="43">
        <f t="shared" si="6"/>
        <v>0</v>
      </c>
      <c r="I46" s="44"/>
      <c r="J46" s="70">
        <v>0</v>
      </c>
      <c r="K46" s="42">
        <v>1</v>
      </c>
      <c r="L46" s="43">
        <f t="shared" si="7"/>
        <v>0</v>
      </c>
      <c r="M46" s="44"/>
      <c r="N46" s="47">
        <f t="shared" si="2"/>
        <v>0</v>
      </c>
      <c r="O46" s="48"/>
    </row>
    <row r="47" spans="2:15" ht="25.5">
      <c r="B47" s="73" t="s">
        <v>44</v>
      </c>
      <c r="C47" s="74"/>
      <c r="D47" s="74"/>
      <c r="E47" s="74"/>
      <c r="F47" s="75"/>
      <c r="G47" s="76"/>
      <c r="H47" s="77">
        <f>SUM(H40:H46)+H39</f>
        <v>18.706087569600001</v>
      </c>
      <c r="I47" s="60"/>
      <c r="J47" s="76"/>
      <c r="K47" s="78"/>
      <c r="L47" s="77">
        <f>SUM(L40:L46)+L39</f>
        <v>10.533631044799998</v>
      </c>
      <c r="M47" s="60"/>
      <c r="N47" s="63">
        <f t="shared" si="2"/>
        <v>-8.172456524800003</v>
      </c>
      <c r="O47" s="64">
        <f t="shared" ref="O47:O65" si="8">IF((H47)=0,"",(N47/H47))</f>
        <v>-0.43688753697921223</v>
      </c>
    </row>
    <row r="48" spans="2:15">
      <c r="B48" s="44" t="s">
        <v>45</v>
      </c>
      <c r="C48" s="44"/>
      <c r="D48" s="79" t="s">
        <v>81</v>
      </c>
      <c r="E48" s="80"/>
      <c r="F48" s="45">
        <v>6.1999999999999998E-3</v>
      </c>
      <c r="G48" s="90">
        <f>F18*(1+F74)</f>
        <v>343.50438000000003</v>
      </c>
      <c r="H48" s="43">
        <f>G48*F48</f>
        <v>2.129727156</v>
      </c>
      <c r="I48" s="44"/>
      <c r="J48" s="45">
        <v>6.3E-3</v>
      </c>
      <c r="K48" s="93">
        <f>F18*(1+J74)</f>
        <v>343.49894</v>
      </c>
      <c r="L48" s="43">
        <f>K48*J48</f>
        <v>2.1640433219999999</v>
      </c>
      <c r="M48" s="44"/>
      <c r="N48" s="47">
        <f t="shared" si="2"/>
        <v>3.4316165999999981E-2</v>
      </c>
      <c r="O48" s="48">
        <f t="shared" si="8"/>
        <v>1.6112940055876331E-2</v>
      </c>
    </row>
    <row r="49" spans="2:19" ht="30">
      <c r="B49" s="83" t="s">
        <v>46</v>
      </c>
      <c r="C49" s="44"/>
      <c r="D49" s="79" t="s">
        <v>81</v>
      </c>
      <c r="E49" s="80"/>
      <c r="F49" s="45">
        <v>4.7000000000000002E-3</v>
      </c>
      <c r="G49" s="90">
        <f>G48</f>
        <v>343.50438000000003</v>
      </c>
      <c r="H49" s="43">
        <f>G49*F49</f>
        <v>1.6144705860000002</v>
      </c>
      <c r="I49" s="44"/>
      <c r="J49" s="45">
        <v>4.1000000000000003E-3</v>
      </c>
      <c r="K49" s="93">
        <f>K48</f>
        <v>343.49894</v>
      </c>
      <c r="L49" s="43">
        <f>K49*J49</f>
        <v>1.4083456540000001</v>
      </c>
      <c r="M49" s="44"/>
      <c r="N49" s="47">
        <f t="shared" si="2"/>
        <v>-0.20612493200000004</v>
      </c>
      <c r="O49" s="48">
        <f t="shared" si="8"/>
        <v>-0.12767338952312138</v>
      </c>
    </row>
    <row r="50" spans="2:19" ht="25.5">
      <c r="B50" s="73" t="s">
        <v>47</v>
      </c>
      <c r="C50" s="55"/>
      <c r="D50" s="55"/>
      <c r="E50" s="55"/>
      <c r="F50" s="84"/>
      <c r="G50" s="76"/>
      <c r="H50" s="77">
        <f>SUM(H47:H49)</f>
        <v>22.450285311600002</v>
      </c>
      <c r="I50" s="85"/>
      <c r="J50" s="86"/>
      <c r="K50" s="87"/>
      <c r="L50" s="77">
        <f>SUM(L47:L49)</f>
        <v>14.106020020799997</v>
      </c>
      <c r="M50" s="85"/>
      <c r="N50" s="63">
        <f t="shared" si="2"/>
        <v>-8.3442652908000046</v>
      </c>
      <c r="O50" s="64">
        <f t="shared" si="8"/>
        <v>-0.37167747202252904</v>
      </c>
    </row>
    <row r="51" spans="2:19" ht="30">
      <c r="B51" s="88" t="s">
        <v>48</v>
      </c>
      <c r="C51" s="38"/>
      <c r="D51" s="39" t="s">
        <v>81</v>
      </c>
      <c r="E51" s="40"/>
      <c r="F51" s="89">
        <v>4.4000000000000003E-3</v>
      </c>
      <c r="G51" s="90">
        <f>G49</f>
        <v>343.50438000000003</v>
      </c>
      <c r="H51" s="91">
        <f t="shared" ref="H51:H57" si="9">G51*F51</f>
        <v>1.5114192720000001</v>
      </c>
      <c r="I51" s="44"/>
      <c r="J51" s="92">
        <v>4.4000000000000003E-3</v>
      </c>
      <c r="K51" s="93">
        <f>K49</f>
        <v>343.49894</v>
      </c>
      <c r="L51" s="91">
        <f t="shared" ref="L51:L57" si="10">K51*J51</f>
        <v>1.5113953360000001</v>
      </c>
      <c r="M51" s="44"/>
      <c r="N51" s="47">
        <f t="shared" si="2"/>
        <v>-2.3936000000057689E-5</v>
      </c>
      <c r="O51" s="94">
        <f t="shared" si="8"/>
        <v>-1.5836770407448986E-5</v>
      </c>
    </row>
    <row r="52" spans="2:19" ht="30">
      <c r="B52" s="88" t="s">
        <v>49</v>
      </c>
      <c r="C52" s="38"/>
      <c r="D52" s="39" t="s">
        <v>81</v>
      </c>
      <c r="E52" s="40"/>
      <c r="F52" s="89">
        <v>1.2999999999999999E-3</v>
      </c>
      <c r="G52" s="90">
        <f>G49</f>
        <v>343.50438000000003</v>
      </c>
      <c r="H52" s="91">
        <f t="shared" si="9"/>
        <v>0.446555694</v>
      </c>
      <c r="I52" s="44"/>
      <c r="J52" s="92">
        <v>1.2999999999999999E-3</v>
      </c>
      <c r="K52" s="93">
        <f>K49</f>
        <v>343.49894</v>
      </c>
      <c r="L52" s="91">
        <f t="shared" si="10"/>
        <v>0.44654862200000001</v>
      </c>
      <c r="M52" s="44"/>
      <c r="N52" s="47">
        <f t="shared" si="2"/>
        <v>-7.0719999999968586E-6</v>
      </c>
      <c r="O52" s="94">
        <f t="shared" si="8"/>
        <v>-1.5836770407403781E-5</v>
      </c>
    </row>
    <row r="53" spans="2:19">
      <c r="B53" s="38" t="s">
        <v>50</v>
      </c>
      <c r="C53" s="38"/>
      <c r="D53" s="39" t="s">
        <v>26</v>
      </c>
      <c r="E53" s="40"/>
      <c r="F53" s="89">
        <v>0.25</v>
      </c>
      <c r="G53" s="42">
        <v>1</v>
      </c>
      <c r="H53" s="91">
        <f t="shared" si="9"/>
        <v>0.25</v>
      </c>
      <c r="I53" s="44"/>
      <c r="J53" s="92">
        <v>0.25</v>
      </c>
      <c r="K53" s="46">
        <v>1</v>
      </c>
      <c r="L53" s="91">
        <f t="shared" si="10"/>
        <v>0.25</v>
      </c>
      <c r="M53" s="44"/>
      <c r="N53" s="47">
        <f t="shared" si="2"/>
        <v>0</v>
      </c>
      <c r="O53" s="94">
        <f t="shared" si="8"/>
        <v>0</v>
      </c>
    </row>
    <row r="54" spans="2:19">
      <c r="B54" s="38" t="s">
        <v>51</v>
      </c>
      <c r="C54" s="38"/>
      <c r="D54" s="39"/>
      <c r="E54" s="40"/>
      <c r="F54" s="89">
        <v>7.0000000000000001E-3</v>
      </c>
      <c r="G54" s="95">
        <f>F18</f>
        <v>340</v>
      </c>
      <c r="H54" s="91">
        <f t="shared" si="9"/>
        <v>2.38</v>
      </c>
      <c r="I54" s="44"/>
      <c r="J54" s="92">
        <v>7.0000000000000001E-3</v>
      </c>
      <c r="K54" s="96">
        <f>F18</f>
        <v>340</v>
      </c>
      <c r="L54" s="91">
        <f t="shared" si="10"/>
        <v>2.38</v>
      </c>
      <c r="M54" s="44"/>
      <c r="N54" s="47">
        <f t="shared" si="2"/>
        <v>0</v>
      </c>
      <c r="O54" s="94">
        <f t="shared" si="8"/>
        <v>0</v>
      </c>
    </row>
    <row r="55" spans="2:19">
      <c r="B55" s="69" t="s">
        <v>52</v>
      </c>
      <c r="C55" s="38"/>
      <c r="D55" s="39" t="s">
        <v>81</v>
      </c>
      <c r="E55" s="40"/>
      <c r="F55" s="97">
        <v>6.7000000000000004E-2</v>
      </c>
      <c r="G55" s="98">
        <f>0.64*$F$18</f>
        <v>217.6</v>
      </c>
      <c r="H55" s="91">
        <f t="shared" si="9"/>
        <v>14.5792</v>
      </c>
      <c r="I55" s="44"/>
      <c r="J55" s="89">
        <v>6.7000000000000004E-2</v>
      </c>
      <c r="K55" s="98">
        <f>G55</f>
        <v>217.6</v>
      </c>
      <c r="L55" s="91">
        <f t="shared" si="10"/>
        <v>14.5792</v>
      </c>
      <c r="M55" s="44"/>
      <c r="N55" s="47">
        <f t="shared" si="2"/>
        <v>0</v>
      </c>
      <c r="O55" s="94">
        <f t="shared" si="8"/>
        <v>0</v>
      </c>
      <c r="S55" s="99"/>
    </row>
    <row r="56" spans="2:19">
      <c r="B56" s="69" t="s">
        <v>53</v>
      </c>
      <c r="C56" s="38"/>
      <c r="D56" s="39" t="s">
        <v>81</v>
      </c>
      <c r="E56" s="40"/>
      <c r="F56" s="97">
        <v>0.104</v>
      </c>
      <c r="G56" s="98">
        <f>0.18*$F$18</f>
        <v>61.199999999999996</v>
      </c>
      <c r="H56" s="91">
        <f t="shared" si="9"/>
        <v>6.3647999999999989</v>
      </c>
      <c r="I56" s="44"/>
      <c r="J56" s="89">
        <v>0.104</v>
      </c>
      <c r="K56" s="98">
        <f>G56</f>
        <v>61.199999999999996</v>
      </c>
      <c r="L56" s="91">
        <f t="shared" si="10"/>
        <v>6.3647999999999989</v>
      </c>
      <c r="M56" s="44"/>
      <c r="N56" s="47">
        <f t="shared" si="2"/>
        <v>0</v>
      </c>
      <c r="O56" s="94">
        <f t="shared" si="8"/>
        <v>0</v>
      </c>
      <c r="S56" s="99"/>
    </row>
    <row r="57" spans="2:19">
      <c r="B57" s="19" t="s">
        <v>54</v>
      </c>
      <c r="C57" s="38"/>
      <c r="D57" s="39" t="s">
        <v>81</v>
      </c>
      <c r="E57" s="40"/>
      <c r="F57" s="97">
        <v>0.124</v>
      </c>
      <c r="G57" s="98">
        <f>0.18*$F$18</f>
        <v>61.199999999999996</v>
      </c>
      <c r="H57" s="91">
        <f t="shared" si="9"/>
        <v>7.5887999999999991</v>
      </c>
      <c r="I57" s="44"/>
      <c r="J57" s="89">
        <v>0.124</v>
      </c>
      <c r="K57" s="98">
        <f>G57</f>
        <v>61.199999999999996</v>
      </c>
      <c r="L57" s="91">
        <f t="shared" si="10"/>
        <v>7.5887999999999991</v>
      </c>
      <c r="M57" s="44"/>
      <c r="N57" s="47">
        <f t="shared" si="2"/>
        <v>0</v>
      </c>
      <c r="O57" s="94">
        <f t="shared" si="8"/>
        <v>0</v>
      </c>
      <c r="S57" s="99"/>
    </row>
    <row r="58" spans="2:19" s="107" customFormat="1" ht="12.75">
      <c r="B58" s="100" t="s">
        <v>55</v>
      </c>
      <c r="C58" s="101"/>
      <c r="D58" s="102" t="s">
        <v>81</v>
      </c>
      <c r="E58" s="103"/>
      <c r="F58" s="97">
        <v>7.4999999999999997E-2</v>
      </c>
      <c r="G58" s="104">
        <f>IF(AND($T$1=1, F18&gt;=600), 600, IF(AND($T$1=1, AND(F18&lt;600, F18&gt;=0)), F18, IF(AND($T$1=2, F18&gt;=1000), 1000, IF(AND($T$1=2, AND(F18&lt;1000, F18&gt;=0)), F18))))</f>
        <v>340</v>
      </c>
      <c r="H58" s="91">
        <f>G58*F58</f>
        <v>25.5</v>
      </c>
      <c r="I58" s="105"/>
      <c r="J58" s="89">
        <v>7.4999999999999997E-2</v>
      </c>
      <c r="K58" s="104">
        <f>G58</f>
        <v>340</v>
      </c>
      <c r="L58" s="91">
        <f>K58*J58</f>
        <v>25.5</v>
      </c>
      <c r="M58" s="105"/>
      <c r="N58" s="106">
        <f t="shared" si="2"/>
        <v>0</v>
      </c>
      <c r="O58" s="94">
        <f t="shared" si="8"/>
        <v>0</v>
      </c>
    </row>
    <row r="59" spans="2:19" s="107" customFormat="1" ht="13.5" thickBot="1">
      <c r="B59" s="100" t="s">
        <v>56</v>
      </c>
      <c r="C59" s="101"/>
      <c r="D59" s="102" t="s">
        <v>81</v>
      </c>
      <c r="E59" s="103"/>
      <c r="F59" s="97">
        <v>8.7999999999999995E-2</v>
      </c>
      <c r="G59" s="104">
        <f>IF(AND($T$1=1, F18&gt;=600), F18-600, IF(AND($T$1=1, AND(F18&lt;600, F18&gt;=0)), 0, IF(AND($T$1=2, F18&gt;=1000), F18-1000, IF(AND($T$1=2, AND(F18&lt;1000, F18&gt;=0)), 0))))</f>
        <v>0</v>
      </c>
      <c r="H59" s="91">
        <f>G59*F59</f>
        <v>0</v>
      </c>
      <c r="I59" s="105"/>
      <c r="J59" s="89">
        <v>8.7999999999999995E-2</v>
      </c>
      <c r="K59" s="104">
        <f>G59</f>
        <v>0</v>
      </c>
      <c r="L59" s="91">
        <f>K59*J59</f>
        <v>0</v>
      </c>
      <c r="M59" s="105"/>
      <c r="N59" s="106">
        <f t="shared" si="2"/>
        <v>0</v>
      </c>
      <c r="O59" s="94" t="str">
        <f t="shared" si="8"/>
        <v/>
      </c>
    </row>
    <row r="60" spans="2:19" ht="15.75" thickBot="1">
      <c r="B60" s="108"/>
      <c r="C60" s="109"/>
      <c r="D60" s="110"/>
      <c r="E60" s="109"/>
      <c r="F60" s="111"/>
      <c r="G60" s="112"/>
      <c r="H60" s="113"/>
      <c r="I60" s="114"/>
      <c r="J60" s="111"/>
      <c r="K60" s="115"/>
      <c r="L60" s="113"/>
      <c r="M60" s="114"/>
      <c r="N60" s="116"/>
      <c r="O60" s="117"/>
    </row>
    <row r="61" spans="2:19">
      <c r="B61" s="118" t="s">
        <v>57</v>
      </c>
      <c r="C61" s="38"/>
      <c r="D61" s="38"/>
      <c r="E61" s="38"/>
      <c r="F61" s="119"/>
      <c r="G61" s="120"/>
      <c r="H61" s="121">
        <f>SUM(H51:H57,H50)</f>
        <v>55.571060277599997</v>
      </c>
      <c r="I61" s="122"/>
      <c r="J61" s="123"/>
      <c r="K61" s="123"/>
      <c r="L61" s="121">
        <f>SUM(L51:L57,L50)</f>
        <v>47.226763978799994</v>
      </c>
      <c r="M61" s="124"/>
      <c r="N61" s="125">
        <f>L61-H61</f>
        <v>-8.3442962988000033</v>
      </c>
      <c r="O61" s="126">
        <f>IF((H61)=0,"",(N61/H61))</f>
        <v>-0.15015542725146608</v>
      </c>
      <c r="S61" s="99"/>
    </row>
    <row r="62" spans="2:19">
      <c r="B62" s="127" t="s">
        <v>58</v>
      </c>
      <c r="C62" s="38"/>
      <c r="D62" s="38"/>
      <c r="E62" s="38"/>
      <c r="F62" s="128">
        <v>0.13</v>
      </c>
      <c r="G62" s="129"/>
      <c r="H62" s="130">
        <f>H61*F62</f>
        <v>7.2242378360880002</v>
      </c>
      <c r="I62" s="131"/>
      <c r="J62" s="132">
        <v>0.13</v>
      </c>
      <c r="K62" s="131"/>
      <c r="L62" s="133">
        <f>L61*J62</f>
        <v>6.1394793172439996</v>
      </c>
      <c r="M62" s="134"/>
      <c r="N62" s="135">
        <f t="shared" si="2"/>
        <v>-1.0847585188440005</v>
      </c>
      <c r="O62" s="136">
        <f t="shared" si="8"/>
        <v>-0.15015542725146611</v>
      </c>
      <c r="S62" s="99"/>
    </row>
    <row r="63" spans="2:19">
      <c r="B63" s="137" t="s">
        <v>59</v>
      </c>
      <c r="C63" s="38"/>
      <c r="D63" s="38"/>
      <c r="E63" s="38"/>
      <c r="F63" s="138"/>
      <c r="G63" s="129"/>
      <c r="H63" s="130">
        <f>H61+H62</f>
        <v>62.795298113687998</v>
      </c>
      <c r="I63" s="131"/>
      <c r="J63" s="131"/>
      <c r="K63" s="131"/>
      <c r="L63" s="133">
        <f>L61+L62</f>
        <v>53.36624329604399</v>
      </c>
      <c r="M63" s="134"/>
      <c r="N63" s="135">
        <f t="shared" si="2"/>
        <v>-9.4290548176440083</v>
      </c>
      <c r="O63" s="136">
        <f t="shared" si="8"/>
        <v>-0.15015542725146616</v>
      </c>
      <c r="S63" s="99"/>
    </row>
    <row r="64" spans="2:19">
      <c r="B64" s="139" t="s">
        <v>60</v>
      </c>
      <c r="C64" s="139"/>
      <c r="D64" s="139"/>
      <c r="E64" s="38"/>
      <c r="F64" s="138"/>
      <c r="G64" s="129"/>
      <c r="H64" s="140">
        <f>ROUND(-H63*10%,2)</f>
        <v>-6.28</v>
      </c>
      <c r="I64" s="131"/>
      <c r="J64" s="131"/>
      <c r="K64" s="131"/>
      <c r="L64" s="141">
        <f>ROUND(-L63*10%,2)</f>
        <v>-5.34</v>
      </c>
      <c r="M64" s="134"/>
      <c r="N64" s="142">
        <f t="shared" si="2"/>
        <v>0.94000000000000039</v>
      </c>
      <c r="O64" s="143">
        <f t="shared" si="8"/>
        <v>-0.14968152866242043</v>
      </c>
    </row>
    <row r="65" spans="1:15" ht="15.75" thickBot="1">
      <c r="B65" s="144" t="s">
        <v>61</v>
      </c>
      <c r="C65" s="144"/>
      <c r="D65" s="144"/>
      <c r="E65" s="145"/>
      <c r="F65" s="146"/>
      <c r="G65" s="147"/>
      <c r="H65" s="148">
        <f>H63+H64</f>
        <v>56.515298113687997</v>
      </c>
      <c r="I65" s="149"/>
      <c r="J65" s="149"/>
      <c r="K65" s="149"/>
      <c r="L65" s="150">
        <f>L63+L64</f>
        <v>48.026243296043987</v>
      </c>
      <c r="M65" s="151"/>
      <c r="N65" s="152">
        <f t="shared" si="2"/>
        <v>-8.4890548176440106</v>
      </c>
      <c r="O65" s="153">
        <f t="shared" si="8"/>
        <v>-0.15020808703100449</v>
      </c>
    </row>
    <row r="66" spans="1:15" s="107" customFormat="1" ht="13.5" thickBot="1">
      <c r="B66" s="154"/>
      <c r="C66" s="155"/>
      <c r="D66" s="156"/>
      <c r="E66" s="155"/>
      <c r="F66" s="111"/>
      <c r="G66" s="157"/>
      <c r="H66" s="113"/>
      <c r="I66" s="158"/>
      <c r="J66" s="111"/>
      <c r="K66" s="159"/>
      <c r="L66" s="113"/>
      <c r="M66" s="158"/>
      <c r="N66" s="160"/>
      <c r="O66" s="117"/>
    </row>
    <row r="67" spans="1:15" s="107" customFormat="1" ht="12.75">
      <c r="B67" s="161" t="s">
        <v>62</v>
      </c>
      <c r="C67" s="101"/>
      <c r="D67" s="101"/>
      <c r="E67" s="101"/>
      <c r="F67" s="162"/>
      <c r="G67" s="163"/>
      <c r="H67" s="164">
        <f>SUM(H58:H59,H50,H51:H54)</f>
        <v>52.538260277599996</v>
      </c>
      <c r="I67" s="165"/>
      <c r="J67" s="166"/>
      <c r="K67" s="166"/>
      <c r="L67" s="164">
        <f>SUM(L58:L59,L50,L51:L54)</f>
        <v>44.193963978799999</v>
      </c>
      <c r="M67" s="167"/>
      <c r="N67" s="168">
        <f>L67-H67</f>
        <v>-8.3442962987999962</v>
      </c>
      <c r="O67" s="126">
        <f>IF((H67)=0,"",(N67/H67))</f>
        <v>-0.1588232319591602</v>
      </c>
    </row>
    <row r="68" spans="1:15" s="107" customFormat="1" ht="12.75">
      <c r="B68" s="169" t="s">
        <v>58</v>
      </c>
      <c r="C68" s="101"/>
      <c r="D68" s="101"/>
      <c r="E68" s="101"/>
      <c r="F68" s="170">
        <v>0.13</v>
      </c>
      <c r="G68" s="163"/>
      <c r="H68" s="171">
        <f>H67*F68</f>
        <v>6.8299738360879996</v>
      </c>
      <c r="I68" s="172"/>
      <c r="J68" s="173">
        <v>0.13</v>
      </c>
      <c r="K68" s="174"/>
      <c r="L68" s="175">
        <f>L67*J68</f>
        <v>5.7452153172439999</v>
      </c>
      <c r="M68" s="176"/>
      <c r="N68" s="177">
        <f>L68-H68</f>
        <v>-1.0847585188439997</v>
      </c>
      <c r="O68" s="136">
        <f>IF((H68)=0,"",(N68/H68))</f>
        <v>-0.1588232319591602</v>
      </c>
    </row>
    <row r="69" spans="1:15" s="107" customFormat="1" ht="12.75">
      <c r="B69" s="178" t="s">
        <v>59</v>
      </c>
      <c r="C69" s="101"/>
      <c r="D69" s="101"/>
      <c r="E69" s="101"/>
      <c r="F69" s="179"/>
      <c r="G69" s="180"/>
      <c r="H69" s="171">
        <f>H67+H68</f>
        <v>59.368234113687997</v>
      </c>
      <c r="I69" s="172"/>
      <c r="J69" s="172"/>
      <c r="K69" s="172"/>
      <c r="L69" s="175">
        <f>L67+L68</f>
        <v>49.939179296044003</v>
      </c>
      <c r="M69" s="176"/>
      <c r="N69" s="177">
        <f>L69-H69</f>
        <v>-9.4290548176439941</v>
      </c>
      <c r="O69" s="136">
        <f>IF((H69)=0,"",(N69/H69))</f>
        <v>-0.15882323195916015</v>
      </c>
    </row>
    <row r="70" spans="1:15" s="107" customFormat="1" ht="12.75">
      <c r="B70" s="181" t="s">
        <v>60</v>
      </c>
      <c r="C70" s="181"/>
      <c r="D70" s="181"/>
      <c r="E70" s="101"/>
      <c r="F70" s="179"/>
      <c r="G70" s="180"/>
      <c r="H70" s="182">
        <f>ROUND(-H69*10%,2)</f>
        <v>-5.94</v>
      </c>
      <c r="I70" s="172"/>
      <c r="J70" s="172"/>
      <c r="K70" s="172"/>
      <c r="L70" s="183">
        <f>ROUND(-L69*10%,2)</f>
        <v>-4.99</v>
      </c>
      <c r="M70" s="176"/>
      <c r="N70" s="184">
        <f>L70-H70</f>
        <v>0.95000000000000018</v>
      </c>
      <c r="O70" s="143">
        <f>IF((H70)=0,"",(N70/H70))</f>
        <v>-0.15993265993265995</v>
      </c>
    </row>
    <row r="71" spans="1:15" s="107" customFormat="1" ht="13.5" thickBot="1">
      <c r="B71" s="185" t="s">
        <v>63</v>
      </c>
      <c r="C71" s="185"/>
      <c r="D71" s="185"/>
      <c r="E71" s="186"/>
      <c r="F71" s="187"/>
      <c r="G71" s="188"/>
      <c r="H71" s="189">
        <f>SUM(H69:H70)</f>
        <v>53.428234113687999</v>
      </c>
      <c r="I71" s="190"/>
      <c r="J71" s="190"/>
      <c r="K71" s="190"/>
      <c r="L71" s="191">
        <f>SUM(L69:L70)</f>
        <v>44.949179296044001</v>
      </c>
      <c r="M71" s="192"/>
      <c r="N71" s="193">
        <f>L71-H71</f>
        <v>-8.4790548176439984</v>
      </c>
      <c r="O71" s="194">
        <f>IF((H71)=0,"",(N71/H71))</f>
        <v>-0.15869988889398301</v>
      </c>
    </row>
    <row r="72" spans="1:15" s="107" customFormat="1" ht="13.5" thickBot="1">
      <c r="B72" s="154"/>
      <c r="C72" s="155"/>
      <c r="D72" s="156"/>
      <c r="E72" s="155"/>
      <c r="F72" s="195"/>
      <c r="G72" s="196"/>
      <c r="H72" s="197"/>
      <c r="I72" s="198"/>
      <c r="J72" s="195"/>
      <c r="K72" s="157"/>
      <c r="L72" s="199"/>
      <c r="M72" s="158"/>
      <c r="N72" s="200"/>
      <c r="O72" s="117"/>
    </row>
    <row r="73" spans="1:15">
      <c r="L73" s="99"/>
    </row>
    <row r="74" spans="1:15">
      <c r="B74" s="20" t="s">
        <v>64</v>
      </c>
      <c r="F74" s="201">
        <v>1.0307E-2</v>
      </c>
      <c r="J74" s="201">
        <v>1.0291E-2</v>
      </c>
    </row>
    <row r="76" spans="1:15">
      <c r="A76" s="202" t="s">
        <v>65</v>
      </c>
    </row>
    <row r="78" spans="1:15">
      <c r="A78" s="12" t="s">
        <v>66</v>
      </c>
    </row>
    <row r="79" spans="1:15">
      <c r="A79" s="12" t="s">
        <v>67</v>
      </c>
    </row>
    <row r="81" spans="1:2">
      <c r="A81" s="19" t="s">
        <v>68</v>
      </c>
    </row>
    <row r="82" spans="1:2">
      <c r="A82" s="19" t="s">
        <v>69</v>
      </c>
    </row>
    <row r="84" spans="1:2">
      <c r="A84" s="12" t="s">
        <v>70</v>
      </c>
    </row>
    <row r="85" spans="1:2">
      <c r="A85" s="12" t="s">
        <v>71</v>
      </c>
    </row>
    <row r="86" spans="1:2">
      <c r="A86" s="12" t="s">
        <v>72</v>
      </c>
    </row>
    <row r="87" spans="1:2">
      <c r="A87" s="12" t="s">
        <v>73</v>
      </c>
    </row>
    <row r="88" spans="1:2">
      <c r="A88" s="12" t="s">
        <v>74</v>
      </c>
    </row>
    <row r="90" spans="1:2">
      <c r="A90" s="203"/>
      <c r="B90" s="12" t="s">
        <v>75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E48:E49 E40:E46 E23:E38 E51:E57 E60">
      <formula1>#REF!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90"/>
  <sheetViews>
    <sheetView workbookViewId="0">
      <selection activeCell="L77" sqref="L77"/>
    </sheetView>
  </sheetViews>
  <sheetFormatPr defaultRowHeight="15"/>
  <cols>
    <col min="1" max="1" width="2.140625" style="12" customWidth="1"/>
    <col min="2" max="2" width="26.5703125" style="12" customWidth="1"/>
    <col min="3" max="3" width="1.28515625" style="12" customWidth="1"/>
    <col min="4" max="4" width="11.28515625" style="12" customWidth="1"/>
    <col min="5" max="5" width="1.28515625" style="12" customWidth="1"/>
    <col min="6" max="6" width="13.42578125" style="12" bestFit="1" customWidth="1"/>
    <col min="7" max="7" width="8.5703125" style="12" customWidth="1"/>
    <col min="8" max="8" width="12.28515625" style="12" bestFit="1" customWidth="1"/>
    <col min="9" max="9" width="2.85546875" style="12" customWidth="1"/>
    <col min="10" max="10" width="13.5703125" style="12" customWidth="1"/>
    <col min="11" max="11" width="8.5703125" style="12" customWidth="1"/>
    <col min="12" max="12" width="11.5703125" style="12" customWidth="1"/>
    <col min="13" max="13" width="2.85546875" style="12" customWidth="1"/>
    <col min="14" max="14" width="12.7109375" style="12" bestFit="1" customWidth="1"/>
    <col min="15" max="15" width="10.85546875" style="12" bestFit="1" customWidth="1"/>
    <col min="16" max="16" width="3.85546875" style="12" customWidth="1"/>
    <col min="17" max="19" width="9.140625" style="12"/>
    <col min="20" max="20" width="9.140625" style="12" customWidth="1"/>
    <col min="21" max="16384" width="9.140625" style="12"/>
  </cols>
  <sheetData>
    <row r="1" spans="1:20" s="2" customFormat="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 t="str">
        <f>EBNUMBER</f>
        <v>EB 2014 0073</v>
      </c>
      <c r="P1"/>
      <c r="T1" s="2">
        <v>1</v>
      </c>
    </row>
    <row r="2" spans="1:20" s="2" customFormat="1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>
        <v>8</v>
      </c>
      <c r="P2"/>
    </row>
    <row r="3" spans="1:20" s="2" customFormat="1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3" t="s">
        <v>2</v>
      </c>
      <c r="O3" s="6">
        <v>12</v>
      </c>
      <c r="P3"/>
    </row>
    <row r="4" spans="1:20" s="2" customFormat="1" ht="15" customHeight="1">
      <c r="A4" s="5"/>
      <c r="B4" s="5"/>
      <c r="C4" s="5"/>
      <c r="D4" s="5"/>
      <c r="E4" s="5"/>
      <c r="F4" s="5"/>
      <c r="G4" s="5"/>
      <c r="H4" s="5"/>
      <c r="I4" s="8"/>
      <c r="J4" s="8"/>
      <c r="K4" s="8"/>
      <c r="N4" s="3" t="s">
        <v>3</v>
      </c>
      <c r="O4" s="6">
        <v>1</v>
      </c>
      <c r="P4"/>
    </row>
    <row r="5" spans="1:20" s="2" customFormat="1" ht="15" customHeight="1">
      <c r="C5" s="9"/>
      <c r="D5" s="9"/>
      <c r="E5" s="9"/>
      <c r="N5" s="3" t="s">
        <v>4</v>
      </c>
      <c r="O5" s="10">
        <v>1</v>
      </c>
      <c r="P5"/>
    </row>
    <row r="6" spans="1:20" s="2" customFormat="1" ht="9" customHeight="1">
      <c r="N6" s="3"/>
      <c r="O6" s="4"/>
      <c r="P6"/>
    </row>
    <row r="7" spans="1:20" s="2" customFormat="1">
      <c r="N7" s="3" t="s">
        <v>5</v>
      </c>
      <c r="O7" s="11">
        <v>41754</v>
      </c>
      <c r="P7"/>
    </row>
    <row r="8" spans="1:20" s="2" customFormat="1" ht="15" customHeight="1">
      <c r="N8" s="12"/>
      <c r="O8"/>
      <c r="P8"/>
    </row>
    <row r="9" spans="1:20" ht="7.5" customHeight="1">
      <c r="L9"/>
      <c r="M9"/>
      <c r="N9"/>
      <c r="O9"/>
      <c r="P9"/>
    </row>
    <row r="10" spans="1:20" ht="18.75" customHeight="1">
      <c r="B10" s="13" t="s">
        <v>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/>
    </row>
    <row r="11" spans="1:20" ht="18.75" customHeight="1">
      <c r="B11" s="13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/>
    </row>
    <row r="12" spans="1:20" ht="7.5" customHeight="1">
      <c r="L12"/>
      <c r="M12"/>
      <c r="N12"/>
      <c r="O12"/>
      <c r="P12"/>
    </row>
    <row r="13" spans="1:20" ht="7.5" customHeight="1">
      <c r="L13"/>
      <c r="M13"/>
      <c r="N13"/>
      <c r="O13"/>
      <c r="P13"/>
    </row>
    <row r="14" spans="1:20" ht="15.75">
      <c r="B14" s="14" t="s">
        <v>8</v>
      </c>
      <c r="D14" s="15" t="s">
        <v>76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0" ht="7.5" customHeight="1">
      <c r="B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20" ht="15.75">
      <c r="B16" s="14" t="s">
        <v>10</v>
      </c>
      <c r="D16" s="18" t="s">
        <v>11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15.75">
      <c r="B17" s="16"/>
      <c r="D17" s="17"/>
      <c r="E17" s="17"/>
      <c r="F17" s="17">
        <v>239805</v>
      </c>
      <c r="G17" s="17" t="s">
        <v>77</v>
      </c>
      <c r="H17" s="17"/>
      <c r="I17" s="17"/>
      <c r="J17" s="17"/>
      <c r="K17" s="17"/>
      <c r="L17" s="17"/>
      <c r="M17" s="17"/>
      <c r="N17" s="17"/>
      <c r="O17" s="17"/>
    </row>
    <row r="18" spans="2:15">
      <c r="B18" s="19"/>
      <c r="D18" s="20" t="s">
        <v>13</v>
      </c>
      <c r="E18" s="20"/>
      <c r="F18" s="204">
        <v>657</v>
      </c>
      <c r="G18" s="20" t="s">
        <v>14</v>
      </c>
    </row>
    <row r="19" spans="2:15">
      <c r="B19" s="19"/>
    </row>
    <row r="20" spans="2:15">
      <c r="B20" s="19"/>
      <c r="D20" s="22"/>
      <c r="E20" s="22"/>
      <c r="F20" s="23" t="s">
        <v>15</v>
      </c>
      <c r="G20" s="24"/>
      <c r="H20" s="25"/>
      <c r="J20" s="23" t="s">
        <v>16</v>
      </c>
      <c r="K20" s="24"/>
      <c r="L20" s="25"/>
      <c r="N20" s="23" t="s">
        <v>17</v>
      </c>
      <c r="O20" s="25"/>
    </row>
    <row r="21" spans="2:15">
      <c r="B21" s="19"/>
      <c r="D21" s="26" t="s">
        <v>18</v>
      </c>
      <c r="E21" s="27"/>
      <c r="F21" s="28" t="s">
        <v>19</v>
      </c>
      <c r="G21" s="28" t="s">
        <v>20</v>
      </c>
      <c r="H21" s="29" t="s">
        <v>21</v>
      </c>
      <c r="J21" s="28" t="s">
        <v>19</v>
      </c>
      <c r="K21" s="30" t="s">
        <v>20</v>
      </c>
      <c r="L21" s="29" t="s">
        <v>21</v>
      </c>
      <c r="N21" s="31" t="s">
        <v>22</v>
      </c>
      <c r="O21" s="32" t="s">
        <v>23</v>
      </c>
    </row>
    <row r="22" spans="2:15">
      <c r="B22" s="19"/>
      <c r="D22" s="33"/>
      <c r="E22" s="27"/>
      <c r="F22" s="34" t="s">
        <v>24</v>
      </c>
      <c r="G22" s="34"/>
      <c r="H22" s="35" t="s">
        <v>24</v>
      </c>
      <c r="J22" s="34" t="s">
        <v>24</v>
      </c>
      <c r="K22" s="35"/>
      <c r="L22" s="35" t="s">
        <v>24</v>
      </c>
      <c r="N22" s="36"/>
      <c r="O22" s="37"/>
    </row>
    <row r="23" spans="2:15">
      <c r="B23" s="38" t="s">
        <v>25</v>
      </c>
      <c r="C23" s="38"/>
      <c r="D23" s="39" t="s">
        <v>26</v>
      </c>
      <c r="E23" s="40"/>
      <c r="F23" s="41">
        <v>1.1000000000000001</v>
      </c>
      <c r="G23" s="42">
        <v>3000</v>
      </c>
      <c r="H23" s="43">
        <f>G23*F23</f>
        <v>3300.0000000000005</v>
      </c>
      <c r="I23" s="44"/>
      <c r="J23" s="45">
        <v>0.97</v>
      </c>
      <c r="K23" s="46">
        <v>3000</v>
      </c>
      <c r="L23" s="43">
        <f>K23*J23</f>
        <v>2910</v>
      </c>
      <c r="M23" s="44"/>
      <c r="N23" s="47">
        <f>L23-H23</f>
        <v>-390.00000000000045</v>
      </c>
      <c r="O23" s="48">
        <f>IF((H23)=0,"",(N23/H23))</f>
        <v>-0.1181818181818183</v>
      </c>
    </row>
    <row r="24" spans="2:15">
      <c r="B24" s="38" t="s">
        <v>27</v>
      </c>
      <c r="C24" s="38"/>
      <c r="D24" s="39" t="s">
        <v>26</v>
      </c>
      <c r="E24" s="40"/>
      <c r="F24" s="41"/>
      <c r="G24" s="42">
        <v>1</v>
      </c>
      <c r="H24" s="43">
        <f t="shared" ref="H24:H38" si="0">G24*F24</f>
        <v>0</v>
      </c>
      <c r="I24" s="44"/>
      <c r="J24" s="45"/>
      <c r="K24" s="46">
        <v>1</v>
      </c>
      <c r="L24" s="43">
        <f>K24*J24</f>
        <v>0</v>
      </c>
      <c r="M24" s="44"/>
      <c r="N24" s="47">
        <f>L24-H24</f>
        <v>0</v>
      </c>
      <c r="O24" s="48" t="str">
        <f>IF((H24)=0,"",(N24/H24))</f>
        <v/>
      </c>
    </row>
    <row r="25" spans="2:15">
      <c r="B25" s="49" t="s">
        <v>28</v>
      </c>
      <c r="C25" s="38"/>
      <c r="D25" s="39" t="s">
        <v>26</v>
      </c>
      <c r="E25" s="40"/>
      <c r="F25" s="41">
        <v>7.0000000000000007E-2</v>
      </c>
      <c r="G25" s="42">
        <v>3000</v>
      </c>
      <c r="H25" s="43">
        <f t="shared" si="0"/>
        <v>210.00000000000003</v>
      </c>
      <c r="I25" s="44"/>
      <c r="J25" s="45"/>
      <c r="K25" s="46">
        <v>1</v>
      </c>
      <c r="L25" s="43">
        <f t="shared" ref="L25:L38" si="1">K25*J25</f>
        <v>0</v>
      </c>
      <c r="M25" s="44"/>
      <c r="N25" s="47">
        <f t="shared" ref="N25:N65" si="2">L25-H25</f>
        <v>-210.00000000000003</v>
      </c>
      <c r="O25" s="48">
        <f t="shared" ref="O25:O45" si="3">IF((H25)=0,"",(N25/H25))</f>
        <v>-1</v>
      </c>
    </row>
    <row r="26" spans="2:15">
      <c r="B26" s="49" t="s">
        <v>29</v>
      </c>
      <c r="C26" s="38"/>
      <c r="D26" s="50" t="s">
        <v>26</v>
      </c>
      <c r="E26" s="40"/>
      <c r="F26" s="41"/>
      <c r="G26" s="42">
        <v>1</v>
      </c>
      <c r="H26" s="43">
        <f t="shared" si="0"/>
        <v>0</v>
      </c>
      <c r="I26" s="44"/>
      <c r="J26" s="45"/>
      <c r="K26" s="46">
        <v>1</v>
      </c>
      <c r="L26" s="43">
        <f t="shared" si="1"/>
        <v>0</v>
      </c>
      <c r="M26" s="44"/>
      <c r="N26" s="47">
        <f t="shared" si="2"/>
        <v>0</v>
      </c>
      <c r="O26" s="48" t="str">
        <f t="shared" si="3"/>
        <v/>
      </c>
    </row>
    <row r="27" spans="2:15">
      <c r="B27" s="49" t="s">
        <v>30</v>
      </c>
      <c r="C27" s="38"/>
      <c r="D27" s="39" t="s">
        <v>26</v>
      </c>
      <c r="E27" s="40"/>
      <c r="F27" s="41"/>
      <c r="G27" s="42">
        <v>1</v>
      </c>
      <c r="H27" s="43">
        <f t="shared" si="0"/>
        <v>0</v>
      </c>
      <c r="I27" s="44"/>
      <c r="J27" s="45"/>
      <c r="K27" s="46">
        <v>1</v>
      </c>
      <c r="L27" s="43">
        <f t="shared" si="1"/>
        <v>0</v>
      </c>
      <c r="M27" s="44"/>
      <c r="N27" s="47">
        <f t="shared" si="2"/>
        <v>0</v>
      </c>
      <c r="O27" s="48" t="str">
        <f t="shared" si="3"/>
        <v/>
      </c>
    </row>
    <row r="28" spans="2:15">
      <c r="B28" s="51"/>
      <c r="C28" s="38"/>
      <c r="D28" s="39"/>
      <c r="E28" s="40"/>
      <c r="F28" s="41"/>
      <c r="G28" s="42">
        <v>1</v>
      </c>
      <c r="H28" s="43">
        <f t="shared" si="0"/>
        <v>0</v>
      </c>
      <c r="I28" s="44"/>
      <c r="J28" s="45"/>
      <c r="K28" s="46">
        <v>1</v>
      </c>
      <c r="L28" s="43">
        <f t="shared" si="1"/>
        <v>0</v>
      </c>
      <c r="M28" s="44"/>
      <c r="N28" s="47">
        <f t="shared" si="2"/>
        <v>0</v>
      </c>
      <c r="O28" s="48" t="str">
        <f t="shared" si="3"/>
        <v/>
      </c>
    </row>
    <row r="29" spans="2:15">
      <c r="B29" s="38" t="s">
        <v>31</v>
      </c>
      <c r="C29" s="38"/>
      <c r="D29" s="39" t="s">
        <v>32</v>
      </c>
      <c r="E29" s="40"/>
      <c r="F29" s="41">
        <v>5.0151000000000003</v>
      </c>
      <c r="G29" s="42">
        <f t="shared" ref="G29:G38" si="4">$F$18</f>
        <v>657</v>
      </c>
      <c r="H29" s="43">
        <f t="shared" si="0"/>
        <v>3294.9207000000001</v>
      </c>
      <c r="I29" s="44"/>
      <c r="J29" s="45">
        <v>4.4352</v>
      </c>
      <c r="K29" s="42">
        <f>$F$18</f>
        <v>657</v>
      </c>
      <c r="L29" s="43">
        <f t="shared" si="1"/>
        <v>2913.9263999999998</v>
      </c>
      <c r="M29" s="44"/>
      <c r="N29" s="47">
        <f t="shared" si="2"/>
        <v>-380.99430000000029</v>
      </c>
      <c r="O29" s="48">
        <f t="shared" si="3"/>
        <v>-0.1156307949991028</v>
      </c>
    </row>
    <row r="30" spans="2:15">
      <c r="B30" s="38" t="s">
        <v>33</v>
      </c>
      <c r="C30" s="38"/>
      <c r="D30" s="39"/>
      <c r="E30" s="40"/>
      <c r="F30" s="41"/>
      <c r="G30" s="42">
        <f t="shared" si="4"/>
        <v>657</v>
      </c>
      <c r="H30" s="43">
        <f t="shared" si="0"/>
        <v>0</v>
      </c>
      <c r="I30" s="44"/>
      <c r="J30" s="45"/>
      <c r="K30" s="42">
        <f t="shared" ref="K30:K38" si="5">$F$18</f>
        <v>657</v>
      </c>
      <c r="L30" s="43">
        <f t="shared" si="1"/>
        <v>0</v>
      </c>
      <c r="M30" s="44"/>
      <c r="N30" s="47">
        <f t="shared" si="2"/>
        <v>0</v>
      </c>
      <c r="O30" s="48" t="str">
        <f t="shared" si="3"/>
        <v/>
      </c>
    </row>
    <row r="31" spans="2:15">
      <c r="B31" s="38" t="s">
        <v>34</v>
      </c>
      <c r="C31" s="38"/>
      <c r="D31" s="39"/>
      <c r="E31" s="40"/>
      <c r="F31" s="41"/>
      <c r="G31" s="42">
        <f t="shared" si="4"/>
        <v>657</v>
      </c>
      <c r="H31" s="43">
        <f t="shared" si="0"/>
        <v>0</v>
      </c>
      <c r="I31" s="44"/>
      <c r="J31" s="45"/>
      <c r="K31" s="42">
        <f t="shared" si="5"/>
        <v>657</v>
      </c>
      <c r="L31" s="43">
        <f t="shared" si="1"/>
        <v>0</v>
      </c>
      <c r="M31" s="44"/>
      <c r="N31" s="47">
        <f t="shared" si="2"/>
        <v>0</v>
      </c>
      <c r="O31" s="48" t="str">
        <f t="shared" si="3"/>
        <v/>
      </c>
    </row>
    <row r="32" spans="2:15">
      <c r="B32" s="52" t="s">
        <v>35</v>
      </c>
      <c r="C32" s="38"/>
      <c r="D32" s="39" t="s">
        <v>32</v>
      </c>
      <c r="E32" s="40"/>
      <c r="F32" s="41">
        <v>0.32819999999999999</v>
      </c>
      <c r="G32" s="42">
        <f t="shared" si="4"/>
        <v>657</v>
      </c>
      <c r="H32" s="43">
        <f>G32*F32</f>
        <v>215.62739999999999</v>
      </c>
      <c r="I32" s="44"/>
      <c r="J32" s="45">
        <v>0.20830000000000001</v>
      </c>
      <c r="K32" s="42">
        <f t="shared" si="5"/>
        <v>657</v>
      </c>
      <c r="L32" s="43">
        <f>K32*J32</f>
        <v>136.85310000000001</v>
      </c>
      <c r="M32" s="44"/>
      <c r="N32" s="47">
        <f>L32-H32</f>
        <v>-78.774299999999982</v>
      </c>
      <c r="O32" s="48">
        <f>IF((H32)=0,"",(N32/H32))</f>
        <v>-0.36532602071907366</v>
      </c>
    </row>
    <row r="33" spans="2:15">
      <c r="B33" s="52" t="s">
        <v>36</v>
      </c>
      <c r="C33" s="38"/>
      <c r="D33" s="39" t="s">
        <v>32</v>
      </c>
      <c r="E33" s="40"/>
      <c r="F33" s="41">
        <v>-0.1346</v>
      </c>
      <c r="G33" s="42">
        <f t="shared" si="4"/>
        <v>657</v>
      </c>
      <c r="H33" s="43">
        <f>G33*F33</f>
        <v>-88.432199999999995</v>
      </c>
      <c r="I33" s="44"/>
      <c r="J33" s="45"/>
      <c r="K33" s="42">
        <f t="shared" si="5"/>
        <v>657</v>
      </c>
      <c r="L33" s="43">
        <f>K33*J33</f>
        <v>0</v>
      </c>
      <c r="M33" s="44"/>
      <c r="N33" s="47">
        <f>L33-H33</f>
        <v>88.432199999999995</v>
      </c>
      <c r="O33" s="48">
        <f>IF((H33)=0,"",(N33/H33))</f>
        <v>-1</v>
      </c>
    </row>
    <row r="34" spans="2:15">
      <c r="B34" s="52"/>
      <c r="C34" s="38"/>
      <c r="D34" s="39"/>
      <c r="E34" s="40"/>
      <c r="F34" s="41"/>
      <c r="G34" s="42">
        <f t="shared" si="4"/>
        <v>657</v>
      </c>
      <c r="H34" s="43">
        <f>G34*F34</f>
        <v>0</v>
      </c>
      <c r="I34" s="44"/>
      <c r="J34" s="45"/>
      <c r="K34" s="42">
        <f t="shared" si="5"/>
        <v>657</v>
      </c>
      <c r="L34" s="43">
        <f>K34*J34</f>
        <v>0</v>
      </c>
      <c r="M34" s="44"/>
      <c r="N34" s="47">
        <f>L34-H34</f>
        <v>0</v>
      </c>
      <c r="O34" s="48" t="str">
        <f>IF((H34)=0,"",(N34/H34))</f>
        <v/>
      </c>
    </row>
    <row r="35" spans="2:15">
      <c r="B35" s="53"/>
      <c r="C35" s="38"/>
      <c r="D35" s="39"/>
      <c r="E35" s="40"/>
      <c r="F35" s="41"/>
      <c r="G35" s="42">
        <f t="shared" si="4"/>
        <v>657</v>
      </c>
      <c r="H35" s="43">
        <f t="shared" si="0"/>
        <v>0</v>
      </c>
      <c r="I35" s="44"/>
      <c r="J35" s="45"/>
      <c r="K35" s="42">
        <f t="shared" si="5"/>
        <v>657</v>
      </c>
      <c r="L35" s="43">
        <f t="shared" si="1"/>
        <v>0</v>
      </c>
      <c r="M35" s="44"/>
      <c r="N35" s="47">
        <f t="shared" si="2"/>
        <v>0</v>
      </c>
      <c r="O35" s="48" t="str">
        <f t="shared" si="3"/>
        <v/>
      </c>
    </row>
    <row r="36" spans="2:15">
      <c r="B36" s="53"/>
      <c r="C36" s="38"/>
      <c r="D36" s="39"/>
      <c r="E36" s="40"/>
      <c r="F36" s="41"/>
      <c r="G36" s="42">
        <f t="shared" si="4"/>
        <v>657</v>
      </c>
      <c r="H36" s="43">
        <f t="shared" si="0"/>
        <v>0</v>
      </c>
      <c r="I36" s="44"/>
      <c r="J36" s="45"/>
      <c r="K36" s="42">
        <f t="shared" si="5"/>
        <v>657</v>
      </c>
      <c r="L36" s="43">
        <f t="shared" si="1"/>
        <v>0</v>
      </c>
      <c r="M36" s="44"/>
      <c r="N36" s="47">
        <f t="shared" si="2"/>
        <v>0</v>
      </c>
      <c r="O36" s="48" t="str">
        <f t="shared" si="3"/>
        <v/>
      </c>
    </row>
    <row r="37" spans="2:15">
      <c r="B37" s="53"/>
      <c r="C37" s="38"/>
      <c r="D37" s="39"/>
      <c r="E37" s="40"/>
      <c r="F37" s="41"/>
      <c r="G37" s="42">
        <f t="shared" si="4"/>
        <v>657</v>
      </c>
      <c r="H37" s="43">
        <f t="shared" si="0"/>
        <v>0</v>
      </c>
      <c r="I37" s="44"/>
      <c r="J37" s="45"/>
      <c r="K37" s="42">
        <f t="shared" si="5"/>
        <v>657</v>
      </c>
      <c r="L37" s="43">
        <f t="shared" si="1"/>
        <v>0</v>
      </c>
      <c r="M37" s="44"/>
      <c r="N37" s="47">
        <f t="shared" si="2"/>
        <v>0</v>
      </c>
      <c r="O37" s="48" t="str">
        <f t="shared" si="3"/>
        <v/>
      </c>
    </row>
    <row r="38" spans="2:15">
      <c r="B38" s="53"/>
      <c r="C38" s="38"/>
      <c r="D38" s="39"/>
      <c r="E38" s="40"/>
      <c r="F38" s="41"/>
      <c r="G38" s="42">
        <f t="shared" si="4"/>
        <v>657</v>
      </c>
      <c r="H38" s="43">
        <f t="shared" si="0"/>
        <v>0</v>
      </c>
      <c r="I38" s="44"/>
      <c r="J38" s="45"/>
      <c r="K38" s="42">
        <f t="shared" si="5"/>
        <v>657</v>
      </c>
      <c r="L38" s="43">
        <f t="shared" si="1"/>
        <v>0</v>
      </c>
      <c r="M38" s="44"/>
      <c r="N38" s="47">
        <f t="shared" si="2"/>
        <v>0</v>
      </c>
      <c r="O38" s="48" t="str">
        <f t="shared" si="3"/>
        <v/>
      </c>
    </row>
    <row r="39" spans="2:15" s="65" customFormat="1">
      <c r="B39" s="54" t="s">
        <v>37</v>
      </c>
      <c r="C39" s="55"/>
      <c r="D39" s="56"/>
      <c r="E39" s="55"/>
      <c r="F39" s="57"/>
      <c r="G39" s="58"/>
      <c r="H39" s="59">
        <f>SUM(H23:H38)</f>
        <v>6932.1159000000007</v>
      </c>
      <c r="I39" s="60"/>
      <c r="J39" s="61"/>
      <c r="K39" s="62"/>
      <c r="L39" s="59">
        <f>SUM(L23:L38)</f>
        <v>5960.7795000000006</v>
      </c>
      <c r="M39" s="60"/>
      <c r="N39" s="63">
        <f t="shared" si="2"/>
        <v>-971.33640000000014</v>
      </c>
      <c r="O39" s="64">
        <f t="shared" si="3"/>
        <v>-0.14012120022401819</v>
      </c>
    </row>
    <row r="40" spans="2:15" ht="25.5">
      <c r="B40" s="66" t="s">
        <v>38</v>
      </c>
      <c r="C40" s="38"/>
      <c r="D40" s="39"/>
      <c r="E40" s="40"/>
      <c r="F40" s="41"/>
      <c r="G40" s="42">
        <f>$F$18</f>
        <v>657</v>
      </c>
      <c r="H40" s="43">
        <f t="shared" ref="H40:H46" si="6">G40*F40</f>
        <v>0</v>
      </c>
      <c r="I40" s="44"/>
      <c r="J40" s="45">
        <v>-0.86660000000000004</v>
      </c>
      <c r="K40" s="42">
        <f>$F$18</f>
        <v>657</v>
      </c>
      <c r="L40" s="43">
        <f t="shared" ref="L40:L46" si="7">K40*J40</f>
        <v>-569.35620000000006</v>
      </c>
      <c r="M40" s="44"/>
      <c r="N40" s="47">
        <f t="shared" si="2"/>
        <v>-569.35620000000006</v>
      </c>
      <c r="O40" s="48" t="str">
        <f t="shared" si="3"/>
        <v/>
      </c>
    </row>
    <row r="41" spans="2:15">
      <c r="B41" s="66" t="s">
        <v>39</v>
      </c>
      <c r="C41" s="38"/>
      <c r="D41" s="39"/>
      <c r="E41" s="40"/>
      <c r="F41" s="41"/>
      <c r="G41" s="42">
        <f>$F$18</f>
        <v>657</v>
      </c>
      <c r="H41" s="43">
        <f t="shared" si="6"/>
        <v>0</v>
      </c>
      <c r="I41" s="67"/>
      <c r="J41" s="45">
        <v>-0.2419</v>
      </c>
      <c r="K41" s="42">
        <f>$F$18</f>
        <v>657</v>
      </c>
      <c r="L41" s="43">
        <f t="shared" si="7"/>
        <v>-158.92830000000001</v>
      </c>
      <c r="M41" s="68"/>
      <c r="N41" s="47">
        <f t="shared" si="2"/>
        <v>-158.92830000000001</v>
      </c>
      <c r="O41" s="48" t="str">
        <f t="shared" si="3"/>
        <v/>
      </c>
    </row>
    <row r="42" spans="2:15" ht="25.5">
      <c r="B42" s="66" t="s">
        <v>40</v>
      </c>
      <c r="C42" s="38"/>
      <c r="D42" s="39" t="s">
        <v>32</v>
      </c>
      <c r="E42" s="40"/>
      <c r="F42" s="41"/>
      <c r="G42" s="42">
        <f>$F$18</f>
        <v>657</v>
      </c>
      <c r="H42" s="43">
        <f t="shared" si="6"/>
        <v>0</v>
      </c>
      <c r="I42" s="67"/>
      <c r="J42" s="45">
        <v>0</v>
      </c>
      <c r="K42" s="42">
        <f>$F$18</f>
        <v>657</v>
      </c>
      <c r="L42" s="43">
        <f t="shared" si="7"/>
        <v>0</v>
      </c>
      <c r="M42" s="68"/>
      <c r="N42" s="47">
        <f t="shared" si="2"/>
        <v>0</v>
      </c>
      <c r="O42" s="48" t="str">
        <f t="shared" si="3"/>
        <v/>
      </c>
    </row>
    <row r="43" spans="2:15">
      <c r="B43" s="66"/>
      <c r="C43" s="38"/>
      <c r="D43" s="39"/>
      <c r="E43" s="40"/>
      <c r="F43" s="41"/>
      <c r="G43" s="42">
        <f>$F$18</f>
        <v>657</v>
      </c>
      <c r="H43" s="43">
        <f t="shared" si="6"/>
        <v>0</v>
      </c>
      <c r="I43" s="67"/>
      <c r="J43" s="45"/>
      <c r="K43" s="42">
        <f>$F$18</f>
        <v>657</v>
      </c>
      <c r="L43" s="43">
        <f t="shared" si="7"/>
        <v>0</v>
      </c>
      <c r="M43" s="68"/>
      <c r="N43" s="47">
        <f t="shared" si="2"/>
        <v>0</v>
      </c>
      <c r="O43" s="48" t="str">
        <f t="shared" si="3"/>
        <v/>
      </c>
    </row>
    <row r="44" spans="2:15">
      <c r="B44" s="69" t="s">
        <v>41</v>
      </c>
      <c r="C44" s="38"/>
      <c r="D44" s="39" t="s">
        <v>32</v>
      </c>
      <c r="E44" s="40"/>
      <c r="F44" s="41">
        <v>4.9399999999999999E-2</v>
      </c>
      <c r="G44" s="42">
        <f>$F$18</f>
        <v>657</v>
      </c>
      <c r="H44" s="43">
        <f t="shared" si="6"/>
        <v>32.455799999999996</v>
      </c>
      <c r="I44" s="44"/>
      <c r="J44" s="45">
        <v>9.7299999999999998E-2</v>
      </c>
      <c r="K44" s="42">
        <f>$F$18</f>
        <v>657</v>
      </c>
      <c r="L44" s="43">
        <f t="shared" si="7"/>
        <v>63.926099999999998</v>
      </c>
      <c r="M44" s="44"/>
      <c r="N44" s="47">
        <f t="shared" si="2"/>
        <v>31.470300000000002</v>
      </c>
      <c r="O44" s="48">
        <f t="shared" si="3"/>
        <v>0.96963562753036459</v>
      </c>
    </row>
    <row r="45" spans="2:15">
      <c r="B45" s="69" t="s">
        <v>42</v>
      </c>
      <c r="C45" s="38"/>
      <c r="D45" s="39"/>
      <c r="E45" s="40"/>
      <c r="F45" s="70">
        <f>IF(ISBLANK(D16)=TRUE, 0, IF(D16="TOU", 0.64*$F$55+0.18*$F$56+0.18*$F$57, IF(AND(D16="non-TOU", G59&gt;0), F59,F58)))</f>
        <v>8.7999999999999995E-2</v>
      </c>
      <c r="G45" s="71">
        <f>$F$18*(1+$F$74)-$F$18</f>
        <v>6.7716990000000123</v>
      </c>
      <c r="H45" s="43">
        <f t="shared" si="6"/>
        <v>0.59590951200000108</v>
      </c>
      <c r="I45" s="44"/>
      <c r="J45" s="72">
        <f>0.64*$F$55+0.18*$F$56+0.18*$F$57</f>
        <v>8.3919999999999995E-2</v>
      </c>
      <c r="K45" s="71">
        <f>$F$18*(1+$J$74)-$F$18</f>
        <v>6.7611870000000636</v>
      </c>
      <c r="L45" s="43">
        <f t="shared" si="7"/>
        <v>0.56739881304000528</v>
      </c>
      <c r="M45" s="44"/>
      <c r="N45" s="47">
        <f t="shared" si="2"/>
        <v>-2.8510698959995806E-2</v>
      </c>
      <c r="O45" s="48">
        <f t="shared" si="3"/>
        <v>-4.7844007161939303E-2</v>
      </c>
    </row>
    <row r="46" spans="2:15">
      <c r="B46" s="69" t="s">
        <v>43</v>
      </c>
      <c r="C46" s="38"/>
      <c r="D46" s="39"/>
      <c r="E46" s="40"/>
      <c r="F46" s="70">
        <v>0</v>
      </c>
      <c r="G46" s="42">
        <v>1</v>
      </c>
      <c r="H46" s="43">
        <f t="shared" si="6"/>
        <v>0</v>
      </c>
      <c r="I46" s="44"/>
      <c r="J46" s="70">
        <v>0</v>
      </c>
      <c r="K46" s="42">
        <v>1</v>
      </c>
      <c r="L46" s="43">
        <f t="shared" si="7"/>
        <v>0</v>
      </c>
      <c r="M46" s="44"/>
      <c r="N46" s="47">
        <f t="shared" si="2"/>
        <v>0</v>
      </c>
      <c r="O46" s="48"/>
    </row>
    <row r="47" spans="2:15" ht="25.5">
      <c r="B47" s="73" t="s">
        <v>44</v>
      </c>
      <c r="C47" s="74"/>
      <c r="D47" s="74"/>
      <c r="E47" s="74"/>
      <c r="F47" s="75"/>
      <c r="G47" s="76"/>
      <c r="H47" s="77">
        <f>SUM(H40:H46)+H39</f>
        <v>6965.167609512001</v>
      </c>
      <c r="I47" s="60"/>
      <c r="J47" s="76"/>
      <c r="K47" s="78"/>
      <c r="L47" s="77">
        <f>SUM(L40:L46)+L39</f>
        <v>5296.9884988130407</v>
      </c>
      <c r="M47" s="60"/>
      <c r="N47" s="63">
        <f t="shared" si="2"/>
        <v>-1668.1791106989604</v>
      </c>
      <c r="O47" s="64">
        <f t="shared" ref="O47:O65" si="8">IF((H47)=0,"",(N47/H47))</f>
        <v>-0.23950308222601949</v>
      </c>
    </row>
    <row r="48" spans="2:15">
      <c r="B48" s="44" t="s">
        <v>45</v>
      </c>
      <c r="C48" s="44"/>
      <c r="D48" s="79" t="s">
        <v>32</v>
      </c>
      <c r="E48" s="80"/>
      <c r="F48" s="45">
        <v>1.9712000000000001</v>
      </c>
      <c r="G48" s="90">
        <v>657</v>
      </c>
      <c r="H48" s="43">
        <f>G48*F48</f>
        <v>1295.0784000000001</v>
      </c>
      <c r="I48" s="44"/>
      <c r="J48" s="45">
        <v>2.0024999999999999</v>
      </c>
      <c r="K48" s="93">
        <v>657</v>
      </c>
      <c r="L48" s="43">
        <f>K48*J48</f>
        <v>1315.6424999999999</v>
      </c>
      <c r="M48" s="44"/>
      <c r="N48" s="47">
        <f t="shared" si="2"/>
        <v>20.564099999999826</v>
      </c>
      <c r="O48" s="48">
        <f t="shared" si="8"/>
        <v>1.5878652597402461E-2</v>
      </c>
    </row>
    <row r="49" spans="2:19" ht="30">
      <c r="B49" s="83" t="s">
        <v>46</v>
      </c>
      <c r="C49" s="44"/>
      <c r="D49" s="79" t="s">
        <v>32</v>
      </c>
      <c r="E49" s="80"/>
      <c r="F49" s="45">
        <v>1.4443999999999999</v>
      </c>
      <c r="G49" s="90">
        <f>G48</f>
        <v>657</v>
      </c>
      <c r="H49" s="43">
        <f>G49*F49</f>
        <v>948.97079999999994</v>
      </c>
      <c r="I49" s="44"/>
      <c r="J49" s="45">
        <v>1.2674000000000001</v>
      </c>
      <c r="K49" s="93">
        <f>K48</f>
        <v>657</v>
      </c>
      <c r="L49" s="43">
        <f>K49*J49</f>
        <v>832.68180000000007</v>
      </c>
      <c r="M49" s="44"/>
      <c r="N49" s="47">
        <f t="shared" si="2"/>
        <v>-116.28899999999987</v>
      </c>
      <c r="O49" s="48">
        <f t="shared" si="8"/>
        <v>-0.12254223206867891</v>
      </c>
    </row>
    <row r="50" spans="2:19" ht="25.5">
      <c r="B50" s="73" t="s">
        <v>47</v>
      </c>
      <c r="C50" s="55"/>
      <c r="D50" s="55"/>
      <c r="E50" s="55"/>
      <c r="F50" s="84"/>
      <c r="G50" s="76"/>
      <c r="H50" s="77">
        <f>SUM(H47:H49)</f>
        <v>9209.2168095119996</v>
      </c>
      <c r="I50" s="85"/>
      <c r="J50" s="86"/>
      <c r="K50" s="87"/>
      <c r="L50" s="77">
        <f>SUM(L47:L49)</f>
        <v>7445.3127988130409</v>
      </c>
      <c r="M50" s="85"/>
      <c r="N50" s="63">
        <f t="shared" si="2"/>
        <v>-1763.9040106989587</v>
      </c>
      <c r="O50" s="64">
        <f t="shared" si="8"/>
        <v>-0.19153681004415712</v>
      </c>
    </row>
    <row r="51" spans="2:19" ht="30">
      <c r="B51" s="88" t="s">
        <v>48</v>
      </c>
      <c r="C51" s="38"/>
      <c r="D51" s="39" t="s">
        <v>32</v>
      </c>
      <c r="E51" s="40"/>
      <c r="F51" s="89">
        <v>4.4000000000000003E-3</v>
      </c>
      <c r="G51" s="90">
        <f>239805*1.0307</f>
        <v>247167.0135</v>
      </c>
      <c r="H51" s="91">
        <f t="shared" ref="H51:H57" si="9">G51*F51</f>
        <v>1087.5348594</v>
      </c>
      <c r="I51" s="44"/>
      <c r="J51" s="92">
        <v>4.4000000000000003E-3</v>
      </c>
      <c r="K51" s="93">
        <f>239805*1.0291</f>
        <v>246783.32549999998</v>
      </c>
      <c r="L51" s="91">
        <f t="shared" ref="L51:L57" si="10">K51*J51</f>
        <v>1085.8466321999999</v>
      </c>
      <c r="M51" s="44"/>
      <c r="N51" s="47">
        <f t="shared" si="2"/>
        <v>-1.6882272000000285</v>
      </c>
      <c r="O51" s="94">
        <f t="shared" si="8"/>
        <v>-1.5523430678180141E-3</v>
      </c>
    </row>
    <row r="52" spans="2:19" ht="30">
      <c r="B52" s="88" t="s">
        <v>49</v>
      </c>
      <c r="C52" s="38"/>
      <c r="D52" s="39" t="s">
        <v>32</v>
      </c>
      <c r="E52" s="40"/>
      <c r="F52" s="89">
        <v>1.2999999999999999E-3</v>
      </c>
      <c r="G52" s="90">
        <f>+G51</f>
        <v>247167.0135</v>
      </c>
      <c r="H52" s="91">
        <f t="shared" si="9"/>
        <v>321.31711754999998</v>
      </c>
      <c r="I52" s="44"/>
      <c r="J52" s="92">
        <v>1.2999999999999999E-3</v>
      </c>
      <c r="K52" s="93">
        <f>+K51</f>
        <v>246783.32549999998</v>
      </c>
      <c r="L52" s="91">
        <f t="shared" si="10"/>
        <v>320.81832314999997</v>
      </c>
      <c r="M52" s="44"/>
      <c r="N52" s="47">
        <f t="shared" si="2"/>
        <v>-0.49879440000000841</v>
      </c>
      <c r="O52" s="94">
        <f t="shared" si="8"/>
        <v>-1.5523430678180141E-3</v>
      </c>
    </row>
    <row r="53" spans="2:19">
      <c r="B53" s="38" t="s">
        <v>50</v>
      </c>
      <c r="C53" s="38"/>
      <c r="D53" s="39" t="s">
        <v>26</v>
      </c>
      <c r="E53" s="40"/>
      <c r="F53" s="89">
        <v>0.25</v>
      </c>
      <c r="G53" s="42">
        <v>1</v>
      </c>
      <c r="H53" s="91">
        <f t="shared" si="9"/>
        <v>0.25</v>
      </c>
      <c r="I53" s="44"/>
      <c r="J53" s="92">
        <v>0.25</v>
      </c>
      <c r="K53" s="46">
        <v>1</v>
      </c>
      <c r="L53" s="91">
        <f t="shared" si="10"/>
        <v>0.25</v>
      </c>
      <c r="M53" s="44"/>
      <c r="N53" s="47">
        <f t="shared" si="2"/>
        <v>0</v>
      </c>
      <c r="O53" s="94">
        <f t="shared" si="8"/>
        <v>0</v>
      </c>
    </row>
    <row r="54" spans="2:19">
      <c r="B54" s="38" t="s">
        <v>51</v>
      </c>
      <c r="C54" s="38"/>
      <c r="D54" s="39"/>
      <c r="E54" s="40"/>
      <c r="F54" s="89">
        <v>7.0000000000000001E-3</v>
      </c>
      <c r="G54" s="95">
        <v>239805</v>
      </c>
      <c r="H54" s="91">
        <f t="shared" si="9"/>
        <v>1678.635</v>
      </c>
      <c r="I54" s="44"/>
      <c r="J54" s="92">
        <v>7.0000000000000001E-3</v>
      </c>
      <c r="K54" s="96">
        <f>+G54</f>
        <v>239805</v>
      </c>
      <c r="L54" s="91">
        <f t="shared" si="10"/>
        <v>1678.635</v>
      </c>
      <c r="M54" s="44"/>
      <c r="N54" s="47">
        <f t="shared" si="2"/>
        <v>0</v>
      </c>
      <c r="O54" s="94">
        <f t="shared" si="8"/>
        <v>0</v>
      </c>
    </row>
    <row r="55" spans="2:19">
      <c r="B55" s="69" t="s">
        <v>52</v>
      </c>
      <c r="C55" s="38"/>
      <c r="D55" s="39" t="s">
        <v>32</v>
      </c>
      <c r="E55" s="40"/>
      <c r="F55" s="97">
        <v>6.7000000000000004E-2</v>
      </c>
      <c r="G55" s="98">
        <f>0.64*$F$17</f>
        <v>153475.20000000001</v>
      </c>
      <c r="H55" s="91">
        <f t="shared" si="9"/>
        <v>10282.838400000001</v>
      </c>
      <c r="I55" s="44"/>
      <c r="J55" s="89">
        <v>6.7000000000000004E-2</v>
      </c>
      <c r="K55" s="98">
        <f>G55</f>
        <v>153475.20000000001</v>
      </c>
      <c r="L55" s="91">
        <f t="shared" si="10"/>
        <v>10282.838400000001</v>
      </c>
      <c r="M55" s="44"/>
      <c r="N55" s="47">
        <f t="shared" si="2"/>
        <v>0</v>
      </c>
      <c r="O55" s="94">
        <f t="shared" si="8"/>
        <v>0</v>
      </c>
      <c r="S55" s="99"/>
    </row>
    <row r="56" spans="2:19">
      <c r="B56" s="69" t="s">
        <v>53</v>
      </c>
      <c r="C56" s="38"/>
      <c r="D56" s="39" t="s">
        <v>32</v>
      </c>
      <c r="E56" s="40"/>
      <c r="F56" s="97">
        <v>0.104</v>
      </c>
      <c r="G56" s="98">
        <f>0.18*$F$17</f>
        <v>43164.9</v>
      </c>
      <c r="H56" s="91">
        <f t="shared" si="9"/>
        <v>4489.1495999999997</v>
      </c>
      <c r="I56" s="44"/>
      <c r="J56" s="89">
        <v>0.104</v>
      </c>
      <c r="K56" s="98">
        <f>G56</f>
        <v>43164.9</v>
      </c>
      <c r="L56" s="91">
        <f t="shared" si="10"/>
        <v>4489.1495999999997</v>
      </c>
      <c r="M56" s="44"/>
      <c r="N56" s="47">
        <f t="shared" si="2"/>
        <v>0</v>
      </c>
      <c r="O56" s="94">
        <f t="shared" si="8"/>
        <v>0</v>
      </c>
      <c r="S56" s="99"/>
    </row>
    <row r="57" spans="2:19">
      <c r="B57" s="19" t="s">
        <v>54</v>
      </c>
      <c r="C57" s="38"/>
      <c r="D57" s="39" t="s">
        <v>32</v>
      </c>
      <c r="E57" s="40"/>
      <c r="F57" s="97">
        <v>0.124</v>
      </c>
      <c r="G57" s="98">
        <f>0.18*$F$17</f>
        <v>43164.9</v>
      </c>
      <c r="H57" s="91">
        <f t="shared" si="9"/>
        <v>5352.4476000000004</v>
      </c>
      <c r="I57" s="44"/>
      <c r="J57" s="89">
        <v>0.124</v>
      </c>
      <c r="K57" s="98">
        <f>G57</f>
        <v>43164.9</v>
      </c>
      <c r="L57" s="91">
        <f t="shared" si="10"/>
        <v>5352.4476000000004</v>
      </c>
      <c r="M57" s="44"/>
      <c r="N57" s="47">
        <f t="shared" si="2"/>
        <v>0</v>
      </c>
      <c r="O57" s="94">
        <f t="shared" si="8"/>
        <v>0</v>
      </c>
      <c r="S57" s="99"/>
    </row>
    <row r="58" spans="2:19" s="107" customFormat="1" ht="12.75">
      <c r="B58" s="100" t="s">
        <v>55</v>
      </c>
      <c r="C58" s="101"/>
      <c r="D58" s="102" t="s">
        <v>32</v>
      </c>
      <c r="E58" s="103"/>
      <c r="F58" s="97">
        <v>7.4999999999999997E-2</v>
      </c>
      <c r="G58" s="104">
        <v>750</v>
      </c>
      <c r="H58" s="91">
        <f>G58*F58</f>
        <v>56.25</v>
      </c>
      <c r="I58" s="105"/>
      <c r="J58" s="89">
        <v>7.4999999999999997E-2</v>
      </c>
      <c r="K58" s="104">
        <f>G58</f>
        <v>750</v>
      </c>
      <c r="L58" s="91">
        <f>K58*J58</f>
        <v>56.25</v>
      </c>
      <c r="M58" s="105"/>
      <c r="N58" s="106">
        <f t="shared" si="2"/>
        <v>0</v>
      </c>
      <c r="O58" s="94">
        <f t="shared" si="8"/>
        <v>0</v>
      </c>
    </row>
    <row r="59" spans="2:19" s="107" customFormat="1" ht="13.5" thickBot="1">
      <c r="B59" s="100" t="s">
        <v>56</v>
      </c>
      <c r="C59" s="101"/>
      <c r="D59" s="102" t="s">
        <v>32</v>
      </c>
      <c r="E59" s="103"/>
      <c r="F59" s="97">
        <v>8.7999999999999995E-2</v>
      </c>
      <c r="G59" s="104">
        <f>+F17-G58</f>
        <v>239055</v>
      </c>
      <c r="H59" s="91">
        <f>G59*F59</f>
        <v>21036.84</v>
      </c>
      <c r="I59" s="105"/>
      <c r="J59" s="89">
        <v>8.7999999999999995E-2</v>
      </c>
      <c r="K59" s="104">
        <f>G59</f>
        <v>239055</v>
      </c>
      <c r="L59" s="91">
        <f>K59*J59</f>
        <v>21036.84</v>
      </c>
      <c r="M59" s="105"/>
      <c r="N59" s="106">
        <f t="shared" si="2"/>
        <v>0</v>
      </c>
      <c r="O59" s="94">
        <f t="shared" si="8"/>
        <v>0</v>
      </c>
    </row>
    <row r="60" spans="2:19" ht="15.75" thickBot="1">
      <c r="B60" s="108"/>
      <c r="C60" s="109"/>
      <c r="D60" s="110"/>
      <c r="E60" s="109"/>
      <c r="F60" s="111"/>
      <c r="G60" s="112"/>
      <c r="H60" s="113"/>
      <c r="I60" s="114"/>
      <c r="J60" s="111"/>
      <c r="K60" s="115"/>
      <c r="L60" s="113"/>
      <c r="M60" s="114"/>
      <c r="N60" s="116"/>
      <c r="O60" s="117"/>
    </row>
    <row r="61" spans="2:19">
      <c r="B61" s="118" t="s">
        <v>57</v>
      </c>
      <c r="C61" s="38"/>
      <c r="D61" s="38"/>
      <c r="E61" s="38"/>
      <c r="F61" s="119"/>
      <c r="G61" s="120"/>
      <c r="H61" s="121">
        <f>SUM(H51:H57,H50)</f>
        <v>32421.389386462</v>
      </c>
      <c r="I61" s="122"/>
      <c r="J61" s="123"/>
      <c r="K61" s="123"/>
      <c r="L61" s="121">
        <f>SUM(L51:L57,L50)</f>
        <v>30655.298354163038</v>
      </c>
      <c r="M61" s="124"/>
      <c r="N61" s="125">
        <f>L61-H61</f>
        <v>-1766.0910322989621</v>
      </c>
      <c r="O61" s="126">
        <f>IF((H61)=0,"",(N61/H61))</f>
        <v>-5.4473021228276471E-2</v>
      </c>
      <c r="S61" s="99"/>
    </row>
    <row r="62" spans="2:19">
      <c r="B62" s="127" t="s">
        <v>58</v>
      </c>
      <c r="C62" s="38"/>
      <c r="D62" s="38"/>
      <c r="E62" s="38"/>
      <c r="F62" s="128">
        <v>0.13</v>
      </c>
      <c r="G62" s="129"/>
      <c r="H62" s="130">
        <f>H61*F62</f>
        <v>4214.7806202400598</v>
      </c>
      <c r="I62" s="131"/>
      <c r="J62" s="132">
        <v>0.13</v>
      </c>
      <c r="K62" s="131"/>
      <c r="L62" s="133">
        <f>L61*J62</f>
        <v>3985.1887860411953</v>
      </c>
      <c r="M62" s="134"/>
      <c r="N62" s="135">
        <f t="shared" si="2"/>
        <v>-229.59183419886449</v>
      </c>
      <c r="O62" s="136">
        <f t="shared" si="8"/>
        <v>-5.4473021228276339E-2</v>
      </c>
      <c r="S62" s="99"/>
    </row>
    <row r="63" spans="2:19">
      <c r="B63" s="137" t="s">
        <v>59</v>
      </c>
      <c r="C63" s="38"/>
      <c r="D63" s="38"/>
      <c r="E63" s="38"/>
      <c r="F63" s="138"/>
      <c r="G63" s="129"/>
      <c r="H63" s="130">
        <f>H61+H62</f>
        <v>36636.170006702057</v>
      </c>
      <c r="I63" s="131"/>
      <c r="J63" s="131"/>
      <c r="K63" s="131"/>
      <c r="L63" s="133">
        <f>L61+L62</f>
        <v>34640.487140204234</v>
      </c>
      <c r="M63" s="134"/>
      <c r="N63" s="135">
        <f t="shared" si="2"/>
        <v>-1995.6828664978239</v>
      </c>
      <c r="O63" s="136">
        <f t="shared" si="8"/>
        <v>-5.4473021228276387E-2</v>
      </c>
      <c r="S63" s="99"/>
    </row>
    <row r="64" spans="2:19">
      <c r="B64" s="139" t="s">
        <v>60</v>
      </c>
      <c r="C64" s="139"/>
      <c r="D64" s="139"/>
      <c r="E64" s="38"/>
      <c r="F64" s="138"/>
      <c r="G64" s="129"/>
      <c r="H64" s="140">
        <v>0</v>
      </c>
      <c r="I64" s="131"/>
      <c r="J64" s="131"/>
      <c r="K64" s="131"/>
      <c r="L64" s="141">
        <v>0</v>
      </c>
      <c r="M64" s="134"/>
      <c r="N64" s="142">
        <f t="shared" si="2"/>
        <v>0</v>
      </c>
      <c r="O64" s="143" t="str">
        <f t="shared" si="8"/>
        <v/>
      </c>
    </row>
    <row r="65" spans="1:15" ht="15.75" thickBot="1">
      <c r="B65" s="144" t="s">
        <v>61</v>
      </c>
      <c r="C65" s="144"/>
      <c r="D65" s="144"/>
      <c r="E65" s="145"/>
      <c r="F65" s="146"/>
      <c r="G65" s="147"/>
      <c r="H65" s="148">
        <f>H63+H64</f>
        <v>36636.170006702057</v>
      </c>
      <c r="I65" s="149"/>
      <c r="J65" s="149"/>
      <c r="K65" s="149"/>
      <c r="L65" s="150">
        <f>L63+L64</f>
        <v>34640.487140204234</v>
      </c>
      <c r="M65" s="151"/>
      <c r="N65" s="152">
        <f t="shared" si="2"/>
        <v>-1995.6828664978239</v>
      </c>
      <c r="O65" s="153">
        <f t="shared" si="8"/>
        <v>-5.4473021228276387E-2</v>
      </c>
    </row>
    <row r="66" spans="1:15" s="107" customFormat="1" ht="13.5" thickBot="1">
      <c r="B66" s="154"/>
      <c r="C66" s="155"/>
      <c r="D66" s="156"/>
      <c r="E66" s="155"/>
      <c r="F66" s="111"/>
      <c r="G66" s="157"/>
      <c r="H66" s="113"/>
      <c r="I66" s="158"/>
      <c r="J66" s="111"/>
      <c r="K66" s="159"/>
      <c r="L66" s="113"/>
      <c r="M66" s="158"/>
      <c r="N66" s="160"/>
      <c r="O66" s="117"/>
    </row>
    <row r="67" spans="1:15" s="107" customFormat="1" ht="12.75">
      <c r="B67" s="161" t="s">
        <v>62</v>
      </c>
      <c r="C67" s="101"/>
      <c r="D67" s="101"/>
      <c r="E67" s="101"/>
      <c r="F67" s="162"/>
      <c r="G67" s="163"/>
      <c r="H67" s="164">
        <f>SUM(H58:H59,H50,H51:H54)</f>
        <v>33390.043786461996</v>
      </c>
      <c r="I67" s="165"/>
      <c r="J67" s="166"/>
      <c r="K67" s="166"/>
      <c r="L67" s="164">
        <f>SUM(L58:L59,L50,L51:L54)</f>
        <v>31623.952754163038</v>
      </c>
      <c r="M67" s="167"/>
      <c r="N67" s="168">
        <f>L67-H67</f>
        <v>-1766.0910322989585</v>
      </c>
      <c r="O67" s="126">
        <f>IF((H67)=0,"",(N67/H67))</f>
        <v>-5.2892743824882932E-2</v>
      </c>
    </row>
    <row r="68" spans="1:15" s="107" customFormat="1" ht="12.75">
      <c r="B68" s="169" t="s">
        <v>58</v>
      </c>
      <c r="C68" s="101"/>
      <c r="D68" s="101"/>
      <c r="E68" s="101"/>
      <c r="F68" s="170">
        <v>0.13</v>
      </c>
      <c r="G68" s="163"/>
      <c r="H68" s="171">
        <f>H67*F68</f>
        <v>4340.7056922400598</v>
      </c>
      <c r="I68" s="172"/>
      <c r="J68" s="173">
        <v>0.13</v>
      </c>
      <c r="K68" s="174"/>
      <c r="L68" s="175">
        <f>L67*J68</f>
        <v>4111.1138580411953</v>
      </c>
      <c r="M68" s="176"/>
      <c r="N68" s="177">
        <f>L68-H68</f>
        <v>-229.59183419886449</v>
      </c>
      <c r="O68" s="136">
        <f>IF((H68)=0,"",(N68/H68))</f>
        <v>-5.2892743824882904E-2</v>
      </c>
    </row>
    <row r="69" spans="1:15" s="107" customFormat="1" ht="12.75">
      <c r="B69" s="178" t="s">
        <v>59</v>
      </c>
      <c r="C69" s="101"/>
      <c r="D69" s="101"/>
      <c r="E69" s="101"/>
      <c r="F69" s="179"/>
      <c r="G69" s="180"/>
      <c r="H69" s="171">
        <f>H67+H68</f>
        <v>37730.749478702055</v>
      </c>
      <c r="I69" s="172"/>
      <c r="J69" s="172"/>
      <c r="K69" s="172"/>
      <c r="L69" s="175">
        <f>L67+L68</f>
        <v>35735.066612204231</v>
      </c>
      <c r="M69" s="176"/>
      <c r="N69" s="177">
        <f>L69-H69</f>
        <v>-1995.6828664978239</v>
      </c>
      <c r="O69" s="136">
        <f>IF((H69)=0,"",(N69/H69))</f>
        <v>-5.2892743824882953E-2</v>
      </c>
    </row>
    <row r="70" spans="1:15" s="107" customFormat="1" ht="12.75">
      <c r="B70" s="181" t="s">
        <v>60</v>
      </c>
      <c r="C70" s="181"/>
      <c r="D70" s="181"/>
      <c r="E70" s="101"/>
      <c r="F70" s="179"/>
      <c r="G70" s="180"/>
      <c r="H70" s="182">
        <v>0</v>
      </c>
      <c r="I70" s="172"/>
      <c r="J70" s="172"/>
      <c r="K70" s="172"/>
      <c r="L70" s="183">
        <v>0</v>
      </c>
      <c r="M70" s="176"/>
      <c r="N70" s="184">
        <f>L70-H70</f>
        <v>0</v>
      </c>
      <c r="O70" s="143" t="str">
        <f>IF((H70)=0,"",(N70/H70))</f>
        <v/>
      </c>
    </row>
    <row r="71" spans="1:15" s="107" customFormat="1" ht="13.5" thickBot="1">
      <c r="B71" s="185" t="s">
        <v>63</v>
      </c>
      <c r="C71" s="185"/>
      <c r="D71" s="185"/>
      <c r="E71" s="186"/>
      <c r="F71" s="187"/>
      <c r="G71" s="188"/>
      <c r="H71" s="189">
        <f>SUM(H69:H70)</f>
        <v>37730.749478702055</v>
      </c>
      <c r="I71" s="190"/>
      <c r="J71" s="190"/>
      <c r="K71" s="190"/>
      <c r="L71" s="191">
        <f>SUM(L69:L70)</f>
        <v>35735.066612204231</v>
      </c>
      <c r="M71" s="192"/>
      <c r="N71" s="193">
        <f>L71-H71</f>
        <v>-1995.6828664978239</v>
      </c>
      <c r="O71" s="194">
        <f>IF((H71)=0,"",(N71/H71))</f>
        <v>-5.2892743824882953E-2</v>
      </c>
    </row>
    <row r="72" spans="1:15" s="107" customFormat="1" ht="13.5" thickBot="1">
      <c r="B72" s="154"/>
      <c r="C72" s="155"/>
      <c r="D72" s="156"/>
      <c r="E72" s="155"/>
      <c r="F72" s="195"/>
      <c r="G72" s="196"/>
      <c r="H72" s="197"/>
      <c r="I72" s="198"/>
      <c r="J72" s="195"/>
      <c r="K72" s="157"/>
      <c r="L72" s="199"/>
      <c r="M72" s="158"/>
      <c r="N72" s="200"/>
      <c r="O72" s="117"/>
    </row>
    <row r="73" spans="1:15">
      <c r="L73" s="99"/>
    </row>
    <row r="74" spans="1:15">
      <c r="B74" s="20" t="s">
        <v>64</v>
      </c>
      <c r="F74" s="201">
        <v>1.0307E-2</v>
      </c>
      <c r="J74" s="201">
        <v>1.0291E-2</v>
      </c>
    </row>
    <row r="76" spans="1:15">
      <c r="A76" s="202" t="s">
        <v>65</v>
      </c>
    </row>
    <row r="78" spans="1:15">
      <c r="A78" s="12" t="s">
        <v>66</v>
      </c>
    </row>
    <row r="79" spans="1:15">
      <c r="A79" s="12" t="s">
        <v>67</v>
      </c>
    </row>
    <row r="81" spans="1:2">
      <c r="A81" s="19" t="s">
        <v>68</v>
      </c>
    </row>
    <row r="82" spans="1:2">
      <c r="A82" s="19" t="s">
        <v>69</v>
      </c>
    </row>
    <row r="84" spans="1:2">
      <c r="A84" s="12" t="s">
        <v>70</v>
      </c>
    </row>
    <row r="85" spans="1:2">
      <c r="A85" s="12" t="s">
        <v>71</v>
      </c>
    </row>
    <row r="86" spans="1:2">
      <c r="A86" s="12" t="s">
        <v>72</v>
      </c>
    </row>
    <row r="87" spans="1:2">
      <c r="A87" s="12" t="s">
        <v>73</v>
      </c>
    </row>
    <row r="88" spans="1:2">
      <c r="A88" s="12" t="s">
        <v>74</v>
      </c>
    </row>
    <row r="90" spans="1:2">
      <c r="A90" s="203"/>
      <c r="B90" s="12" t="s">
        <v>75</v>
      </c>
    </row>
  </sheetData>
  <mergeCells count="14">
    <mergeCell ref="B71:D71"/>
    <mergeCell ref="D21:D22"/>
    <mergeCell ref="N21:N22"/>
    <mergeCell ref="O21:O22"/>
    <mergeCell ref="B64:D64"/>
    <mergeCell ref="B65:D65"/>
    <mergeCell ref="B70:D70"/>
    <mergeCell ref="A3:K3"/>
    <mergeCell ref="B10:O10"/>
    <mergeCell ref="B11:O11"/>
    <mergeCell ref="D14:O14"/>
    <mergeCell ref="F20:H20"/>
    <mergeCell ref="J20:L20"/>
    <mergeCell ref="N20:O20"/>
  </mergeCells>
  <dataValidations count="4">
    <dataValidation type="list" allowBlank="1" showInputMessage="1" showErrorMessage="1" sqref="D16">
      <formula1>"TOU, non-TOU"</formula1>
    </dataValidation>
    <dataValidation type="list" allowBlank="1" showInputMessage="1" showErrorMessage="1" sqref="E72 E66 E58:E59">
      <formula1>#REF!</formula1>
    </dataValidation>
    <dataValidation type="list" allowBlank="1" showInputMessage="1" showErrorMessage="1" prompt="Select Charge Unit - monthly, per kWh, per kW" sqref="D48:D49 D40:D46 D66 D23:D38 D72 D51:D60">
      <formula1>"Monthly, per kWh, per kW"</formula1>
    </dataValidation>
    <dataValidation type="list" allowBlank="1" showInputMessage="1" showErrorMessage="1" sqref="E48:E49 E40:E46 E23:E38 E51:E57 E60">
      <formula1>#REF!</formula1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Residential</vt:lpstr>
      <vt:lpstr>G.S. &lt; 50 kW</vt:lpstr>
      <vt:lpstr>G.S. &gt; 50 kW</vt:lpstr>
      <vt:lpstr>Large Use</vt:lpstr>
      <vt:lpstr>Sentinel  lghts</vt:lpstr>
      <vt:lpstr>USL</vt:lpstr>
      <vt:lpstr>Streetlight</vt:lpstr>
      <vt:lpstr>Sheet7</vt:lpstr>
    </vt:vector>
  </TitlesOfParts>
  <Company>Festival Hydro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Reece</dc:creator>
  <cp:lastModifiedBy>Debbie Reece</cp:lastModifiedBy>
  <dcterms:created xsi:type="dcterms:W3CDTF">2014-08-27T22:07:17Z</dcterms:created>
  <dcterms:modified xsi:type="dcterms:W3CDTF">2014-08-27T22:15:02Z</dcterms:modified>
</cp:coreProperties>
</file>