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07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ridgeYear">'[1]LDC Info'!$E$26</definedName>
    <definedName name="EBNUMBER">'[1]LDC Info'!$E$16</definedName>
    <definedName name="RebaseYear">'[1]LDC Info'!$E$28</definedName>
  </definedNames>
  <calcPr calcId="125725"/>
</workbook>
</file>

<file path=xl/calcChain.xml><?xml version="1.0" encoding="utf-8"?>
<calcChain xmlns="http://schemas.openxmlformats.org/spreadsheetml/2006/main">
  <c r="G22" i="1"/>
  <c r="H18"/>
  <c r="G18"/>
  <c r="N27" l="1"/>
  <c r="N26"/>
  <c r="H52"/>
  <c r="H23"/>
  <c r="H22"/>
  <c r="H19"/>
  <c r="G23"/>
  <c r="G19"/>
  <c r="H31" l="1"/>
  <c r="G31"/>
  <c r="G60"/>
  <c r="G59"/>
  <c r="F61"/>
  <c r="E60"/>
  <c r="D60"/>
  <c r="C60"/>
  <c r="E59"/>
  <c r="D59"/>
  <c r="C59"/>
  <c r="F60"/>
  <c r="F59"/>
  <c r="F58"/>
  <c r="F57"/>
  <c r="E58"/>
  <c r="E57"/>
  <c r="D58"/>
  <c r="D57"/>
  <c r="C58"/>
  <c r="C57"/>
  <c r="E56"/>
  <c r="D56"/>
  <c r="C56"/>
  <c r="F56"/>
  <c r="H35"/>
  <c r="H37" s="1"/>
  <c r="H34"/>
  <c r="F28"/>
  <c r="D28"/>
  <c r="B28"/>
  <c r="G27"/>
  <c r="F27"/>
  <c r="E27"/>
  <c r="D27"/>
  <c r="C27"/>
  <c r="B27"/>
  <c r="F26"/>
  <c r="E26"/>
  <c r="D26"/>
  <c r="C26"/>
  <c r="B26"/>
  <c r="F24"/>
  <c r="E24"/>
  <c r="D24"/>
  <c r="C24"/>
  <c r="B24"/>
  <c r="H47"/>
  <c r="J22"/>
  <c r="I22"/>
  <c r="I23" s="1"/>
  <c r="K21"/>
  <c r="K20"/>
  <c r="G20"/>
  <c r="F20"/>
  <c r="E20"/>
  <c r="E28" s="1"/>
  <c r="D20"/>
  <c r="C20"/>
  <c r="C28" s="1"/>
  <c r="B20"/>
  <c r="L19"/>
  <c r="K19"/>
  <c r="L18"/>
  <c r="L20" s="1"/>
  <c r="L21" s="1"/>
  <c r="K18"/>
  <c r="J18"/>
  <c r="G16"/>
  <c r="F16"/>
  <c r="E16"/>
  <c r="D16"/>
  <c r="C16"/>
  <c r="B16"/>
  <c r="H15"/>
  <c r="G15"/>
  <c r="H14"/>
  <c r="H16" s="1"/>
  <c r="G14"/>
  <c r="E12"/>
  <c r="D12"/>
  <c r="C12"/>
  <c r="B12"/>
  <c r="H1"/>
  <c r="H27" l="1"/>
  <c r="G24"/>
  <c r="G28" s="1"/>
  <c r="G52" s="1"/>
  <c r="H45"/>
  <c r="G26"/>
  <c r="H36"/>
  <c r="H41" s="1"/>
  <c r="G29" l="1"/>
  <c r="G57"/>
  <c r="G58"/>
  <c r="G51"/>
  <c r="H44"/>
  <c r="H20"/>
  <c r="H26"/>
  <c r="H24"/>
  <c r="H46"/>
  <c r="H28" l="1"/>
  <c r="H51" s="1"/>
  <c r="H29" l="1"/>
  <c r="H42" s="1"/>
</calcChain>
</file>

<file path=xl/sharedStrings.xml><?xml version="1.0" encoding="utf-8"?>
<sst xmlns="http://schemas.openxmlformats.org/spreadsheetml/2006/main" count="35" uniqueCount="26">
  <si>
    <t>File Number:</t>
  </si>
  <si>
    <t>Exhibit:</t>
  </si>
  <si>
    <t>Tab:</t>
  </si>
  <si>
    <t>Schedule:</t>
  </si>
  <si>
    <t>Attachment:</t>
  </si>
  <si>
    <t>Date:</t>
  </si>
  <si>
    <t>Appendix 2-K</t>
  </si>
  <si>
    <t>Employee Costs</t>
  </si>
  <si>
    <t>2013 Actuals</t>
  </si>
  <si>
    <t>2014 Bridge Year</t>
  </si>
  <si>
    <t>2015 Test Year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</si>
  <si>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</si>
  <si>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</si>
  <si>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</si>
  <si>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</si>
  <si>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</si>
  <si>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</si>
  <si>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</si>
  <si>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Note:</t>
  </si>
  <si>
    <r>
      <t>1</t>
    </r>
    <r>
      <rPr>
        <b/>
        <sz val="10"/>
        <rFont val="Arial"/>
        <family val="2"/>
      </rPr>
      <t xml:space="preserve"> If an applicant wishes to use headcount, it must also file the same schedule on an FTE basis.</t>
    </r>
  </si>
  <si>
    <t>Grid movements in capital minimal &amp; therefore not considered</t>
  </si>
  <si>
    <t>All OM&amp;A new hires</t>
  </si>
  <si>
    <t>Total Compensation Allocated to Capital</t>
  </si>
  <si>
    <t>Total Compensation Allocated to OM&amp;A</t>
  </si>
  <si>
    <t>OM&amp;A</t>
  </si>
  <si>
    <t>Capital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</si>
</sst>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4" fillId="0" borderId="0" xfId="4" applyFont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15" fontId="4" fillId="2" borderId="0" xfId="0" applyNumberFormat="1" applyFont="1" applyFill="1" applyAlignment="1">
      <alignment horizontal="right" vertical="top"/>
    </xf>
    <xf numFmtId="0" fontId="0" fillId="0" borderId="2" xfId="0" applyBorder="1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/>
    <xf numFmtId="164" fontId="3" fillId="2" borderId="9" xfId="1" applyNumberFormat="1" applyFont="1" applyFill="1" applyBorder="1"/>
    <xf numFmtId="164" fontId="3" fillId="0" borderId="9" xfId="1" applyNumberFormat="1" applyFont="1" applyBorder="1"/>
    <xf numFmtId="165" fontId="3" fillId="2" borderId="9" xfId="2" applyNumberFormat="1" applyFont="1" applyFill="1" applyBorder="1"/>
    <xf numFmtId="9" fontId="0" fillId="0" borderId="0" xfId="3" applyFont="1"/>
    <xf numFmtId="43" fontId="0" fillId="0" borderId="0" xfId="1" applyFont="1"/>
    <xf numFmtId="165" fontId="3" fillId="0" borderId="9" xfId="2" applyNumberFormat="1" applyFont="1" applyBorder="1"/>
    <xf numFmtId="44" fontId="0" fillId="0" borderId="0" xfId="0" applyNumberFormat="1"/>
    <xf numFmtId="165" fontId="0" fillId="0" borderId="0" xfId="0" applyNumberFormat="1"/>
    <xf numFmtId="0" fontId="2" fillId="0" borderId="9" xfId="0" applyFont="1" applyFill="1" applyBorder="1" applyAlignment="1">
      <alignment vertical="top"/>
    </xf>
    <xf numFmtId="0" fontId="6" fillId="0" borderId="9" xfId="0" applyFont="1" applyFill="1" applyBorder="1"/>
    <xf numFmtId="164" fontId="0" fillId="0" borderId="9" xfId="1" applyNumberFormat="1" applyFont="1" applyBorder="1"/>
    <xf numFmtId="164" fontId="3" fillId="0" borderId="9" xfId="1" applyNumberFormat="1" applyFont="1" applyBorder="1" applyAlignment="1">
      <alignment horizontal="right"/>
    </xf>
    <xf numFmtId="164" fontId="3" fillId="0" borderId="9" xfId="1" applyNumberFormat="1" applyFont="1" applyFill="1" applyBorder="1"/>
    <xf numFmtId="164" fontId="3" fillId="0" borderId="9" xfId="1" applyNumberFormat="1" applyFont="1" applyFill="1" applyBorder="1" applyAlignment="1">
      <alignment horizontal="right"/>
    </xf>
    <xf numFmtId="10" fontId="0" fillId="0" borderId="0" xfId="3" applyNumberFormat="1" applyFont="1"/>
    <xf numFmtId="10" fontId="0" fillId="0" borderId="0" xfId="0" applyNumberFormat="1"/>
    <xf numFmtId="9" fontId="0" fillId="5" borderId="0" xfId="3" applyFont="1" applyFill="1"/>
    <xf numFmtId="165" fontId="0" fillId="5" borderId="0" xfId="0" applyNumberFormat="1" applyFill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5%20COS\MAY%20REVISIONS\MAY%20EXCEL%20REVISIONS\FEstival_2015%20COS_Filing_Requirements_Chapter2_Appendices_20140530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 2014 0073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abSelected="1" topLeftCell="A11" workbookViewId="0">
      <selection activeCell="M31" sqref="M31"/>
    </sheetView>
  </sheetViews>
  <sheetFormatPr defaultRowHeight="15"/>
  <cols>
    <col min="1" max="1" width="56.85546875" customWidth="1"/>
    <col min="2" max="5" width="15.7109375" customWidth="1"/>
    <col min="6" max="6" width="15" customWidth="1"/>
    <col min="7" max="7" width="15.7109375" customWidth="1"/>
    <col min="8" max="8" width="13.28515625" customWidth="1"/>
    <col min="9" max="9" width="0" hidden="1" customWidth="1"/>
    <col min="10" max="10" width="10.5703125" hidden="1" customWidth="1"/>
    <col min="11" max="12" width="10.28515625" hidden="1" customWidth="1"/>
  </cols>
  <sheetData>
    <row r="1" spans="1:9">
      <c r="F1" s="1" t="s">
        <v>0</v>
      </c>
      <c r="G1" s="1"/>
      <c r="H1" s="2" t="str">
        <f>EBNUMBER</f>
        <v>EB 2014 0073</v>
      </c>
    </row>
    <row r="2" spans="1:9">
      <c r="F2" s="1" t="s">
        <v>1</v>
      </c>
      <c r="G2" s="1"/>
      <c r="H2" s="3">
        <v>4</v>
      </c>
    </row>
    <row r="3" spans="1:9">
      <c r="F3" s="1" t="s">
        <v>2</v>
      </c>
      <c r="G3" s="1"/>
      <c r="H3" s="3">
        <v>3</v>
      </c>
    </row>
    <row r="4" spans="1:9">
      <c r="F4" s="1" t="s">
        <v>3</v>
      </c>
      <c r="G4" s="1"/>
      <c r="H4" s="3">
        <v>2</v>
      </c>
    </row>
    <row r="5" spans="1:9">
      <c r="F5" s="1" t="s">
        <v>4</v>
      </c>
      <c r="G5" s="1"/>
      <c r="H5" s="4">
        <v>2</v>
      </c>
    </row>
    <row r="6" spans="1:9">
      <c r="F6" s="1"/>
      <c r="G6" s="1"/>
      <c r="H6" s="5"/>
    </row>
    <row r="7" spans="1:9">
      <c r="F7" s="1" t="s">
        <v>5</v>
      </c>
      <c r="G7" s="1"/>
      <c r="H7" s="6">
        <v>41754</v>
      </c>
    </row>
    <row r="9" spans="1:9" ht="18">
      <c r="A9" s="35" t="s">
        <v>6</v>
      </c>
      <c r="B9" s="35"/>
      <c r="C9" s="35"/>
      <c r="D9" s="35"/>
      <c r="E9" s="35"/>
      <c r="F9" s="35"/>
      <c r="G9" s="35"/>
      <c r="H9" s="35"/>
    </row>
    <row r="10" spans="1:9" ht="18">
      <c r="A10" s="35" t="s">
        <v>7</v>
      </c>
      <c r="B10" s="35"/>
      <c r="C10" s="35"/>
      <c r="D10" s="35"/>
      <c r="E10" s="35"/>
      <c r="F10" s="35"/>
      <c r="G10" s="35"/>
      <c r="H10" s="35"/>
    </row>
    <row r="11" spans="1:9" ht="15.75" thickBot="1"/>
    <row r="12" spans="1:9" ht="51.75" thickBot="1">
      <c r="A12" s="7"/>
      <c r="B12" s="8" t="str">
        <f>"Last Rebasing Year - "&amp;RebaseYear&amp;"- Board Approved"</f>
        <v>Last Rebasing Year - 2010- Board Approved</v>
      </c>
      <c r="C12" s="8" t="str">
        <f>"Last Rebasing Year - "&amp;RebaseYear&amp;"-  Actual"</f>
        <v>Last Rebasing Year - 2010-  Actual</v>
      </c>
      <c r="D12" s="9" t="str">
        <f>BridgeYear -2 &amp; " Actuals"</f>
        <v>2011 Actuals</v>
      </c>
      <c r="E12" s="9" t="str">
        <f>BridgeYear -1 &amp; " Actuals"</f>
        <v>2012 Actuals</v>
      </c>
      <c r="F12" s="9" t="s">
        <v>8</v>
      </c>
      <c r="G12" s="10" t="s">
        <v>9</v>
      </c>
      <c r="H12" s="11" t="s">
        <v>10</v>
      </c>
      <c r="I12" s="12"/>
    </row>
    <row r="13" spans="1:9">
      <c r="A13" s="36" t="s">
        <v>11</v>
      </c>
      <c r="B13" s="37"/>
      <c r="C13" s="37"/>
      <c r="D13" s="37"/>
      <c r="E13" s="37"/>
      <c r="F13" s="37"/>
      <c r="G13" s="37"/>
      <c r="H13" s="38"/>
    </row>
    <row r="14" spans="1:9">
      <c r="A14" s="13" t="s">
        <v>12</v>
      </c>
      <c r="B14" s="14">
        <v>11</v>
      </c>
      <c r="C14" s="14">
        <v>11</v>
      </c>
      <c r="D14" s="14">
        <v>12</v>
      </c>
      <c r="E14" s="14">
        <v>12</v>
      </c>
      <c r="F14" s="14">
        <v>12</v>
      </c>
      <c r="G14" s="14">
        <f>F14-1-1+1</f>
        <v>11</v>
      </c>
      <c r="H14" s="14">
        <f>G14</f>
        <v>11</v>
      </c>
    </row>
    <row r="15" spans="1:9">
      <c r="A15" s="13" t="s">
        <v>13</v>
      </c>
      <c r="B15" s="14">
        <v>34</v>
      </c>
      <c r="C15" s="14">
        <v>36</v>
      </c>
      <c r="D15" s="14">
        <v>33</v>
      </c>
      <c r="E15" s="14">
        <v>35</v>
      </c>
      <c r="F15" s="14">
        <v>35</v>
      </c>
      <c r="G15" s="14">
        <f>F15-1-1+1</f>
        <v>34</v>
      </c>
      <c r="H15" s="14">
        <f>G15</f>
        <v>34</v>
      </c>
    </row>
    <row r="16" spans="1:9">
      <c r="A16" s="13" t="s">
        <v>14</v>
      </c>
      <c r="B16" s="15">
        <f t="shared" ref="B16:H16" si="0">SUM(B14:B15)</f>
        <v>45</v>
      </c>
      <c r="C16" s="15">
        <f t="shared" si="0"/>
        <v>47</v>
      </c>
      <c r="D16" s="15">
        <f t="shared" si="0"/>
        <v>45</v>
      </c>
      <c r="E16" s="15">
        <f t="shared" si="0"/>
        <v>47</v>
      </c>
      <c r="F16" s="15">
        <f t="shared" si="0"/>
        <v>47</v>
      </c>
      <c r="G16" s="15">
        <f>G14+G15</f>
        <v>45</v>
      </c>
      <c r="H16" s="15">
        <f t="shared" si="0"/>
        <v>45</v>
      </c>
    </row>
    <row r="17" spans="1:14">
      <c r="A17" s="32" t="s">
        <v>15</v>
      </c>
      <c r="B17" s="33"/>
      <c r="C17" s="33"/>
      <c r="D17" s="33"/>
      <c r="E17" s="33"/>
      <c r="F17" s="33"/>
      <c r="G17" s="33"/>
      <c r="H17" s="34"/>
    </row>
    <row r="18" spans="1:14">
      <c r="A18" s="13" t="s">
        <v>12</v>
      </c>
      <c r="B18" s="16">
        <v>872182</v>
      </c>
      <c r="C18" s="16">
        <v>1095323</v>
      </c>
      <c r="D18" s="16">
        <v>1206051</v>
      </c>
      <c r="E18" s="16">
        <v>1251645</v>
      </c>
      <c r="F18" s="16">
        <v>1299464</v>
      </c>
      <c r="G18" s="16">
        <f>1158726+14695-3120</f>
        <v>1170301</v>
      </c>
      <c r="H18" s="16">
        <f>1106724+32164-3025</f>
        <v>1135863</v>
      </c>
      <c r="J18" s="17">
        <f>1076196/3508866</f>
        <v>0.3067076371682475</v>
      </c>
      <c r="K18" s="18">
        <f>71000/1.32</f>
        <v>53787.878787878784</v>
      </c>
      <c r="L18" s="18">
        <f>73000/1.32</f>
        <v>55303.030303030304</v>
      </c>
    </row>
    <row r="19" spans="1:14">
      <c r="A19" s="13" t="s">
        <v>13</v>
      </c>
      <c r="B19" s="16">
        <v>2217898</v>
      </c>
      <c r="C19" s="16">
        <v>2203848</v>
      </c>
      <c r="D19" s="16">
        <v>2335579</v>
      </c>
      <c r="E19" s="16">
        <v>2350858</v>
      </c>
      <c r="F19" s="16">
        <v>2500330</v>
      </c>
      <c r="G19" s="16">
        <f>2466931-9969</f>
        <v>2456962</v>
      </c>
      <c r="H19" s="16">
        <f>2499984-10648</f>
        <v>2489336</v>
      </c>
      <c r="K19" s="18">
        <f>31000/1.32</f>
        <v>23484.848484848484</v>
      </c>
      <c r="L19" s="18">
        <f>28000/1.32</f>
        <v>21212.121212121212</v>
      </c>
    </row>
    <row r="20" spans="1:14">
      <c r="A20" s="13" t="s">
        <v>14</v>
      </c>
      <c r="B20" s="19">
        <f t="shared" ref="B20:H20" si="1">SUM(B18:B19)</f>
        <v>3090080</v>
      </c>
      <c r="C20" s="19">
        <f t="shared" si="1"/>
        <v>3299171</v>
      </c>
      <c r="D20" s="19">
        <f t="shared" si="1"/>
        <v>3541630</v>
      </c>
      <c r="E20" s="19">
        <f t="shared" si="1"/>
        <v>3602503</v>
      </c>
      <c r="F20" s="19">
        <f t="shared" si="1"/>
        <v>3799794</v>
      </c>
      <c r="G20" s="19">
        <f t="shared" si="1"/>
        <v>3627263</v>
      </c>
      <c r="H20" s="19">
        <f t="shared" si="1"/>
        <v>3625199</v>
      </c>
      <c r="K20" s="18">
        <f>K18+K19</f>
        <v>77272.727272727265</v>
      </c>
      <c r="L20" s="18">
        <f>L18+L19</f>
        <v>76515.15151515152</v>
      </c>
    </row>
    <row r="21" spans="1:14">
      <c r="A21" s="32" t="s">
        <v>16</v>
      </c>
      <c r="B21" s="33"/>
      <c r="C21" s="33"/>
      <c r="D21" s="33"/>
      <c r="E21" s="33"/>
      <c r="F21" s="33"/>
      <c r="G21" s="33"/>
      <c r="H21" s="34"/>
      <c r="K21" s="18">
        <f>71000+31000-K20</f>
        <v>24727.272727272735</v>
      </c>
      <c r="L21" s="18">
        <f>73000+28000-L20</f>
        <v>24484.84848484848</v>
      </c>
    </row>
    <row r="22" spans="1:14">
      <c r="A22" s="13" t="s">
        <v>12</v>
      </c>
      <c r="B22" s="16">
        <v>153857</v>
      </c>
      <c r="C22" s="16">
        <v>209762</v>
      </c>
      <c r="D22" s="16">
        <v>242437</v>
      </c>
      <c r="E22" s="16">
        <v>281993</v>
      </c>
      <c r="F22" s="16">
        <v>302820</v>
      </c>
      <c r="G22" s="16">
        <f>260715+4702-606</f>
        <v>264811</v>
      </c>
      <c r="H22" s="16">
        <f>254085+9649-595</f>
        <v>263139</v>
      </c>
      <c r="I22" s="20">
        <f>G22/(G22+G23)</f>
        <v>0.31324863669162617</v>
      </c>
      <c r="J22">
        <f>198831/679524</f>
        <v>0.29260335175799529</v>
      </c>
    </row>
    <row r="23" spans="1:14">
      <c r="A23" s="13" t="s">
        <v>13</v>
      </c>
      <c r="B23" s="16">
        <v>313638</v>
      </c>
      <c r="C23" s="16">
        <v>477560</v>
      </c>
      <c r="D23" s="16">
        <v>521265</v>
      </c>
      <c r="E23" s="16">
        <v>550963</v>
      </c>
      <c r="F23" s="16">
        <v>586369</v>
      </c>
      <c r="G23" s="16">
        <f>582999-2440</f>
        <v>580559</v>
      </c>
      <c r="H23" s="16">
        <f>601786-2650</f>
        <v>599136</v>
      </c>
      <c r="I23" s="20">
        <f>1-I22</f>
        <v>0.68675136330837383</v>
      </c>
    </row>
    <row r="24" spans="1:14">
      <c r="A24" s="13" t="s">
        <v>14</v>
      </c>
      <c r="B24" s="19">
        <f t="shared" ref="B24:H24" si="2">SUM(B22:B23)</f>
        <v>467495</v>
      </c>
      <c r="C24" s="19">
        <f t="shared" si="2"/>
        <v>687322</v>
      </c>
      <c r="D24" s="19">
        <f t="shared" si="2"/>
        <v>763702</v>
      </c>
      <c r="E24" s="19">
        <f t="shared" si="2"/>
        <v>832956</v>
      </c>
      <c r="F24" s="19">
        <f t="shared" si="2"/>
        <v>889189</v>
      </c>
      <c r="G24" s="19">
        <f t="shared" si="2"/>
        <v>845370</v>
      </c>
      <c r="H24" s="19">
        <f t="shared" si="2"/>
        <v>862275</v>
      </c>
    </row>
    <row r="25" spans="1:14">
      <c r="A25" s="32" t="s">
        <v>17</v>
      </c>
      <c r="B25" s="33"/>
      <c r="C25" s="33"/>
      <c r="D25" s="33"/>
      <c r="E25" s="33"/>
      <c r="F25" s="33"/>
      <c r="G25" s="33"/>
      <c r="H25" s="34"/>
    </row>
    <row r="26" spans="1:14">
      <c r="A26" s="13" t="s">
        <v>12</v>
      </c>
      <c r="B26" s="19">
        <f t="shared" ref="B26:H28" si="3">B18+B22</f>
        <v>1026039</v>
      </c>
      <c r="C26" s="19">
        <f t="shared" si="3"/>
        <v>1305085</v>
      </c>
      <c r="D26" s="19">
        <f t="shared" si="3"/>
        <v>1448488</v>
      </c>
      <c r="E26" s="19">
        <f t="shared" si="3"/>
        <v>1533638</v>
      </c>
      <c r="F26" s="19">
        <f t="shared" si="3"/>
        <v>1602284</v>
      </c>
      <c r="G26" s="19">
        <f>G18+G22</f>
        <v>1435112</v>
      </c>
      <c r="H26" s="19">
        <f t="shared" si="3"/>
        <v>1399002</v>
      </c>
      <c r="N26" s="30">
        <f>(H26-C26)/C26</f>
        <v>7.1962362604734556E-2</v>
      </c>
    </row>
    <row r="27" spans="1:14">
      <c r="A27" s="13" t="s">
        <v>13</v>
      </c>
      <c r="B27" s="19">
        <f t="shared" si="3"/>
        <v>2531536</v>
      </c>
      <c r="C27" s="19">
        <f t="shared" si="3"/>
        <v>2681408</v>
      </c>
      <c r="D27" s="19">
        <f t="shared" si="3"/>
        <v>2856844</v>
      </c>
      <c r="E27" s="19">
        <f t="shared" si="3"/>
        <v>2901821</v>
      </c>
      <c r="F27" s="19">
        <f t="shared" si="3"/>
        <v>3086699</v>
      </c>
      <c r="G27" s="19">
        <f>G19+G23</f>
        <v>3037521</v>
      </c>
      <c r="H27" s="19">
        <f t="shared" si="3"/>
        <v>3088472</v>
      </c>
      <c r="N27" s="30">
        <f>(H27-C27)/C27</f>
        <v>0.15180979545074827</v>
      </c>
    </row>
    <row r="28" spans="1:14">
      <c r="A28" s="13" t="s">
        <v>14</v>
      </c>
      <c r="B28" s="19">
        <f t="shared" si="3"/>
        <v>3557575</v>
      </c>
      <c r="C28" s="19">
        <f t="shared" si="3"/>
        <v>3986493</v>
      </c>
      <c r="D28" s="19">
        <f t="shared" si="3"/>
        <v>4305332</v>
      </c>
      <c r="E28" s="19">
        <f t="shared" si="3"/>
        <v>4435459</v>
      </c>
      <c r="F28" s="19">
        <f t="shared" si="3"/>
        <v>4688983</v>
      </c>
      <c r="G28" s="19">
        <f t="shared" si="3"/>
        <v>4472633</v>
      </c>
      <c r="H28" s="19">
        <f t="shared" si="3"/>
        <v>4487474</v>
      </c>
    </row>
    <row r="29" spans="1:14" hidden="1">
      <c r="G29" s="21">
        <f>G28-F28</f>
        <v>-216350</v>
      </c>
      <c r="H29" s="21">
        <f>H28-G28</f>
        <v>14841</v>
      </c>
    </row>
    <row r="30" spans="1:14">
      <c r="G30" s="21"/>
      <c r="H30" s="21"/>
    </row>
    <row r="31" spans="1:14">
      <c r="A31" s="13" t="s">
        <v>23</v>
      </c>
      <c r="B31" s="24"/>
      <c r="C31" s="24">
        <v>3088858</v>
      </c>
      <c r="D31" s="24">
        <v>3334551</v>
      </c>
      <c r="E31" s="24">
        <v>3345148</v>
      </c>
      <c r="F31" s="24">
        <v>3710598</v>
      </c>
      <c r="G31" s="24">
        <f>F31+90097</f>
        <v>3800695</v>
      </c>
      <c r="H31" s="24">
        <f>G31*1.025</f>
        <v>3895712.3749999995</v>
      </c>
    </row>
    <row r="32" spans="1:14" ht="19.5" hidden="1" customHeight="1">
      <c r="A32" s="22" t="s">
        <v>18</v>
      </c>
      <c r="B32" s="24"/>
      <c r="C32" s="24"/>
      <c r="D32" s="24"/>
      <c r="E32" s="24"/>
      <c r="F32" s="15"/>
      <c r="G32" s="24"/>
      <c r="H32" s="24">
        <v>6541</v>
      </c>
    </row>
    <row r="33" spans="1:9" hidden="1">
      <c r="A33" s="23" t="s">
        <v>19</v>
      </c>
      <c r="B33" s="24"/>
      <c r="C33" s="24"/>
      <c r="D33" s="24"/>
      <c r="E33" s="24"/>
      <c r="F33" s="25"/>
      <c r="G33" s="24"/>
      <c r="H33" s="24">
        <v>73000</v>
      </c>
    </row>
    <row r="34" spans="1:9" hidden="1">
      <c r="A34" s="23"/>
      <c r="B34" s="24"/>
      <c r="C34" s="24"/>
      <c r="D34" s="24"/>
      <c r="E34" s="24"/>
      <c r="F34" s="15"/>
      <c r="G34" s="24"/>
      <c r="H34" s="24">
        <f>(1158726-78996)*0.025-(55303+21212)*0.31</f>
        <v>3273.5999999999985</v>
      </c>
    </row>
    <row r="35" spans="1:9" hidden="1">
      <c r="A35" s="23"/>
      <c r="B35" s="24"/>
      <c r="C35" s="24"/>
      <c r="D35" s="24"/>
      <c r="E35" s="24"/>
      <c r="F35" s="26"/>
      <c r="G35" s="24"/>
      <c r="H35" s="24">
        <f>(2466931-27922)*0.025-(55303+21212)*0.69</f>
        <v>8179.8750000000073</v>
      </c>
    </row>
    <row r="36" spans="1:9" hidden="1">
      <c r="A36" s="23"/>
      <c r="B36" s="24"/>
      <c r="C36" s="24"/>
      <c r="D36" s="24"/>
      <c r="E36" s="24"/>
      <c r="F36" s="26"/>
      <c r="G36" s="24"/>
      <c r="H36" s="24">
        <f>H34*0.32</f>
        <v>1047.5519999999995</v>
      </c>
    </row>
    <row r="37" spans="1:9" hidden="1">
      <c r="A37" s="23"/>
      <c r="B37" s="24"/>
      <c r="C37" s="24"/>
      <c r="D37" s="24"/>
      <c r="E37" s="24"/>
      <c r="F37" s="26"/>
      <c r="G37" s="24"/>
      <c r="H37" s="24">
        <f>H35*0.32</f>
        <v>2617.5600000000022</v>
      </c>
    </row>
    <row r="38" spans="1:9" hidden="1">
      <c r="A38" s="13"/>
      <c r="B38" s="24"/>
      <c r="C38" s="24"/>
      <c r="D38" s="24"/>
      <c r="E38" s="24"/>
      <c r="F38" s="15"/>
      <c r="G38" s="24"/>
      <c r="H38" s="24">
        <v>28000</v>
      </c>
      <c r="I38" t="s">
        <v>20</v>
      </c>
    </row>
    <row r="39" spans="1:9" hidden="1">
      <c r="A39" s="13"/>
      <c r="B39" s="24"/>
      <c r="C39" s="24"/>
      <c r="D39" s="24"/>
      <c r="E39" s="24"/>
      <c r="F39" s="26"/>
      <c r="G39" s="24"/>
      <c r="H39" s="24">
        <v>0</v>
      </c>
      <c r="I39" t="s">
        <v>21</v>
      </c>
    </row>
    <row r="40" spans="1:9" hidden="1">
      <c r="A40" s="13"/>
      <c r="B40" s="24"/>
      <c r="C40" s="24"/>
      <c r="D40" s="24"/>
      <c r="E40" s="24"/>
      <c r="F40" s="26"/>
      <c r="G40" s="24"/>
      <c r="H40" s="24">
        <v>-129000</v>
      </c>
    </row>
    <row r="41" spans="1:9" hidden="1">
      <c r="A41" s="13"/>
      <c r="B41" s="24"/>
      <c r="C41" s="24"/>
      <c r="D41" s="24"/>
      <c r="E41" s="24"/>
      <c r="F41" s="27"/>
      <c r="G41" s="24"/>
      <c r="H41" s="24">
        <f>SUM(H32:H40)</f>
        <v>-6340.4130000000005</v>
      </c>
    </row>
    <row r="42" spans="1:9" hidden="1">
      <c r="A42" s="13"/>
      <c r="B42" s="24"/>
      <c r="C42" s="24"/>
      <c r="D42" s="24"/>
      <c r="E42" s="24"/>
      <c r="F42" s="26"/>
      <c r="G42" s="24"/>
      <c r="H42" s="24">
        <f>H29-H41</f>
        <v>21181.413</v>
      </c>
    </row>
    <row r="43" spans="1:9" hidden="1">
      <c r="A43" s="13"/>
      <c r="B43" s="24"/>
      <c r="C43" s="24"/>
      <c r="D43" s="24"/>
      <c r="E43" s="24"/>
      <c r="F43" s="24"/>
      <c r="G43" s="24"/>
      <c r="H43" s="24"/>
    </row>
    <row r="44" spans="1:9" hidden="1">
      <c r="A44" s="13"/>
      <c r="B44" s="24"/>
      <c r="C44" s="24"/>
      <c r="D44" s="24"/>
      <c r="E44" s="24"/>
      <c r="F44" s="24"/>
      <c r="G44" s="24"/>
      <c r="H44" s="24">
        <f>H18-G18</f>
        <v>-34438</v>
      </c>
    </row>
    <row r="45" spans="1:9" hidden="1">
      <c r="A45" s="13"/>
      <c r="B45" s="24"/>
      <c r="C45" s="24"/>
      <c r="D45" s="24"/>
      <c r="E45" s="24"/>
      <c r="F45" s="24"/>
      <c r="G45" s="24"/>
      <c r="H45" s="24">
        <f>H19-G19</f>
        <v>32374</v>
      </c>
    </row>
    <row r="46" spans="1:9" hidden="1">
      <c r="A46" s="13"/>
      <c r="B46" s="24"/>
      <c r="C46" s="24"/>
      <c r="D46" s="24"/>
      <c r="E46" s="24"/>
      <c r="F46" s="24"/>
      <c r="G46" s="24"/>
      <c r="H46" s="24">
        <f>H22-G22</f>
        <v>-1672</v>
      </c>
    </row>
    <row r="47" spans="1:9" hidden="1">
      <c r="A47" s="13"/>
      <c r="B47" s="24"/>
      <c r="C47" s="24"/>
      <c r="D47" s="24"/>
      <c r="E47" s="24"/>
      <c r="F47" s="24"/>
      <c r="G47" s="24"/>
      <c r="H47" s="24">
        <f>H23-G23</f>
        <v>18577</v>
      </c>
    </row>
    <row r="48" spans="1:9" hidden="1">
      <c r="A48" s="13"/>
      <c r="B48" s="24"/>
      <c r="C48" s="24"/>
      <c r="D48" s="24"/>
      <c r="E48" s="24"/>
      <c r="F48" s="24"/>
      <c r="G48" s="24"/>
      <c r="H48" s="24"/>
    </row>
    <row r="49" spans="1:8" hidden="1">
      <c r="A49" s="13"/>
      <c r="B49" s="24"/>
      <c r="C49" s="24"/>
      <c r="D49" s="24"/>
      <c r="E49" s="24"/>
      <c r="F49" s="24"/>
      <c r="G49" s="24"/>
      <c r="H49" s="24"/>
    </row>
    <row r="50" spans="1:8" hidden="1">
      <c r="A50" s="13"/>
      <c r="B50" s="24"/>
      <c r="C50" s="24"/>
      <c r="D50" s="24"/>
      <c r="E50" s="24"/>
      <c r="F50" s="24"/>
      <c r="G50" s="24"/>
      <c r="H50" s="24"/>
    </row>
    <row r="51" spans="1:8">
      <c r="A51" s="13" t="s">
        <v>22</v>
      </c>
      <c r="B51" s="24"/>
      <c r="C51" s="24">
        <v>897635</v>
      </c>
      <c r="D51" s="24">
        <v>970781</v>
      </c>
      <c r="E51" s="24">
        <v>1090311</v>
      </c>
      <c r="F51" s="24">
        <v>978385</v>
      </c>
      <c r="G51" s="24">
        <f>G28-G31</f>
        <v>671938</v>
      </c>
      <c r="H51" s="24">
        <f>H28-H31</f>
        <v>591761.62500000047</v>
      </c>
    </row>
    <row r="52" spans="1:8">
      <c r="G52" s="31">
        <f>G28-4469370</f>
        <v>3263</v>
      </c>
      <c r="H52" s="31">
        <f>H28-4462579</f>
        <v>24895</v>
      </c>
    </row>
    <row r="54" spans="1:8">
      <c r="B54" t="s">
        <v>24</v>
      </c>
      <c r="C54">
        <v>1784117</v>
      </c>
      <c r="D54">
        <v>1846026</v>
      </c>
      <c r="E54">
        <v>1750805</v>
      </c>
      <c r="F54">
        <v>2646845</v>
      </c>
    </row>
    <row r="55" spans="1:8">
      <c r="B55" t="s">
        <v>25</v>
      </c>
      <c r="C55">
        <v>518472</v>
      </c>
      <c r="D55">
        <v>537430</v>
      </c>
      <c r="E55">
        <v>570654</v>
      </c>
      <c r="F55">
        <v>697902</v>
      </c>
    </row>
    <row r="56" spans="1:8">
      <c r="C56">
        <f t="shared" ref="C56:E56" si="4">C54+C55</f>
        <v>2302589</v>
      </c>
      <c r="D56">
        <f t="shared" si="4"/>
        <v>2383456</v>
      </c>
      <c r="E56">
        <f t="shared" si="4"/>
        <v>2321459</v>
      </c>
      <c r="F56">
        <f>F54+F55</f>
        <v>3344747</v>
      </c>
    </row>
    <row r="57" spans="1:8">
      <c r="C57" s="20">
        <f>C54/C56*C28</f>
        <v>3088857.7734372048</v>
      </c>
      <c r="D57" s="20">
        <f>D54/D56*D28</f>
        <v>3334550.6737409877</v>
      </c>
      <c r="E57" s="20">
        <f>E54/E56*E28</f>
        <v>3345147.9412279087</v>
      </c>
      <c r="F57" s="20">
        <f>F54/F56*F28</f>
        <v>3710597.9043063647</v>
      </c>
      <c r="G57" s="20">
        <f>G28*G59</f>
        <v>3705597.3791479901</v>
      </c>
    </row>
    <row r="58" spans="1:8">
      <c r="C58" s="20">
        <f>C55/C56*C28</f>
        <v>897635.22656279511</v>
      </c>
      <c r="D58" s="20">
        <f>D55/D56*D28</f>
        <v>970781.3262590121</v>
      </c>
      <c r="E58" s="20">
        <f>E55/E56*E28</f>
        <v>1090311.0587720911</v>
      </c>
      <c r="F58" s="20">
        <f>F55/F56*F28</f>
        <v>978385.09569363541</v>
      </c>
      <c r="G58" s="20">
        <f>G28*G60</f>
        <v>767035.62085200986</v>
      </c>
    </row>
    <row r="59" spans="1:8">
      <c r="C59" s="28">
        <f t="shared" ref="C59:E59" si="5">C57/C28</f>
        <v>0.77483085344366709</v>
      </c>
      <c r="D59" s="28">
        <f t="shared" si="5"/>
        <v>0.77451650040948938</v>
      </c>
      <c r="E59" s="28">
        <f t="shared" si="5"/>
        <v>0.75418303747772408</v>
      </c>
      <c r="F59" s="28">
        <f>F57/F28</f>
        <v>0.79134385949071784</v>
      </c>
      <c r="G59" s="29">
        <f>F59+F61</f>
        <v>0.82850468150371159</v>
      </c>
    </row>
    <row r="60" spans="1:8">
      <c r="C60" s="28">
        <f t="shared" ref="C60:E60" si="6">C58/C28</f>
        <v>0.22516914655633288</v>
      </c>
      <c r="D60" s="28">
        <f t="shared" si="6"/>
        <v>0.22548349959051059</v>
      </c>
      <c r="E60" s="28">
        <f t="shared" si="6"/>
        <v>0.24581696252227583</v>
      </c>
      <c r="F60" s="28">
        <f>F58/F28</f>
        <v>0.20865614050928216</v>
      </c>
      <c r="G60" s="29">
        <f>1-G59</f>
        <v>0.17149531849628841</v>
      </c>
    </row>
    <row r="61" spans="1:8">
      <c r="F61" s="29">
        <f>F59-E59</f>
        <v>3.7160822012993755E-2</v>
      </c>
    </row>
    <row r="62" spans="1:8">
      <c r="F62" s="29"/>
    </row>
  </sheetData>
  <mergeCells count="6">
    <mergeCell ref="A25:H25"/>
    <mergeCell ref="A9:H9"/>
    <mergeCell ref="A10:H10"/>
    <mergeCell ref="A13:H13"/>
    <mergeCell ref="A17:H17"/>
    <mergeCell ref="A21:H21"/>
  </mergeCells>
  <dataValidations count="1">
    <dataValidation allowBlank="1" showInputMessage="1" showErrorMessage="1" promptTitle="Date Format" prompt="E.g:  &quot;August 1, 2011&quot;" sqref="H7"/>
  </dataValidation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Kelly Mccann</cp:lastModifiedBy>
  <cp:lastPrinted>2014-08-21T17:34:32Z</cp:lastPrinted>
  <dcterms:created xsi:type="dcterms:W3CDTF">2014-08-15T20:03:37Z</dcterms:created>
  <dcterms:modified xsi:type="dcterms:W3CDTF">2014-08-21T17:42:55Z</dcterms:modified>
</cp:coreProperties>
</file>