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4115" yWindow="15" windowWidth="15255" windowHeight="8205" tabRatio="783"/>
  </bookViews>
  <sheets>
    <sheet name="Summary" sheetId="11" r:id="rId1"/>
    <sheet name="Details of 2014 2015 Predicted" sheetId="29" r:id="rId2"/>
    <sheet name="Purchased Power Model" sheetId="7" r:id="rId3"/>
    <sheet name="Rate Class Energy Model" sheetId="9" r:id="rId4"/>
    <sheet name="Rate Class Customer Model" sheetId="17" r:id="rId5"/>
    <sheet name="Rate Class Load Model" sheetId="18" r:id="rId6"/>
    <sheet name="Load Transfers" sheetId="23" r:id="rId7"/>
    <sheet name="2006-2010 Final CDM" sheetId="24" r:id="rId8"/>
    <sheet name="CDM Activity" sheetId="25" r:id="rId9"/>
    <sheet name="CDM Forecast " sheetId="26" r:id="rId10"/>
    <sheet name="2014 COP Forecast" sheetId="27" r:id="rId11"/>
    <sheet name="2015 COP Forecast" sheetId="28" r:id="rId12"/>
    <sheet name="Calculation of MAPE" sheetId="30" r:id="rId13"/>
    <sheet name="Annual Chart" sheetId="31" r:id="rId14"/>
    <sheet name="Monthly Chart" sheetId="32" r:id="rId15"/>
  </sheets>
  <externalReferences>
    <externalReference r:id="rId16"/>
  </externalReferences>
  <definedNames>
    <definedName name="_Order1" hidden="1">255</definedName>
    <definedName name="_Sort" hidden="1">[1]Sheet1!$G$40:$K$40</definedName>
    <definedName name="PAGE11" localSheetId="11">#REF!</definedName>
    <definedName name="PAGE11">#REF!</definedName>
    <definedName name="PAGE2">[1]Sheet1!$A$1:$I$40</definedName>
    <definedName name="PAGE3" localSheetId="11">#REF!</definedName>
    <definedName name="PAGE3">#REF!</definedName>
    <definedName name="PAGE4" localSheetId="11">#REF!</definedName>
    <definedName name="PAGE4">#REF!</definedName>
    <definedName name="PAGE7" localSheetId="11">#REF!</definedName>
    <definedName name="PAGE7">#REF!</definedName>
    <definedName name="PAGE9" localSheetId="11">#REF!</definedName>
    <definedName name="PAGE9">#REF!</definedName>
    <definedName name="_xlnm.Print_Area" localSheetId="2">'Purchased Power Model'!$A$1:$Z$271</definedName>
    <definedName name="_xlnm.Print_Area" localSheetId="0">Summary!#REF!</definedName>
    <definedName name="_xlnm.Print_Titles" localSheetId="2">'Purchased Power Model'!$1:$2</definedName>
  </definedNames>
  <calcPr calcId="145621"/>
</workbook>
</file>

<file path=xl/calcChain.xml><?xml version="1.0" encoding="utf-8"?>
<calcChain xmlns="http://schemas.openxmlformats.org/spreadsheetml/2006/main">
  <c r="D15" i="29" l="1"/>
  <c r="D17" i="29" s="1"/>
  <c r="D19" i="29" s="1"/>
  <c r="J15" i="29"/>
  <c r="J17" i="29" s="1"/>
  <c r="J19" i="29" s="1"/>
  <c r="L15" i="29"/>
  <c r="E16" i="29"/>
  <c r="H16" i="29"/>
  <c r="L16" i="29"/>
  <c r="D8" i="29"/>
  <c r="L8" i="29"/>
  <c r="H9" i="29"/>
  <c r="A147" i="30"/>
  <c r="A148" i="30"/>
  <c r="A149" i="30"/>
  <c r="A150" i="30"/>
  <c r="A151" i="30"/>
  <c r="A131" i="30"/>
  <c r="A132" i="30"/>
  <c r="A133" i="30"/>
  <c r="A134" i="30"/>
  <c r="A135" i="30"/>
  <c r="A136" i="30"/>
  <c r="A137" i="30"/>
  <c r="A138" i="30"/>
  <c r="A139" i="30"/>
  <c r="A140" i="30"/>
  <c r="A141" i="30"/>
  <c r="A142" i="30"/>
  <c r="A143" i="30"/>
  <c r="A144" i="30"/>
  <c r="A145" i="30"/>
  <c r="A146" i="30"/>
  <c r="A106" i="30"/>
  <c r="A107" i="30"/>
  <c r="A108" i="30"/>
  <c r="A109" i="30"/>
  <c r="A110" i="30"/>
  <c r="A111" i="30"/>
  <c r="A112" i="30"/>
  <c r="A113" i="30"/>
  <c r="A114" i="30"/>
  <c r="A115" i="30"/>
  <c r="A116" i="30"/>
  <c r="A117" i="30"/>
  <c r="A118" i="30"/>
  <c r="A119" i="30"/>
  <c r="A120" i="30"/>
  <c r="A121" i="30"/>
  <c r="A122" i="30"/>
  <c r="A123" i="30"/>
  <c r="A124" i="30"/>
  <c r="A125" i="30"/>
  <c r="A126" i="30"/>
  <c r="A127" i="30"/>
  <c r="A128" i="30"/>
  <c r="A129" i="30"/>
  <c r="A13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A85" i="30"/>
  <c r="A86" i="30"/>
  <c r="A87" i="30"/>
  <c r="A88" i="30"/>
  <c r="A89" i="30"/>
  <c r="A90" i="30"/>
  <c r="A91" i="30"/>
  <c r="A92" i="30"/>
  <c r="A93" i="30"/>
  <c r="A94" i="30"/>
  <c r="A95" i="30"/>
  <c r="A96" i="30"/>
  <c r="A97" i="30"/>
  <c r="A98" i="30"/>
  <c r="A99" i="30"/>
  <c r="A100" i="30"/>
  <c r="A101" i="30"/>
  <c r="A102" i="30"/>
  <c r="A103" i="30"/>
  <c r="A104" i="30"/>
  <c r="A105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8" i="30"/>
  <c r="D60" i="29"/>
  <c r="E60" i="29"/>
  <c r="F60" i="29"/>
  <c r="G60" i="29"/>
  <c r="H60" i="29"/>
  <c r="I60" i="29"/>
  <c r="J60" i="29"/>
  <c r="K60" i="29"/>
  <c r="L60" i="29"/>
  <c r="M60" i="29"/>
  <c r="N60" i="29"/>
  <c r="C60" i="29"/>
  <c r="D53" i="29"/>
  <c r="E53" i="29"/>
  <c r="F53" i="29"/>
  <c r="G53" i="29"/>
  <c r="H53" i="29"/>
  <c r="I53" i="29"/>
  <c r="J53" i="29"/>
  <c r="K53" i="29"/>
  <c r="L53" i="29"/>
  <c r="M53" i="29"/>
  <c r="N53" i="29"/>
  <c r="C53" i="29"/>
  <c r="D46" i="29"/>
  <c r="E46" i="29"/>
  <c r="F46" i="29"/>
  <c r="G46" i="29"/>
  <c r="H46" i="29"/>
  <c r="I46" i="29"/>
  <c r="J46" i="29"/>
  <c r="K46" i="29"/>
  <c r="L46" i="29"/>
  <c r="M46" i="29"/>
  <c r="N46" i="29"/>
  <c r="C46" i="29"/>
  <c r="D39" i="29"/>
  <c r="E39" i="29"/>
  <c r="F39" i="29"/>
  <c r="G39" i="29"/>
  <c r="H39" i="29"/>
  <c r="I39" i="29"/>
  <c r="J39" i="29"/>
  <c r="K39" i="29"/>
  <c r="L39" i="29"/>
  <c r="M39" i="29"/>
  <c r="N39" i="29"/>
  <c r="C39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N58" i="29"/>
  <c r="M58" i="29"/>
  <c r="L58" i="29"/>
  <c r="L59" i="29" s="1"/>
  <c r="L61" i="29" s="1"/>
  <c r="K58" i="29"/>
  <c r="J58" i="29"/>
  <c r="I58" i="29"/>
  <c r="H58" i="29"/>
  <c r="G58" i="29"/>
  <c r="F58" i="29"/>
  <c r="E58" i="29"/>
  <c r="D58" i="29"/>
  <c r="O58" i="29" s="1"/>
  <c r="C58" i="29"/>
  <c r="N57" i="29"/>
  <c r="N59" i="29" s="1"/>
  <c r="N61" i="29" s="1"/>
  <c r="M57" i="29"/>
  <c r="M59" i="29" s="1"/>
  <c r="M61" i="29" s="1"/>
  <c r="L57" i="29"/>
  <c r="K57" i="29"/>
  <c r="J57" i="29"/>
  <c r="J59" i="29"/>
  <c r="J61" i="29" s="1"/>
  <c r="I57" i="29"/>
  <c r="I59" i="29" s="1"/>
  <c r="I61" i="29" s="1"/>
  <c r="H57" i="29"/>
  <c r="H59" i="29" s="1"/>
  <c r="H61" i="29" s="1"/>
  <c r="G57" i="29"/>
  <c r="G59" i="29"/>
  <c r="G61" i="29" s="1"/>
  <c r="F57" i="29"/>
  <c r="F59" i="29" s="1"/>
  <c r="F61" i="29" s="1"/>
  <c r="E57" i="29"/>
  <c r="E59" i="29" s="1"/>
  <c r="E61" i="29" s="1"/>
  <c r="D57" i="29"/>
  <c r="D59" i="29" s="1"/>
  <c r="D61" i="29" s="1"/>
  <c r="C57" i="29"/>
  <c r="N44" i="29"/>
  <c r="M44" i="29"/>
  <c r="L44" i="29"/>
  <c r="K44" i="29"/>
  <c r="J44" i="29"/>
  <c r="I44" i="29"/>
  <c r="H44" i="29"/>
  <c r="O44" i="29" s="1"/>
  <c r="G44" i="29"/>
  <c r="F44" i="29"/>
  <c r="E44" i="29"/>
  <c r="D44" i="29"/>
  <c r="C44" i="29"/>
  <c r="N43" i="29"/>
  <c r="N45" i="29"/>
  <c r="N47" i="29" s="1"/>
  <c r="M43" i="29"/>
  <c r="M45" i="29"/>
  <c r="M47" i="29" s="1"/>
  <c r="L43" i="29"/>
  <c r="L45" i="29"/>
  <c r="L47" i="29" s="1"/>
  <c r="K43" i="29"/>
  <c r="J43" i="29"/>
  <c r="I43" i="29"/>
  <c r="H43" i="29"/>
  <c r="G43" i="29"/>
  <c r="G45" i="29" s="1"/>
  <c r="G47" i="29" s="1"/>
  <c r="F43" i="29"/>
  <c r="F45" i="29"/>
  <c r="F47" i="29" s="1"/>
  <c r="E43" i="29"/>
  <c r="E45" i="29" s="1"/>
  <c r="E47" i="29" s="1"/>
  <c r="D43" i="29"/>
  <c r="D45" i="29" s="1"/>
  <c r="D47" i="29" s="1"/>
  <c r="C43" i="29"/>
  <c r="N30" i="29"/>
  <c r="M30" i="29"/>
  <c r="L30" i="29"/>
  <c r="L31" i="29" s="1"/>
  <c r="L33" i="29" s="1"/>
  <c r="K30" i="29"/>
  <c r="J30" i="29"/>
  <c r="I30" i="29"/>
  <c r="H30" i="29"/>
  <c r="G30" i="29"/>
  <c r="F30" i="29"/>
  <c r="E30" i="29"/>
  <c r="D30" i="29"/>
  <c r="O30" i="29" s="1"/>
  <c r="C30" i="29"/>
  <c r="N29" i="29"/>
  <c r="N31" i="29" s="1"/>
  <c r="N33" i="29" s="1"/>
  <c r="M29" i="29"/>
  <c r="M31" i="29" s="1"/>
  <c r="M33" i="29" s="1"/>
  <c r="L29" i="29"/>
  <c r="K29" i="29"/>
  <c r="J29" i="29"/>
  <c r="I29" i="29"/>
  <c r="H29" i="29"/>
  <c r="G29" i="29"/>
  <c r="G31" i="29" s="1"/>
  <c r="G33" i="29" s="1"/>
  <c r="F29" i="29"/>
  <c r="F31" i="29" s="1"/>
  <c r="F33" i="29" s="1"/>
  <c r="E29" i="29"/>
  <c r="E31" i="29"/>
  <c r="E33" i="29" s="1"/>
  <c r="D29" i="29"/>
  <c r="D31" i="29" s="1"/>
  <c r="D33" i="29" s="1"/>
  <c r="C29" i="29"/>
  <c r="D11" i="29"/>
  <c r="E11" i="29"/>
  <c r="F11" i="29"/>
  <c r="G11" i="29"/>
  <c r="H11" i="29"/>
  <c r="I11" i="29"/>
  <c r="J11" i="29"/>
  <c r="K11" i="29"/>
  <c r="L11" i="29"/>
  <c r="M11" i="29"/>
  <c r="N11" i="29"/>
  <c r="C11" i="29"/>
  <c r="Q9" i="11"/>
  <c r="P9" i="11"/>
  <c r="E81" i="28"/>
  <c r="C52" i="28"/>
  <c r="C51" i="28"/>
  <c r="C50" i="28"/>
  <c r="C49" i="28"/>
  <c r="C48" i="28"/>
  <c r="C47" i="28"/>
  <c r="E26" i="28"/>
  <c r="E27" i="28" s="1"/>
  <c r="E28" i="28" s="1"/>
  <c r="E29" i="28" s="1"/>
  <c r="E30" i="28" s="1"/>
  <c r="E31" i="28" s="1"/>
  <c r="E25" i="28"/>
  <c r="A19" i="28"/>
  <c r="A30" i="28" s="1"/>
  <c r="A41" i="28" s="1"/>
  <c r="A52" i="28" s="1"/>
  <c r="A63" i="28" s="1"/>
  <c r="A74" i="28" s="1"/>
  <c r="A17" i="28"/>
  <c r="A28" i="28" s="1"/>
  <c r="A39" i="28" s="1"/>
  <c r="A50" i="28" s="1"/>
  <c r="A61" i="28" s="1"/>
  <c r="A72" i="28" s="1"/>
  <c r="E15" i="28"/>
  <c r="E16" i="28"/>
  <c r="E17" i="28"/>
  <c r="E18" i="28" s="1"/>
  <c r="E19" i="28" s="1"/>
  <c r="E20" i="28" s="1"/>
  <c r="A8" i="28"/>
  <c r="A20" i="28" s="1"/>
  <c r="A31" i="28" s="1"/>
  <c r="A42" i="28" s="1"/>
  <c r="A53" i="28" s="1"/>
  <c r="A64" i="28" s="1"/>
  <c r="A75" i="28" s="1"/>
  <c r="A7" i="28"/>
  <c r="A6" i="28"/>
  <c r="A18" i="28" s="1"/>
  <c r="A29" i="28" s="1"/>
  <c r="A40" i="28" s="1"/>
  <c r="A51" i="28" s="1"/>
  <c r="A62" i="28" s="1"/>
  <c r="A73" i="28" s="1"/>
  <c r="A5" i="28"/>
  <c r="A4" i="28"/>
  <c r="A16" i="28" s="1"/>
  <c r="A27" i="28" s="1"/>
  <c r="A38" i="28" s="1"/>
  <c r="A49" i="28" s="1"/>
  <c r="A60" i="28" s="1"/>
  <c r="A71" i="28" s="1"/>
  <c r="A3" i="28"/>
  <c r="A15" i="28"/>
  <c r="A26" i="28" s="1"/>
  <c r="A37" i="28" s="1"/>
  <c r="A48" i="28" s="1"/>
  <c r="A59" i="28" s="1"/>
  <c r="A70" i="28" s="1"/>
  <c r="A81" i="28" s="1"/>
  <c r="A2" i="28"/>
  <c r="A14" i="28"/>
  <c r="A25" i="28" s="1"/>
  <c r="A36" i="28" s="1"/>
  <c r="A47" i="28" s="1"/>
  <c r="A58" i="28" s="1"/>
  <c r="A69" i="28" s="1"/>
  <c r="A80" i="28" s="1"/>
  <c r="E8" i="29"/>
  <c r="E15" i="29"/>
  <c r="E17" i="29" s="1"/>
  <c r="F8" i="29"/>
  <c r="F15" i="29"/>
  <c r="G8" i="29"/>
  <c r="G10" i="29" s="1"/>
  <c r="G12" i="29" s="1"/>
  <c r="G15" i="29"/>
  <c r="H8" i="29"/>
  <c r="H15" i="29"/>
  <c r="H17" i="29"/>
  <c r="H19" i="29" s="1"/>
  <c r="I8" i="29"/>
  <c r="I15" i="29"/>
  <c r="J8" i="29"/>
  <c r="J10" i="29" s="1"/>
  <c r="J12" i="29" s="1"/>
  <c r="K8" i="29"/>
  <c r="K15" i="29"/>
  <c r="M8" i="29"/>
  <c r="M15" i="29"/>
  <c r="N8" i="29"/>
  <c r="N15" i="29"/>
  <c r="C15" i="29"/>
  <c r="C8" i="29"/>
  <c r="D9" i="29"/>
  <c r="D16" i="29"/>
  <c r="E9" i="29"/>
  <c r="F9" i="29"/>
  <c r="F16" i="29"/>
  <c r="G9" i="29"/>
  <c r="G16" i="29"/>
  <c r="G17" i="29"/>
  <c r="G19" i="29" s="1"/>
  <c r="I9" i="29"/>
  <c r="I16" i="29"/>
  <c r="J9" i="29"/>
  <c r="J16" i="29"/>
  <c r="K9" i="29"/>
  <c r="K10" i="29" s="1"/>
  <c r="K12" i="29" s="1"/>
  <c r="K16" i="29"/>
  <c r="L9" i="29"/>
  <c r="M9" i="29"/>
  <c r="M16" i="29"/>
  <c r="N9" i="29"/>
  <c r="N16" i="29"/>
  <c r="C16" i="29"/>
  <c r="C9" i="29"/>
  <c r="E25" i="27"/>
  <c r="A8" i="27"/>
  <c r="A20" i="27"/>
  <c r="A31" i="27"/>
  <c r="A42" i="27" s="1"/>
  <c r="A53" i="27" s="1"/>
  <c r="A64" i="27" s="1"/>
  <c r="A75" i="27" s="1"/>
  <c r="A7" i="27"/>
  <c r="A19" i="27" s="1"/>
  <c r="A30" i="27" s="1"/>
  <c r="A41" i="27" s="1"/>
  <c r="A52" i="27" s="1"/>
  <c r="A63" i="27" s="1"/>
  <c r="A74" i="27" s="1"/>
  <c r="A6" i="27"/>
  <c r="A18" i="27" s="1"/>
  <c r="A29" i="27" s="1"/>
  <c r="A40" i="27" s="1"/>
  <c r="A51" i="27" s="1"/>
  <c r="A62" i="27" s="1"/>
  <c r="A73" i="27" s="1"/>
  <c r="A5" i="27"/>
  <c r="A17" i="27"/>
  <c r="A28" i="27" s="1"/>
  <c r="A39" i="27" s="1"/>
  <c r="A50" i="27" s="1"/>
  <c r="A61" i="27" s="1"/>
  <c r="A72" i="27" s="1"/>
  <c r="A4" i="27"/>
  <c r="A16" i="27" s="1"/>
  <c r="A27" i="27" s="1"/>
  <c r="A38" i="27" s="1"/>
  <c r="A49" i="27" s="1"/>
  <c r="A60" i="27" s="1"/>
  <c r="A71" i="27" s="1"/>
  <c r="A3" i="27"/>
  <c r="A15" i="27"/>
  <c r="A26" i="27" s="1"/>
  <c r="A37" i="27" s="1"/>
  <c r="A48" i="27" s="1"/>
  <c r="A59" i="27" s="1"/>
  <c r="A70" i="27" s="1"/>
  <c r="A81" i="27" s="1"/>
  <c r="A2" i="27"/>
  <c r="A14" i="27"/>
  <c r="A25" i="27" s="1"/>
  <c r="A36" i="27" s="1"/>
  <c r="A47" i="27" s="1"/>
  <c r="A58" i="27" s="1"/>
  <c r="A69" i="27" s="1"/>
  <c r="A80" i="27" s="1"/>
  <c r="E81" i="27"/>
  <c r="C52" i="27"/>
  <c r="C51" i="27"/>
  <c r="C50" i="27"/>
  <c r="C49" i="27"/>
  <c r="C48" i="27"/>
  <c r="C47" i="27"/>
  <c r="E26" i="27"/>
  <c r="E27" i="27" s="1"/>
  <c r="E28" i="27" s="1"/>
  <c r="E29" i="27" s="1"/>
  <c r="E30" i="27" s="1"/>
  <c r="E31" i="27" s="1"/>
  <c r="E15" i="27"/>
  <c r="E16" i="27" s="1"/>
  <c r="E17" i="27" s="1"/>
  <c r="E18" i="27" s="1"/>
  <c r="E19" i="27" s="1"/>
  <c r="E20" i="27" s="1"/>
  <c r="Q58" i="26"/>
  <c r="S58" i="26"/>
  <c r="D16" i="23"/>
  <c r="H25" i="23"/>
  <c r="H28" i="23" s="1"/>
  <c r="H13" i="23"/>
  <c r="H12" i="23"/>
  <c r="H11" i="23"/>
  <c r="H7" i="23"/>
  <c r="K50" i="25"/>
  <c r="L50" i="25" s="1"/>
  <c r="K49" i="25"/>
  <c r="J49" i="25"/>
  <c r="A20" i="25"/>
  <c r="S28" i="26"/>
  <c r="O58" i="26"/>
  <c r="N58" i="26"/>
  <c r="M58" i="26"/>
  <c r="L58" i="26"/>
  <c r="K58" i="26"/>
  <c r="J58" i="26"/>
  <c r="I58" i="26"/>
  <c r="H58" i="26"/>
  <c r="T55" i="26"/>
  <c r="O53" i="26"/>
  <c r="N53" i="26"/>
  <c r="M53" i="26"/>
  <c r="L53" i="26"/>
  <c r="K53" i="26"/>
  <c r="J53" i="26"/>
  <c r="I53" i="26"/>
  <c r="H53" i="26"/>
  <c r="Q52" i="26"/>
  <c r="P52" i="26"/>
  <c r="P53" i="26" s="1"/>
  <c r="Q51" i="26"/>
  <c r="Q53" i="26"/>
  <c r="P51" i="26"/>
  <c r="R48" i="26"/>
  <c r="O48" i="26"/>
  <c r="N48" i="26"/>
  <c r="M48" i="26"/>
  <c r="L48" i="26"/>
  <c r="K48" i="26"/>
  <c r="J48" i="26"/>
  <c r="I48" i="26"/>
  <c r="H48" i="26"/>
  <c r="Q44" i="26"/>
  <c r="T44" i="26" s="1"/>
  <c r="P44" i="26"/>
  <c r="P48" i="26" s="1"/>
  <c r="Q43" i="26"/>
  <c r="P43" i="26"/>
  <c r="T40" i="26"/>
  <c r="S40" i="26"/>
  <c r="Q40" i="26"/>
  <c r="P40" i="26"/>
  <c r="O40" i="26"/>
  <c r="N40" i="26"/>
  <c r="M40" i="26"/>
  <c r="L40" i="26"/>
  <c r="K40" i="26"/>
  <c r="J40" i="26"/>
  <c r="I40" i="26"/>
  <c r="H40" i="26"/>
  <c r="R39" i="26"/>
  <c r="R40" i="26"/>
  <c r="S36" i="26"/>
  <c r="R36" i="26"/>
  <c r="Q36" i="26"/>
  <c r="O36" i="26"/>
  <c r="N36" i="26"/>
  <c r="M36" i="26"/>
  <c r="L36" i="26"/>
  <c r="K36" i="26"/>
  <c r="J36" i="26"/>
  <c r="I36" i="26"/>
  <c r="H36" i="26"/>
  <c r="T35" i="26"/>
  <c r="T36" i="26" s="1"/>
  <c r="P35" i="26"/>
  <c r="P58" i="26"/>
  <c r="T34" i="26"/>
  <c r="P34" i="26"/>
  <c r="R28" i="26"/>
  <c r="Q28" i="26"/>
  <c r="P28" i="26"/>
  <c r="O28" i="26"/>
  <c r="N28" i="26"/>
  <c r="M28" i="26"/>
  <c r="L28" i="26"/>
  <c r="K28" i="26"/>
  <c r="J28" i="26"/>
  <c r="I28" i="26"/>
  <c r="H28" i="26"/>
  <c r="T27" i="26"/>
  <c r="T58" i="26" s="1"/>
  <c r="T24" i="26"/>
  <c r="T28" i="26" s="1"/>
  <c r="S21" i="26"/>
  <c r="T17" i="26"/>
  <c r="Q17" i="26"/>
  <c r="P17" i="26"/>
  <c r="P57" i="26" s="1"/>
  <c r="O17" i="26"/>
  <c r="O57" i="26" s="1"/>
  <c r="O59" i="26" s="1"/>
  <c r="N17" i="26"/>
  <c r="N57" i="26" s="1"/>
  <c r="N59" i="26" s="1"/>
  <c r="M17" i="26"/>
  <c r="M57" i="26" s="1"/>
  <c r="M59" i="26" s="1"/>
  <c r="L17" i="26"/>
  <c r="L57" i="26"/>
  <c r="L59" i="26" s="1"/>
  <c r="K17" i="26"/>
  <c r="K57" i="26" s="1"/>
  <c r="K59" i="26" s="1"/>
  <c r="J17" i="26"/>
  <c r="J57" i="26"/>
  <c r="J59" i="26" s="1"/>
  <c r="I17" i="26"/>
  <c r="I57" i="26" s="1"/>
  <c r="I59" i="26" s="1"/>
  <c r="H17" i="26"/>
  <c r="H57" i="26" s="1"/>
  <c r="H59" i="26" s="1"/>
  <c r="R14" i="26"/>
  <c r="R58" i="26" s="1"/>
  <c r="R13" i="26"/>
  <c r="R12" i="26"/>
  <c r="R11" i="26"/>
  <c r="S10" i="26"/>
  <c r="S17" i="26" s="1"/>
  <c r="R10" i="26"/>
  <c r="R17" i="26" s="1"/>
  <c r="R9" i="26"/>
  <c r="R8" i="26"/>
  <c r="B45" i="25"/>
  <c r="B46" i="25" s="1"/>
  <c r="B47" i="25" s="1"/>
  <c r="B48" i="25" s="1"/>
  <c r="B49" i="25" s="1"/>
  <c r="B50" i="25" s="1"/>
  <c r="B51" i="25" s="1"/>
  <c r="D43" i="25"/>
  <c r="E43" i="25"/>
  <c r="F43" i="25" s="1"/>
  <c r="G43" i="25" s="1"/>
  <c r="H43" i="25" s="1"/>
  <c r="I43" i="25" s="1"/>
  <c r="J43" i="25" s="1"/>
  <c r="K43" i="25" s="1"/>
  <c r="L43" i="25" s="1"/>
  <c r="P18" i="25"/>
  <c r="I44" i="24"/>
  <c r="A40" i="24"/>
  <c r="A41" i="24"/>
  <c r="A42" i="24" s="1"/>
  <c r="A43" i="24" s="1"/>
  <c r="N44" i="24"/>
  <c r="F37" i="24"/>
  <c r="G37" i="24"/>
  <c r="H37" i="24" s="1"/>
  <c r="I37" i="24" s="1"/>
  <c r="J37" i="24" s="1"/>
  <c r="K37" i="24" s="1"/>
  <c r="L37" i="24" s="1"/>
  <c r="M37" i="24" s="1"/>
  <c r="N37" i="24" s="1"/>
  <c r="J34" i="24"/>
  <c r="A30" i="24"/>
  <c r="A31" i="24" s="1"/>
  <c r="A32" i="24" s="1"/>
  <c r="A33" i="24" s="1"/>
  <c r="M34" i="24"/>
  <c r="G34" i="24"/>
  <c r="F27" i="24"/>
  <c r="G27" i="24"/>
  <c r="H27" i="24" s="1"/>
  <c r="I27" i="24" s="1"/>
  <c r="J27" i="24" s="1"/>
  <c r="K27" i="24" s="1"/>
  <c r="L27" i="24" s="1"/>
  <c r="M27" i="24" s="1"/>
  <c r="N27" i="24" s="1"/>
  <c r="L48" i="25"/>
  <c r="K48" i="25"/>
  <c r="J48" i="25"/>
  <c r="I48" i="25"/>
  <c r="H48" i="25"/>
  <c r="G48" i="25"/>
  <c r="L47" i="25"/>
  <c r="K47" i="25"/>
  <c r="J47" i="25"/>
  <c r="I47" i="25"/>
  <c r="H47" i="25"/>
  <c r="G47" i="25"/>
  <c r="F47" i="25"/>
  <c r="L46" i="25"/>
  <c r="K46" i="25"/>
  <c r="J46" i="25"/>
  <c r="I46" i="25"/>
  <c r="H46" i="25"/>
  <c r="G46" i="25"/>
  <c r="E46" i="25"/>
  <c r="L45" i="25"/>
  <c r="J45" i="25"/>
  <c r="I45" i="25"/>
  <c r="H45" i="25"/>
  <c r="E45" i="25"/>
  <c r="D45" i="25"/>
  <c r="A20" i="24"/>
  <c r="A21" i="24" s="1"/>
  <c r="A22" i="24" s="1"/>
  <c r="A23" i="24" s="1"/>
  <c r="L44" i="25"/>
  <c r="K44" i="25"/>
  <c r="H44" i="25"/>
  <c r="G44" i="25"/>
  <c r="F44" i="25"/>
  <c r="E44" i="25"/>
  <c r="F17" i="24"/>
  <c r="G17" i="24" s="1"/>
  <c r="H17" i="24" s="1"/>
  <c r="I17" i="24" s="1"/>
  <c r="J17" i="24" s="1"/>
  <c r="K17" i="24" s="1"/>
  <c r="L17" i="24" s="1"/>
  <c r="M17" i="24" s="1"/>
  <c r="N17" i="24" s="1"/>
  <c r="A10" i="24"/>
  <c r="A11" i="24" s="1"/>
  <c r="A12" i="24" s="1"/>
  <c r="A13" i="24" s="1"/>
  <c r="I14" i="24"/>
  <c r="E14" i="24"/>
  <c r="F7" i="24"/>
  <c r="G7" i="24" s="1"/>
  <c r="H7" i="24" s="1"/>
  <c r="I7" i="24" s="1"/>
  <c r="J7" i="24" s="1"/>
  <c r="K7" i="24" s="1"/>
  <c r="L7" i="24" s="1"/>
  <c r="M7" i="24" s="1"/>
  <c r="N7" i="24" s="1"/>
  <c r="P36" i="26"/>
  <c r="L49" i="25"/>
  <c r="F32" i="25"/>
  <c r="E23" i="25"/>
  <c r="C247" i="7"/>
  <c r="D247" i="7"/>
  <c r="C248" i="7"/>
  <c r="D248" i="7"/>
  <c r="C249" i="7"/>
  <c r="D249" i="7"/>
  <c r="C250" i="7"/>
  <c r="D250" i="7"/>
  <c r="C251" i="7"/>
  <c r="D251" i="7"/>
  <c r="C252" i="7"/>
  <c r="D252" i="7"/>
  <c r="C253" i="7"/>
  <c r="D253" i="7"/>
  <c r="C254" i="7"/>
  <c r="D254" i="7"/>
  <c r="C255" i="7"/>
  <c r="D255" i="7"/>
  <c r="C256" i="7"/>
  <c r="D256" i="7"/>
  <c r="C257" i="7"/>
  <c r="D257" i="7"/>
  <c r="C258" i="7"/>
  <c r="D258" i="7"/>
  <c r="C259" i="7"/>
  <c r="C260" i="7"/>
  <c r="D265" i="7"/>
  <c r="C266" i="7"/>
  <c r="D266" i="7"/>
  <c r="O43" i="11"/>
  <c r="O44" i="11"/>
  <c r="O39" i="11"/>
  <c r="B38" i="18"/>
  <c r="E37" i="18"/>
  <c r="M39" i="11"/>
  <c r="B36" i="18"/>
  <c r="O47" i="11"/>
  <c r="N55" i="9"/>
  <c r="M55" i="9"/>
  <c r="N37" i="11"/>
  <c r="G36" i="17"/>
  <c r="I16" i="17"/>
  <c r="L56" i="11" s="1"/>
  <c r="C38" i="18"/>
  <c r="N29" i="11"/>
  <c r="E36" i="18"/>
  <c r="D36" i="18"/>
  <c r="N56" i="9"/>
  <c r="N38" i="11"/>
  <c r="C51" i="29"/>
  <c r="D51" i="29"/>
  <c r="E51" i="29"/>
  <c r="F51" i="29"/>
  <c r="G51" i="29"/>
  <c r="H51" i="29"/>
  <c r="I51" i="29"/>
  <c r="J51" i="29"/>
  <c r="K51" i="29"/>
  <c r="L51" i="29"/>
  <c r="M51" i="29"/>
  <c r="N51" i="29"/>
  <c r="C50" i="29"/>
  <c r="C52" i="29" s="1"/>
  <c r="C54" i="29" s="1"/>
  <c r="D50" i="29"/>
  <c r="E50" i="29"/>
  <c r="F50" i="29"/>
  <c r="G50" i="29"/>
  <c r="H50" i="29"/>
  <c r="I50" i="29"/>
  <c r="J50" i="29"/>
  <c r="K50" i="29"/>
  <c r="K52" i="29" s="1"/>
  <c r="K54" i="29" s="1"/>
  <c r="L50" i="29"/>
  <c r="M50" i="29"/>
  <c r="M52" i="29" s="1"/>
  <c r="M54" i="29" s="1"/>
  <c r="N50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N42" i="11"/>
  <c r="H36" i="17"/>
  <c r="B37" i="17"/>
  <c r="Q34" i="11"/>
  <c r="P34" i="11"/>
  <c r="C5" i="28" s="1"/>
  <c r="D39" i="28" s="1"/>
  <c r="Q32" i="11"/>
  <c r="P32" i="11"/>
  <c r="O34" i="11"/>
  <c r="N34" i="11"/>
  <c r="M33" i="11"/>
  <c r="L33" i="11"/>
  <c r="O32" i="11"/>
  <c r="N32" i="11"/>
  <c r="M48" i="11"/>
  <c r="N27" i="11"/>
  <c r="N23" i="11"/>
  <c r="N19" i="11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C35" i="18"/>
  <c r="C36" i="18"/>
  <c r="C41" i="18" s="1"/>
  <c r="C37" i="18"/>
  <c r="D36" i="17"/>
  <c r="K57" i="9"/>
  <c r="K58" i="9" s="1"/>
  <c r="K82" i="9" s="1"/>
  <c r="K90" i="9" s="1"/>
  <c r="C29" i="18"/>
  <c r="C30" i="18"/>
  <c r="G35" i="17"/>
  <c r="B35" i="17"/>
  <c r="D35" i="17"/>
  <c r="K32" i="11"/>
  <c r="H38" i="11"/>
  <c r="E111" i="7"/>
  <c r="E112" i="7"/>
  <c r="B45" i="30" s="1"/>
  <c r="E113" i="7"/>
  <c r="B46" i="30" s="1"/>
  <c r="E115" i="7"/>
  <c r="B48" i="30" s="1"/>
  <c r="E116" i="7"/>
  <c r="B49" i="30" s="1"/>
  <c r="E117" i="7"/>
  <c r="B50" i="30" s="1"/>
  <c r="E118" i="7"/>
  <c r="B51" i="30" s="1"/>
  <c r="E119" i="7"/>
  <c r="B52" i="30" s="1"/>
  <c r="E120" i="7"/>
  <c r="B53" i="30" s="1"/>
  <c r="E121" i="7"/>
  <c r="B54" i="30" s="1"/>
  <c r="E122" i="7"/>
  <c r="B55" i="30" s="1"/>
  <c r="E123" i="7"/>
  <c r="E124" i="7"/>
  <c r="B57" i="30" s="1"/>
  <c r="E125" i="7"/>
  <c r="B58" i="30" s="1"/>
  <c r="E127" i="7"/>
  <c r="B60" i="30" s="1"/>
  <c r="E128" i="7"/>
  <c r="B61" i="30" s="1"/>
  <c r="E129" i="7"/>
  <c r="B62" i="30" s="1"/>
  <c r="E130" i="7"/>
  <c r="B63" i="30" s="1"/>
  <c r="E131" i="7"/>
  <c r="B64" i="30" s="1"/>
  <c r="E132" i="7"/>
  <c r="B65" i="30" s="1"/>
  <c r="E133" i="7"/>
  <c r="B66" i="30" s="1"/>
  <c r="E134" i="7"/>
  <c r="B67" i="30" s="1"/>
  <c r="C31" i="18"/>
  <c r="E135" i="7"/>
  <c r="E136" i="7"/>
  <c r="B69" i="30" s="1"/>
  <c r="E137" i="7"/>
  <c r="B70" i="30" s="1"/>
  <c r="E138" i="7"/>
  <c r="B71" i="30" s="1"/>
  <c r="E139" i="7"/>
  <c r="B72" i="30" s="1"/>
  <c r="E140" i="7"/>
  <c r="B73" i="30" s="1"/>
  <c r="E141" i="7"/>
  <c r="B74" i="30" s="1"/>
  <c r="E142" i="7"/>
  <c r="B75" i="30" s="1"/>
  <c r="E143" i="7"/>
  <c r="B76" i="30" s="1"/>
  <c r="E144" i="7"/>
  <c r="B77" i="30" s="1"/>
  <c r="E145" i="7"/>
  <c r="B78" i="30" s="1"/>
  <c r="E146" i="7"/>
  <c r="B79" i="30" s="1"/>
  <c r="E28" i="18"/>
  <c r="E31" i="18"/>
  <c r="I44" i="11"/>
  <c r="E39" i="11"/>
  <c r="D29" i="18"/>
  <c r="E29" i="11"/>
  <c r="B29" i="18"/>
  <c r="B30" i="18"/>
  <c r="B31" i="18"/>
  <c r="B32" i="18"/>
  <c r="C28" i="18"/>
  <c r="C40" i="18" s="1"/>
  <c r="M19" i="9"/>
  <c r="M51" i="9" s="1"/>
  <c r="L19" i="9"/>
  <c r="N19" i="9"/>
  <c r="M20" i="9"/>
  <c r="L20" i="9"/>
  <c r="N20" i="9"/>
  <c r="N37" i="9"/>
  <c r="F56" i="11"/>
  <c r="E87" i="7"/>
  <c r="E88" i="7"/>
  <c r="B21" i="30" s="1"/>
  <c r="E89" i="7"/>
  <c r="B22" i="30" s="1"/>
  <c r="E90" i="7"/>
  <c r="B23" i="30" s="1"/>
  <c r="E91" i="7"/>
  <c r="B24" i="30" s="1"/>
  <c r="E92" i="7"/>
  <c r="B25" i="30" s="1"/>
  <c r="E93" i="7"/>
  <c r="B26" i="30" s="1"/>
  <c r="E94" i="7"/>
  <c r="B27" i="30" s="1"/>
  <c r="E95" i="7"/>
  <c r="B28" i="30" s="1"/>
  <c r="E96" i="7"/>
  <c r="B29" i="30" s="1"/>
  <c r="E97" i="7"/>
  <c r="B30" i="30" s="1"/>
  <c r="E98" i="7"/>
  <c r="B31" i="30" s="1"/>
  <c r="E99" i="7"/>
  <c r="B32" i="30" s="1"/>
  <c r="E100" i="7"/>
  <c r="E101" i="7"/>
  <c r="B34" i="30" s="1"/>
  <c r="E102" i="7"/>
  <c r="B35" i="30" s="1"/>
  <c r="E103" i="7"/>
  <c r="B36" i="30" s="1"/>
  <c r="E104" i="7"/>
  <c r="B37" i="30" s="1"/>
  <c r="E105" i="7"/>
  <c r="B38" i="30" s="1"/>
  <c r="E106" i="7"/>
  <c r="B39" i="30"/>
  <c r="E107" i="7"/>
  <c r="B40" i="30" s="1"/>
  <c r="E108" i="7"/>
  <c r="B41" i="30" s="1"/>
  <c r="E109" i="7"/>
  <c r="B42" i="30" s="1"/>
  <c r="E110" i="7"/>
  <c r="B43" i="30" s="1"/>
  <c r="E75" i="7"/>
  <c r="E76" i="7"/>
  <c r="B9" i="30" s="1"/>
  <c r="E77" i="7"/>
  <c r="B10" i="30" s="1"/>
  <c r="E78" i="7"/>
  <c r="B11" i="30" s="1"/>
  <c r="E79" i="7"/>
  <c r="B12" i="30" s="1"/>
  <c r="E80" i="7"/>
  <c r="B13" i="30"/>
  <c r="E81" i="7"/>
  <c r="B14" i="30" s="1"/>
  <c r="E82" i="7"/>
  <c r="B15" i="30" s="1"/>
  <c r="E83" i="7"/>
  <c r="B16" i="30" s="1"/>
  <c r="E84" i="7"/>
  <c r="B17" i="30" s="1"/>
  <c r="E85" i="7"/>
  <c r="B18" i="30" s="1"/>
  <c r="E86" i="7"/>
  <c r="B19" i="30" s="1"/>
  <c r="K33" i="11"/>
  <c r="K38" i="11"/>
  <c r="K43" i="11"/>
  <c r="K48" i="11"/>
  <c r="K42" i="11"/>
  <c r="K27" i="11"/>
  <c r="K23" i="11"/>
  <c r="K19" i="11"/>
  <c r="D4" i="17"/>
  <c r="B4" i="18"/>
  <c r="E4" i="17"/>
  <c r="C4" i="18"/>
  <c r="F4" i="17"/>
  <c r="D4" i="18"/>
  <c r="G4" i="17"/>
  <c r="E4" i="18"/>
  <c r="D29" i="11"/>
  <c r="D39" i="11"/>
  <c r="B14" i="18"/>
  <c r="D14" i="18"/>
  <c r="J39" i="11"/>
  <c r="E14" i="18"/>
  <c r="E33" i="18"/>
  <c r="B15" i="18"/>
  <c r="D15" i="18"/>
  <c r="D34" i="18" s="1"/>
  <c r="E15" i="18"/>
  <c r="E34" i="18" s="1"/>
  <c r="E40" i="18" s="1"/>
  <c r="B4" i="17"/>
  <c r="C4" i="17"/>
  <c r="H4" i="17"/>
  <c r="D51" i="11"/>
  <c r="J32" i="11"/>
  <c r="J51" i="11" s="1"/>
  <c r="A7" i="9"/>
  <c r="E3" i="7"/>
  <c r="E4" i="7"/>
  <c r="E5" i="7"/>
  <c r="E6" i="7"/>
  <c r="E7" i="7"/>
  <c r="E8" i="7"/>
  <c r="E10" i="7"/>
  <c r="E11" i="7"/>
  <c r="E12" i="7"/>
  <c r="E13" i="7"/>
  <c r="E14" i="7"/>
  <c r="A8" i="9"/>
  <c r="E15" i="7"/>
  <c r="E17" i="7"/>
  <c r="E18" i="7"/>
  <c r="E19" i="7"/>
  <c r="E20" i="7"/>
  <c r="E21" i="7"/>
  <c r="E22" i="7"/>
  <c r="E23" i="7"/>
  <c r="E24" i="7"/>
  <c r="E25" i="7"/>
  <c r="E26" i="7"/>
  <c r="A9" i="9"/>
  <c r="E27" i="7"/>
  <c r="E28" i="7"/>
  <c r="E29" i="7"/>
  <c r="E30" i="7"/>
  <c r="E31" i="7"/>
  <c r="E32" i="7"/>
  <c r="E33" i="7"/>
  <c r="E34" i="7"/>
  <c r="E35" i="7"/>
  <c r="E36" i="7"/>
  <c r="E37" i="7"/>
  <c r="E38" i="7"/>
  <c r="A10" i="9"/>
  <c r="E40" i="7"/>
  <c r="E250" i="7" s="1"/>
  <c r="E41" i="7"/>
  <c r="E42" i="7"/>
  <c r="E43" i="7"/>
  <c r="E44" i="7"/>
  <c r="E45" i="7"/>
  <c r="E46" i="7"/>
  <c r="E47" i="7"/>
  <c r="E48" i="7"/>
  <c r="E49" i="7"/>
  <c r="E50" i="7"/>
  <c r="A11" i="9"/>
  <c r="E52" i="7"/>
  <c r="E53" i="7"/>
  <c r="E251" i="7" s="1"/>
  <c r="B11" i="9" s="1"/>
  <c r="E55" i="7"/>
  <c r="E56" i="7"/>
  <c r="E57" i="7"/>
  <c r="E58" i="7"/>
  <c r="E59" i="7"/>
  <c r="E60" i="7"/>
  <c r="E61" i="7"/>
  <c r="E62" i="7"/>
  <c r="O51" i="7"/>
  <c r="O59" i="7"/>
  <c r="A12" i="9"/>
  <c r="E63" i="7"/>
  <c r="E64" i="7"/>
  <c r="E66" i="7"/>
  <c r="E67" i="7"/>
  <c r="E68" i="7"/>
  <c r="E69" i="7"/>
  <c r="E70" i="7"/>
  <c r="E71" i="7"/>
  <c r="E72" i="7"/>
  <c r="E73" i="7"/>
  <c r="E74" i="7"/>
  <c r="O67" i="7"/>
  <c r="A13" i="9"/>
  <c r="D20" i="11"/>
  <c r="D24" i="11"/>
  <c r="D38" i="11"/>
  <c r="D48" i="11"/>
  <c r="A14" i="9"/>
  <c r="A46" i="9"/>
  <c r="A15" i="9"/>
  <c r="A47" i="9"/>
  <c r="A16" i="9"/>
  <c r="A48" i="9" s="1"/>
  <c r="A17" i="9"/>
  <c r="A49" i="9" s="1"/>
  <c r="A18" i="9"/>
  <c r="A50" i="9"/>
  <c r="A19" i="9"/>
  <c r="A51" i="9"/>
  <c r="A20" i="9"/>
  <c r="A52" i="9" s="1"/>
  <c r="A21" i="9"/>
  <c r="A53" i="9" s="1"/>
  <c r="A22" i="9"/>
  <c r="A54" i="9"/>
  <c r="B12" i="11"/>
  <c r="C12" i="11"/>
  <c r="A18" i="11"/>
  <c r="B19" i="11"/>
  <c r="C19" i="11"/>
  <c r="D19" i="11"/>
  <c r="E19" i="11"/>
  <c r="F19" i="11"/>
  <c r="G19" i="11"/>
  <c r="H19" i="11"/>
  <c r="I19" i="11"/>
  <c r="J19" i="11"/>
  <c r="B20" i="11"/>
  <c r="C20" i="11"/>
  <c r="E20" i="11"/>
  <c r="F20" i="11"/>
  <c r="H20" i="11"/>
  <c r="I20" i="11"/>
  <c r="A22" i="11"/>
  <c r="B23" i="11"/>
  <c r="C23" i="11"/>
  <c r="D23" i="11"/>
  <c r="E23" i="11"/>
  <c r="F23" i="11"/>
  <c r="G23" i="11"/>
  <c r="G51" i="11" s="1"/>
  <c r="G61" i="11" s="1"/>
  <c r="H23" i="11"/>
  <c r="H51" i="11"/>
  <c r="H61" i="11" s="1"/>
  <c r="I23" i="11"/>
  <c r="B24" i="11"/>
  <c r="C24" i="11"/>
  <c r="E24" i="11"/>
  <c r="G24" i="11"/>
  <c r="H24" i="11"/>
  <c r="A26" i="11"/>
  <c r="B27" i="11"/>
  <c r="C27" i="11"/>
  <c r="D27" i="11"/>
  <c r="E27" i="11"/>
  <c r="F27" i="11"/>
  <c r="G27" i="11"/>
  <c r="H27" i="11"/>
  <c r="I27" i="11"/>
  <c r="J27" i="11"/>
  <c r="B28" i="11"/>
  <c r="C28" i="11"/>
  <c r="E28" i="11"/>
  <c r="F28" i="11"/>
  <c r="G28" i="11"/>
  <c r="H28" i="11"/>
  <c r="I28" i="11"/>
  <c r="B29" i="11"/>
  <c r="C29" i="11"/>
  <c r="F29" i="11"/>
  <c r="G29" i="11"/>
  <c r="H29" i="11"/>
  <c r="I29" i="11"/>
  <c r="I53" i="11" s="1"/>
  <c r="I63" i="11" s="1"/>
  <c r="J29" i="11"/>
  <c r="K29" i="11"/>
  <c r="A31" i="11"/>
  <c r="B32" i="11"/>
  <c r="C32" i="11"/>
  <c r="D32" i="11"/>
  <c r="E32" i="11"/>
  <c r="F32" i="11"/>
  <c r="G32" i="11"/>
  <c r="H32" i="11"/>
  <c r="I32" i="11"/>
  <c r="L32" i="11"/>
  <c r="B33" i="11"/>
  <c r="C33" i="11"/>
  <c r="D33" i="11"/>
  <c r="E33" i="11"/>
  <c r="F33" i="11"/>
  <c r="G33" i="11"/>
  <c r="H33" i="11"/>
  <c r="J33" i="11"/>
  <c r="B34" i="11"/>
  <c r="C34" i="11"/>
  <c r="D34" i="11"/>
  <c r="E34" i="11"/>
  <c r="F34" i="11"/>
  <c r="G34" i="11"/>
  <c r="H34" i="11"/>
  <c r="I34" i="11"/>
  <c r="J34" i="11"/>
  <c r="K34" i="11"/>
  <c r="A36" i="11"/>
  <c r="B37" i="11"/>
  <c r="C37" i="11"/>
  <c r="D37" i="11"/>
  <c r="E37" i="11"/>
  <c r="F37" i="11"/>
  <c r="G37" i="11"/>
  <c r="H37" i="11"/>
  <c r="I37" i="11"/>
  <c r="J37" i="11"/>
  <c r="B38" i="11"/>
  <c r="C38" i="11"/>
  <c r="E38" i="11"/>
  <c r="F38" i="11"/>
  <c r="G38" i="11"/>
  <c r="I38" i="11"/>
  <c r="J38" i="11"/>
  <c r="B39" i="11"/>
  <c r="C39" i="11"/>
  <c r="G39" i="11"/>
  <c r="I39" i="11"/>
  <c r="K39" i="11"/>
  <c r="A41" i="11"/>
  <c r="B42" i="11"/>
  <c r="C42" i="11"/>
  <c r="D42" i="11"/>
  <c r="E42" i="11"/>
  <c r="G42" i="11"/>
  <c r="H42" i="11"/>
  <c r="I42" i="11"/>
  <c r="J42" i="11"/>
  <c r="B43" i="11"/>
  <c r="C43" i="11"/>
  <c r="E43" i="11"/>
  <c r="F43" i="11"/>
  <c r="G43" i="11"/>
  <c r="H43" i="11"/>
  <c r="J43" i="11"/>
  <c r="B44" i="11"/>
  <c r="C44" i="11"/>
  <c r="D44" i="11"/>
  <c r="E44" i="11"/>
  <c r="F44" i="11"/>
  <c r="G44" i="11"/>
  <c r="J44" i="11"/>
  <c r="K44" i="11"/>
  <c r="A46" i="11"/>
  <c r="B47" i="11"/>
  <c r="C47" i="11"/>
  <c r="D47" i="11"/>
  <c r="E47" i="11"/>
  <c r="F47" i="11"/>
  <c r="G47" i="11"/>
  <c r="H47" i="11"/>
  <c r="B48" i="11"/>
  <c r="C48" i="11"/>
  <c r="E48" i="11"/>
  <c r="F48" i="11"/>
  <c r="G48" i="11"/>
  <c r="H48" i="11"/>
  <c r="H52" i="11" s="1"/>
  <c r="H62" i="11" s="1"/>
  <c r="I48" i="11"/>
  <c r="J48" i="11"/>
  <c r="B51" i="11"/>
  <c r="B61" i="11" s="1"/>
  <c r="C51" i="11"/>
  <c r="C61" i="11" s="1"/>
  <c r="B52" i="11"/>
  <c r="B62" i="11"/>
  <c r="C52" i="11"/>
  <c r="C62" i="11" s="1"/>
  <c r="B53" i="11"/>
  <c r="B63" i="11" s="1"/>
  <c r="C53" i="11"/>
  <c r="C63" i="11" s="1"/>
  <c r="E56" i="11"/>
  <c r="G56" i="11"/>
  <c r="H56" i="11"/>
  <c r="I56" i="11"/>
  <c r="D34" i="17"/>
  <c r="J50" i="9"/>
  <c r="I46" i="9"/>
  <c r="C29" i="17"/>
  <c r="H46" i="9"/>
  <c r="B254" i="7"/>
  <c r="F34" i="17"/>
  <c r="I49" i="9"/>
  <c r="H47" i="9"/>
  <c r="H65" i="9" s="1"/>
  <c r="M49" i="9"/>
  <c r="M67" i="9" s="1"/>
  <c r="H37" i="9"/>
  <c r="I52" i="9"/>
  <c r="J20" i="11"/>
  <c r="F15" i="18"/>
  <c r="K58" i="11" s="1"/>
  <c r="J52" i="9"/>
  <c r="M32" i="11"/>
  <c r="J28" i="11"/>
  <c r="B34" i="17"/>
  <c r="L49" i="9"/>
  <c r="F32" i="17"/>
  <c r="B33" i="17"/>
  <c r="H50" i="9"/>
  <c r="C31" i="17"/>
  <c r="G17" i="9"/>
  <c r="C34" i="17"/>
  <c r="J23" i="11"/>
  <c r="I43" i="11"/>
  <c r="F33" i="17"/>
  <c r="C34" i="18"/>
  <c r="E32" i="18"/>
  <c r="F10" i="18"/>
  <c r="F58" i="11"/>
  <c r="E30" i="18"/>
  <c r="L51" i="9"/>
  <c r="B30" i="17"/>
  <c r="F13" i="18"/>
  <c r="I58" i="11" s="1"/>
  <c r="M34" i="9"/>
  <c r="H31" i="17"/>
  <c r="B32" i="17"/>
  <c r="E29" i="18"/>
  <c r="L47" i="9"/>
  <c r="L65" i="9"/>
  <c r="M46" i="9"/>
  <c r="N46" i="9"/>
  <c r="D31" i="17"/>
  <c r="G34" i="17"/>
  <c r="D30" i="17"/>
  <c r="J49" i="9"/>
  <c r="J68" i="9"/>
  <c r="N49" i="9"/>
  <c r="J48" i="9"/>
  <c r="L46" i="9"/>
  <c r="N48" i="9"/>
  <c r="F29" i="17"/>
  <c r="D32" i="17"/>
  <c r="F31" i="17"/>
  <c r="C33" i="17"/>
  <c r="C33" i="18"/>
  <c r="D33" i="17"/>
  <c r="I48" i="9"/>
  <c r="I67" i="9"/>
  <c r="M47" i="9"/>
  <c r="D32" i="18"/>
  <c r="B29" i="17"/>
  <c r="G31" i="17"/>
  <c r="L34" i="9"/>
  <c r="M48" i="9"/>
  <c r="M52" i="9"/>
  <c r="J35" i="9"/>
  <c r="J47" i="9"/>
  <c r="C32" i="17"/>
  <c r="B31" i="17"/>
  <c r="L35" i="9"/>
  <c r="I34" i="9"/>
  <c r="L50" i="9"/>
  <c r="L69" i="9"/>
  <c r="N34" i="9"/>
  <c r="J34" i="9"/>
  <c r="L36" i="9"/>
  <c r="M36" i="9"/>
  <c r="N36" i="9"/>
  <c r="M35" i="9"/>
  <c r="N35" i="9"/>
  <c r="H34" i="9"/>
  <c r="D30" i="18"/>
  <c r="L37" i="11"/>
  <c r="M42" i="11"/>
  <c r="L42" i="11"/>
  <c r="L27" i="11"/>
  <c r="G14" i="9"/>
  <c r="E12" i="11" s="1"/>
  <c r="L19" i="11"/>
  <c r="L51" i="11" s="1"/>
  <c r="L61" i="11" s="1"/>
  <c r="M47" i="11"/>
  <c r="L47" i="11"/>
  <c r="L23" i="11"/>
  <c r="M27" i="11"/>
  <c r="L34" i="11"/>
  <c r="M44" i="11"/>
  <c r="M34" i="11"/>
  <c r="B258" i="7"/>
  <c r="B253" i="7"/>
  <c r="H35" i="9"/>
  <c r="H49" i="9"/>
  <c r="G37" i="17"/>
  <c r="K27" i="9"/>
  <c r="C32" i="18"/>
  <c r="I33" i="11"/>
  <c r="H36" i="9"/>
  <c r="D28" i="11"/>
  <c r="F35" i="17"/>
  <c r="L52" i="9"/>
  <c r="K37" i="11"/>
  <c r="C35" i="17"/>
  <c r="O27" i="11"/>
  <c r="D38" i="18"/>
  <c r="O38" i="11"/>
  <c r="O48" i="11"/>
  <c r="K81" i="9"/>
  <c r="K89" i="9"/>
  <c r="F38" i="17"/>
  <c r="O37" i="11"/>
  <c r="L56" i="9"/>
  <c r="H38" i="17"/>
  <c r="H37" i="17"/>
  <c r="N47" i="11"/>
  <c r="M19" i="11"/>
  <c r="N54" i="9"/>
  <c r="N72" i="9" s="1"/>
  <c r="B36" i="17"/>
  <c r="M43" i="11"/>
  <c r="N53" i="9"/>
  <c r="L48" i="11"/>
  <c r="N39" i="9"/>
  <c r="C37" i="17"/>
  <c r="M54" i="9"/>
  <c r="M72" i="9" s="1"/>
  <c r="N38" i="9"/>
  <c r="C36" i="17"/>
  <c r="D37" i="18"/>
  <c r="D41" i="18"/>
  <c r="B37" i="18"/>
  <c r="B41" i="18"/>
  <c r="M41" i="9"/>
  <c r="O23" i="11"/>
  <c r="L40" i="9"/>
  <c r="N27" i="9"/>
  <c r="N43" i="11"/>
  <c r="C38" i="17"/>
  <c r="C42" i="17" s="1"/>
  <c r="C40" i="17" s="1"/>
  <c r="C20" i="17" s="1"/>
  <c r="E38" i="18"/>
  <c r="N40" i="9"/>
  <c r="M40" i="9"/>
  <c r="O19" i="11"/>
  <c r="L55" i="9"/>
  <c r="N39" i="11"/>
  <c r="N48" i="11"/>
  <c r="B38" i="17"/>
  <c r="N41" i="9"/>
  <c r="L41" i="9"/>
  <c r="N20" i="11"/>
  <c r="H55" i="9"/>
  <c r="H56" i="9"/>
  <c r="M38" i="9"/>
  <c r="M39" i="9"/>
  <c r="M53" i="9"/>
  <c r="M27" i="9"/>
  <c r="L43" i="11"/>
  <c r="L38" i="11"/>
  <c r="L27" i="9"/>
  <c r="L39" i="9"/>
  <c r="L38" i="9"/>
  <c r="L53" i="9"/>
  <c r="L71" i="9"/>
  <c r="L29" i="11"/>
  <c r="L39" i="11"/>
  <c r="L53" i="11" s="1"/>
  <c r="L63" i="11" s="1"/>
  <c r="L44" i="11"/>
  <c r="M37" i="11"/>
  <c r="M28" i="11"/>
  <c r="M38" i="11"/>
  <c r="F36" i="17"/>
  <c r="L54" i="9"/>
  <c r="J54" i="9"/>
  <c r="J40" i="9"/>
  <c r="G23" i="9"/>
  <c r="N12" i="11" s="1"/>
  <c r="J55" i="9"/>
  <c r="N28" i="11"/>
  <c r="N24" i="11"/>
  <c r="I55" i="9"/>
  <c r="O20" i="11"/>
  <c r="I56" i="9"/>
  <c r="O24" i="11"/>
  <c r="H41" i="9"/>
  <c r="B266" i="7"/>
  <c r="H38" i="9"/>
  <c r="J53" i="11"/>
  <c r="K53" i="11"/>
  <c r="K63" i="11" s="1"/>
  <c r="M37" i="9"/>
  <c r="K20" i="11"/>
  <c r="H51" i="9"/>
  <c r="I51" i="9"/>
  <c r="I70" i="9"/>
  <c r="H52" i="9"/>
  <c r="G19" i="9"/>
  <c r="J57" i="11"/>
  <c r="K24" i="11"/>
  <c r="E57" i="11"/>
  <c r="L37" i="9"/>
  <c r="I37" i="9"/>
  <c r="B33" i="18"/>
  <c r="G20" i="9"/>
  <c r="K57" i="11"/>
  <c r="I41" i="9"/>
  <c r="I18" i="17"/>
  <c r="N56" i="11"/>
  <c r="F17" i="18"/>
  <c r="M58" i="11"/>
  <c r="J41" i="9"/>
  <c r="G24" i="9"/>
  <c r="O12" i="11"/>
  <c r="J56" i="9"/>
  <c r="J74" i="9" s="1"/>
  <c r="O28" i="11"/>
  <c r="M24" i="11"/>
  <c r="I54" i="9"/>
  <c r="I72" i="9" s="1"/>
  <c r="M20" i="11"/>
  <c r="M52" i="11"/>
  <c r="M62" i="11" s="1"/>
  <c r="H54" i="9"/>
  <c r="H40" i="9"/>
  <c r="G22" i="9"/>
  <c r="I40" i="9"/>
  <c r="J51" i="9"/>
  <c r="J69" i="9"/>
  <c r="J36" i="9"/>
  <c r="C30" i="17"/>
  <c r="J24" i="11"/>
  <c r="J52" i="11" s="1"/>
  <c r="J62" i="11" s="1"/>
  <c r="N51" i="9"/>
  <c r="J56" i="11"/>
  <c r="N52" i="9"/>
  <c r="K56" i="11"/>
  <c r="I38" i="9"/>
  <c r="I39" i="9"/>
  <c r="I53" i="9"/>
  <c r="I71" i="9"/>
  <c r="L24" i="11"/>
  <c r="M23" i="11"/>
  <c r="M51" i="11"/>
  <c r="F19" i="18"/>
  <c r="O58" i="11"/>
  <c r="M29" i="11"/>
  <c r="M53" i="11" s="1"/>
  <c r="M63" i="11" s="1"/>
  <c r="F9" i="18"/>
  <c r="E58" i="11"/>
  <c r="D28" i="18"/>
  <c r="B28" i="18"/>
  <c r="F39" i="11"/>
  <c r="F53" i="11"/>
  <c r="D35" i="18"/>
  <c r="O29" i="11"/>
  <c r="O53" i="11"/>
  <c r="O63" i="11"/>
  <c r="N44" i="11"/>
  <c r="N53" i="11"/>
  <c r="E35" i="18"/>
  <c r="F8" i="18"/>
  <c r="D53" i="11"/>
  <c r="F11" i="18"/>
  <c r="G58" i="11"/>
  <c r="H44" i="11"/>
  <c r="J44" i="25"/>
  <c r="L20" i="11"/>
  <c r="H53" i="9"/>
  <c r="H72" i="9"/>
  <c r="K28" i="11"/>
  <c r="K52" i="11" s="1"/>
  <c r="J12" i="11"/>
  <c r="H39" i="9"/>
  <c r="B34" i="18"/>
  <c r="J37" i="9"/>
  <c r="B28" i="25"/>
  <c r="B22" i="25"/>
  <c r="B26" i="25"/>
  <c r="B32" i="25"/>
  <c r="I49" i="25"/>
  <c r="H49" i="25"/>
  <c r="J50" i="25"/>
  <c r="I50" i="25"/>
  <c r="C29" i="25"/>
  <c r="R57" i="26"/>
  <c r="R59" i="26"/>
  <c r="R60" i="26" s="1"/>
  <c r="P59" i="26"/>
  <c r="P63" i="26"/>
  <c r="T48" i="26"/>
  <c r="D44" i="25"/>
  <c r="D54" i="25" s="1"/>
  <c r="Q48" i="26"/>
  <c r="Q57" i="26"/>
  <c r="Q59" i="26" s="1"/>
  <c r="Q63" i="26" s="1"/>
  <c r="F14" i="18"/>
  <c r="J58" i="11" s="1"/>
  <c r="J63" i="11" s="1"/>
  <c r="S48" i="26"/>
  <c r="E22" i="25"/>
  <c r="D33" i="18"/>
  <c r="D22" i="25"/>
  <c r="F28" i="23"/>
  <c r="F16" i="23"/>
  <c r="F31" i="23" s="1"/>
  <c r="G16" i="23"/>
  <c r="E16" i="23"/>
  <c r="H6" i="23"/>
  <c r="B259" i="7"/>
  <c r="B264" i="7"/>
  <c r="C264" i="7"/>
  <c r="C268" i="7" s="1"/>
  <c r="B260" i="7"/>
  <c r="G28" i="23"/>
  <c r="G31" i="23" s="1"/>
  <c r="C16" i="23"/>
  <c r="C28" i="23"/>
  <c r="I44" i="25"/>
  <c r="B263" i="7"/>
  <c r="C261" i="7"/>
  <c r="B261" i="7"/>
  <c r="B262" i="7"/>
  <c r="E222" i="7"/>
  <c r="C265" i="7"/>
  <c r="E220" i="7"/>
  <c r="D38" i="17"/>
  <c r="H73" i="9"/>
  <c r="E9" i="7"/>
  <c r="E266" i="7"/>
  <c r="B26" i="9"/>
  <c r="M12" i="11"/>
  <c r="J24" i="24"/>
  <c r="L74" i="9"/>
  <c r="I17" i="17"/>
  <c r="M56" i="11" s="1"/>
  <c r="I74" i="9"/>
  <c r="D50" i="28"/>
  <c r="F50" i="28"/>
  <c r="F39" i="28"/>
  <c r="E52" i="11"/>
  <c r="E62" i="11"/>
  <c r="C5" i="27"/>
  <c r="D39" i="27"/>
  <c r="D50" i="27" s="1"/>
  <c r="F50" i="27" s="1"/>
  <c r="G41" i="9"/>
  <c r="H12" i="11"/>
  <c r="H57" i="11"/>
  <c r="H70" i="9"/>
  <c r="H71" i="9"/>
  <c r="G53" i="11"/>
  <c r="B257" i="7"/>
  <c r="E126" i="7"/>
  <c r="B59" i="30"/>
  <c r="J46" i="9"/>
  <c r="D29" i="17"/>
  <c r="I24" i="11"/>
  <c r="I52" i="11"/>
  <c r="I36" i="9"/>
  <c r="I35" i="9"/>
  <c r="G18" i="9"/>
  <c r="I12" i="11" s="1"/>
  <c r="I50" i="9"/>
  <c r="I68" i="9" s="1"/>
  <c r="G15" i="9"/>
  <c r="I47" i="9"/>
  <c r="I66" i="9" s="1"/>
  <c r="F24" i="11"/>
  <c r="F52" i="11" s="1"/>
  <c r="F62" i="11" s="1"/>
  <c r="I27" i="9"/>
  <c r="H27" i="9"/>
  <c r="G20" i="11"/>
  <c r="G52" i="11" s="1"/>
  <c r="G62" i="11" s="1"/>
  <c r="G16" i="9"/>
  <c r="G12" i="11" s="1"/>
  <c r="H48" i="9"/>
  <c r="H66" i="9" s="1"/>
  <c r="F12" i="18"/>
  <c r="H58" i="11"/>
  <c r="D31" i="18"/>
  <c r="H39" i="11"/>
  <c r="H53" i="11"/>
  <c r="I47" i="11"/>
  <c r="N50" i="9"/>
  <c r="N68" i="9" s="1"/>
  <c r="H32" i="17"/>
  <c r="H29" i="17"/>
  <c r="N47" i="9"/>
  <c r="N65" i="9" s="1"/>
  <c r="H30" i="17"/>
  <c r="L48" i="9"/>
  <c r="L66" i="9"/>
  <c r="F30" i="17"/>
  <c r="B250" i="7"/>
  <c r="E39" i="7"/>
  <c r="E114" i="7"/>
  <c r="B47" i="30" s="1"/>
  <c r="B256" i="7"/>
  <c r="E65" i="7"/>
  <c r="B252" i="7"/>
  <c r="C4" i="11" s="1"/>
  <c r="B248" i="7"/>
  <c r="E16" i="7"/>
  <c r="M50" i="9"/>
  <c r="G32" i="17"/>
  <c r="G33" i="17"/>
  <c r="G29" i="17"/>
  <c r="F42" i="11"/>
  <c r="F51" i="11" s="1"/>
  <c r="F61" i="11" s="1"/>
  <c r="G30" i="17"/>
  <c r="G42" i="17" s="1"/>
  <c r="G40" i="17" s="1"/>
  <c r="G20" i="17" s="1"/>
  <c r="G21" i="17" s="1"/>
  <c r="J67" i="9"/>
  <c r="B247" i="7"/>
  <c r="I73" i="9"/>
  <c r="C262" i="7"/>
  <c r="M57" i="11"/>
  <c r="L73" i="9"/>
  <c r="N57" i="11"/>
  <c r="O42" i="11"/>
  <c r="O51" i="11"/>
  <c r="O57" i="11"/>
  <c r="G38" i="17"/>
  <c r="I19" i="17"/>
  <c r="O56" i="11" s="1"/>
  <c r="O61" i="11" s="1"/>
  <c r="I31" i="29"/>
  <c r="I33" i="29"/>
  <c r="I45" i="29"/>
  <c r="I47" i="29"/>
  <c r="J31" i="29"/>
  <c r="J33" i="29"/>
  <c r="J45" i="29"/>
  <c r="J47" i="29" s="1"/>
  <c r="C31" i="29"/>
  <c r="C33" i="29"/>
  <c r="O33" i="29" s="1"/>
  <c r="K31" i="29"/>
  <c r="K33" i="29"/>
  <c r="C45" i="29"/>
  <c r="C47" i="29"/>
  <c r="K45" i="29"/>
  <c r="K47" i="29" s="1"/>
  <c r="C59" i="29"/>
  <c r="C61" i="29"/>
  <c r="K59" i="29"/>
  <c r="K61" i="29"/>
  <c r="O43" i="29"/>
  <c r="O29" i="29"/>
  <c r="O57" i="29"/>
  <c r="H31" i="29"/>
  <c r="H33" i="29" s="1"/>
  <c r="H45" i="29"/>
  <c r="H47" i="29" s="1"/>
  <c r="O47" i="29" s="1"/>
  <c r="O59" i="29"/>
  <c r="O31" i="29"/>
  <c r="K34" i="24"/>
  <c r="N24" i="24"/>
  <c r="J14" i="24"/>
  <c r="M24" i="24"/>
  <c r="E34" i="24"/>
  <c r="L34" i="24"/>
  <c r="K14" i="24"/>
  <c r="F34" i="24"/>
  <c r="F14" i="24"/>
  <c r="E24" i="24"/>
  <c r="B6" i="25"/>
  <c r="C6" i="25" s="1"/>
  <c r="D6" i="25" s="1"/>
  <c r="E6" i="25" s="1"/>
  <c r="B68" i="25" s="1"/>
  <c r="I24" i="24"/>
  <c r="B10" i="25" s="1"/>
  <c r="N34" i="24"/>
  <c r="H34" i="24"/>
  <c r="G14" i="24"/>
  <c r="F24" i="24"/>
  <c r="B7" i="25" s="1"/>
  <c r="C7" i="25" s="1"/>
  <c r="D7" i="25" s="1"/>
  <c r="E7" i="25" s="1"/>
  <c r="K24" i="24"/>
  <c r="N14" i="24"/>
  <c r="H14" i="24"/>
  <c r="L14" i="24"/>
  <c r="L24" i="24"/>
  <c r="G24" i="24"/>
  <c r="B8" i="25"/>
  <c r="C44" i="25"/>
  <c r="C54" i="25"/>
  <c r="G45" i="25"/>
  <c r="K45" i="25"/>
  <c r="F46" i="25"/>
  <c r="C23" i="25"/>
  <c r="C28" i="25"/>
  <c r="C32" i="25" s="1"/>
  <c r="C22" i="25"/>
  <c r="D28" i="23"/>
  <c r="J73" i="9"/>
  <c r="F18" i="18"/>
  <c r="N58" i="11"/>
  <c r="E44" i="24"/>
  <c r="M44" i="24"/>
  <c r="E28" i="23"/>
  <c r="E31" i="23" s="1"/>
  <c r="C59" i="23" s="1"/>
  <c r="G40" i="9"/>
  <c r="F44" i="24"/>
  <c r="E221" i="7"/>
  <c r="G37" i="9"/>
  <c r="K12" i="11"/>
  <c r="H24" i="24"/>
  <c r="B9" i="25"/>
  <c r="G44" i="24"/>
  <c r="I34" i="24"/>
  <c r="H44" i="24"/>
  <c r="J44" i="24"/>
  <c r="M14" i="24"/>
  <c r="K44" i="24"/>
  <c r="L44" i="24"/>
  <c r="G36" i="9"/>
  <c r="G57" i="11"/>
  <c r="B265" i="7"/>
  <c r="C37" i="29"/>
  <c r="H35" i="17"/>
  <c r="F45" i="25"/>
  <c r="M68" i="9"/>
  <c r="I69" i="9"/>
  <c r="H33" i="17"/>
  <c r="H34" i="17"/>
  <c r="H42" i="17" s="1"/>
  <c r="H40" i="17" s="1"/>
  <c r="H20" i="17" s="1"/>
  <c r="F16" i="18"/>
  <c r="L58" i="11"/>
  <c r="L67" i="9"/>
  <c r="G35" i="9"/>
  <c r="G21" i="9"/>
  <c r="L28" i="11"/>
  <c r="L52" i="11" s="1"/>
  <c r="L62" i="11" s="1"/>
  <c r="J38" i="9"/>
  <c r="J27" i="9"/>
  <c r="J28" i="9"/>
  <c r="C10" i="29"/>
  <c r="C12" i="29" s="1"/>
  <c r="F17" i="29"/>
  <c r="F19" i="29"/>
  <c r="N17" i="29"/>
  <c r="N19" i="29" s="1"/>
  <c r="D37" i="17"/>
  <c r="D42" i="17" s="1"/>
  <c r="D40" i="17" s="1"/>
  <c r="D20" i="17" s="1"/>
  <c r="C263" i="7"/>
  <c r="H74" i="9"/>
  <c r="F57" i="11"/>
  <c r="J70" i="9"/>
  <c r="O120" i="7"/>
  <c r="C53" i="30"/>
  <c r="O112" i="7"/>
  <c r="C45" i="30"/>
  <c r="O104" i="7"/>
  <c r="C37" i="30" s="1"/>
  <c r="D37" i="30" s="1"/>
  <c r="O96" i="7"/>
  <c r="C29" i="30"/>
  <c r="O88" i="7"/>
  <c r="C21" i="30"/>
  <c r="O80" i="7"/>
  <c r="C13" i="30"/>
  <c r="O72" i="7"/>
  <c r="O64" i="7"/>
  <c r="O56" i="7"/>
  <c r="O48" i="7"/>
  <c r="O40" i="7"/>
  <c r="O32" i="7"/>
  <c r="O24" i="7"/>
  <c r="O16" i="7"/>
  <c r="O8" i="7"/>
  <c r="O119" i="7"/>
  <c r="C52" i="30"/>
  <c r="O111" i="7"/>
  <c r="C44" i="30" s="1"/>
  <c r="O103" i="7"/>
  <c r="O95" i="7"/>
  <c r="C28" i="30"/>
  <c r="O87" i="7"/>
  <c r="C20" i="30" s="1"/>
  <c r="O79" i="7"/>
  <c r="C12" i="30"/>
  <c r="O71" i="7"/>
  <c r="O63" i="7"/>
  <c r="O55" i="7"/>
  <c r="O47" i="7"/>
  <c r="O39" i="7"/>
  <c r="O31" i="7"/>
  <c r="O23" i="7"/>
  <c r="O15" i="7"/>
  <c r="O7" i="7"/>
  <c r="O118" i="7"/>
  <c r="C51" i="30" s="1"/>
  <c r="D51" i="30" s="1"/>
  <c r="O110" i="7"/>
  <c r="C43" i="30"/>
  <c r="O102" i="7"/>
  <c r="C35" i="30" s="1"/>
  <c r="D35" i="30" s="1"/>
  <c r="O94" i="7"/>
  <c r="C27" i="30" s="1"/>
  <c r="D27" i="30" s="1"/>
  <c r="E27" i="30" s="1"/>
  <c r="F27" i="30" s="1"/>
  <c r="O86" i="7"/>
  <c r="C19" i="30" s="1"/>
  <c r="D19" i="30" s="1"/>
  <c r="O78" i="7"/>
  <c r="O70" i="7"/>
  <c r="O62" i="7"/>
  <c r="O54" i="7"/>
  <c r="O46" i="7"/>
  <c r="O38" i="7"/>
  <c r="O30" i="7"/>
  <c r="O22" i="7"/>
  <c r="O14" i="7"/>
  <c r="O6" i="7"/>
  <c r="O219" i="7"/>
  <c r="C4" i="29" s="1"/>
  <c r="O117" i="7"/>
  <c r="C50" i="30" s="1"/>
  <c r="O109" i="7"/>
  <c r="C42" i="30" s="1"/>
  <c r="D42" i="30" s="1"/>
  <c r="O101" i="7"/>
  <c r="C34" i="30"/>
  <c r="O93" i="7"/>
  <c r="C26" i="30" s="1"/>
  <c r="D26" i="30" s="1"/>
  <c r="E26" i="30" s="1"/>
  <c r="O85" i="7"/>
  <c r="C18" i="30" s="1"/>
  <c r="O77" i="7"/>
  <c r="C10" i="30" s="1"/>
  <c r="O69" i="7"/>
  <c r="O61" i="7"/>
  <c r="O53" i="7"/>
  <c r="O45" i="7"/>
  <c r="O37" i="7"/>
  <c r="O29" i="7"/>
  <c r="O21" i="7"/>
  <c r="O13" i="7"/>
  <c r="O5" i="7"/>
  <c r="O116" i="7"/>
  <c r="C49" i="30"/>
  <c r="O108" i="7"/>
  <c r="C41" i="30" s="1"/>
  <c r="O100" i="7"/>
  <c r="O92" i="7"/>
  <c r="C25" i="30"/>
  <c r="O84" i="7"/>
  <c r="C17" i="30"/>
  <c r="D17" i="30"/>
  <c r="E17" i="30" s="1"/>
  <c r="F17" i="30" s="1"/>
  <c r="O76" i="7"/>
  <c r="C9" i="30" s="1"/>
  <c r="O68" i="7"/>
  <c r="O60" i="7"/>
  <c r="O52" i="7"/>
  <c r="O44" i="7"/>
  <c r="O36" i="7"/>
  <c r="O28" i="7"/>
  <c r="O20" i="7"/>
  <c r="O12" i="7"/>
  <c r="O4" i="7"/>
  <c r="O247" i="7" s="1"/>
  <c r="O3" i="7"/>
  <c r="O115" i="7"/>
  <c r="C48" i="30"/>
  <c r="O107" i="7"/>
  <c r="C40" i="30" s="1"/>
  <c r="O99" i="7"/>
  <c r="C32" i="30" s="1"/>
  <c r="D32" i="30" s="1"/>
  <c r="O91" i="7"/>
  <c r="C24" i="30" s="1"/>
  <c r="O83" i="7"/>
  <c r="C16" i="30"/>
  <c r="O75" i="7"/>
  <c r="C8" i="30" s="1"/>
  <c r="O43" i="7"/>
  <c r="O35" i="7"/>
  <c r="O27" i="7"/>
  <c r="O19" i="7"/>
  <c r="O248" i="7" s="1"/>
  <c r="O11" i="7"/>
  <c r="O122" i="7"/>
  <c r="C55" i="30"/>
  <c r="O114" i="7"/>
  <c r="C47" i="30" s="1"/>
  <c r="O106" i="7"/>
  <c r="C39" i="30" s="1"/>
  <c r="O98" i="7"/>
  <c r="C31" i="30" s="1"/>
  <c r="O90" i="7"/>
  <c r="C23" i="30"/>
  <c r="O82" i="7"/>
  <c r="C15" i="30" s="1"/>
  <c r="D15" i="30" s="1"/>
  <c r="E15" i="30" s="1"/>
  <c r="F15" i="30" s="1"/>
  <c r="O74" i="7"/>
  <c r="O66" i="7"/>
  <c r="O58" i="7"/>
  <c r="O50" i="7"/>
  <c r="O42" i="7"/>
  <c r="O34" i="7"/>
  <c r="O26" i="7"/>
  <c r="O18" i="7"/>
  <c r="O10" i="7"/>
  <c r="O121" i="7"/>
  <c r="C54" i="30"/>
  <c r="O113" i="7"/>
  <c r="C46" i="30"/>
  <c r="O105" i="7"/>
  <c r="C38" i="30" s="1"/>
  <c r="D38" i="30" s="1"/>
  <c r="E38" i="30" s="1"/>
  <c r="O97" i="7"/>
  <c r="C30" i="30" s="1"/>
  <c r="O89" i="7"/>
  <c r="O254" i="7" s="1"/>
  <c r="O81" i="7"/>
  <c r="C14" i="30"/>
  <c r="O73" i="7"/>
  <c r="O65" i="7"/>
  <c r="O252" i="7" s="1"/>
  <c r="O57" i="7"/>
  <c r="O49" i="7"/>
  <c r="O250" i="7" s="1"/>
  <c r="O41" i="7"/>
  <c r="O33" i="7"/>
  <c r="O249" i="7" s="1"/>
  <c r="O25" i="7"/>
  <c r="O17" i="7"/>
  <c r="O9" i="7"/>
  <c r="K17" i="29"/>
  <c r="K19" i="29"/>
  <c r="M17" i="29"/>
  <c r="M19" i="29" s="1"/>
  <c r="I17" i="29"/>
  <c r="I19" i="29" s="1"/>
  <c r="I10" i="29"/>
  <c r="I12" i="29" s="1"/>
  <c r="N10" i="29"/>
  <c r="N12" i="29"/>
  <c r="F10" i="29"/>
  <c r="F12" i="29" s="1"/>
  <c r="M10" i="29"/>
  <c r="M12" i="29" s="1"/>
  <c r="E10" i="29"/>
  <c r="E12" i="29" s="1"/>
  <c r="C17" i="29"/>
  <c r="C19" i="29"/>
  <c r="C36" i="30"/>
  <c r="D36" i="30" s="1"/>
  <c r="E36" i="30" s="1"/>
  <c r="F36" i="30" s="1"/>
  <c r="C11" i="30"/>
  <c r="D11" i="30" s="1"/>
  <c r="E11" i="30" s="1"/>
  <c r="F11" i="30" s="1"/>
  <c r="I28" i="9"/>
  <c r="G39" i="9"/>
  <c r="N28" i="9"/>
  <c r="B35" i="18"/>
  <c r="K47" i="11"/>
  <c r="D10" i="29"/>
  <c r="D12" i="29" s="1"/>
  <c r="I51" i="11"/>
  <c r="I61" i="11"/>
  <c r="C33" i="30"/>
  <c r="E51" i="11"/>
  <c r="E61" i="11"/>
  <c r="H69" i="9"/>
  <c r="H68" i="9"/>
  <c r="J65" i="9"/>
  <c r="J66" i="9"/>
  <c r="M65" i="9"/>
  <c r="M66" i="9"/>
  <c r="N66" i="9"/>
  <c r="N67" i="9"/>
  <c r="H67" i="9"/>
  <c r="G13" i="9"/>
  <c r="D52" i="11" s="1"/>
  <c r="D43" i="11"/>
  <c r="G34" i="9"/>
  <c r="E51" i="7"/>
  <c r="F12" i="11"/>
  <c r="K28" i="9"/>
  <c r="J39" i="9"/>
  <c r="J53" i="9"/>
  <c r="J72" i="9" s="1"/>
  <c r="I57" i="11"/>
  <c r="I62" i="11" s="1"/>
  <c r="M56" i="9"/>
  <c r="L68" i="9"/>
  <c r="B249" i="7"/>
  <c r="B255" i="7"/>
  <c r="L70" i="9"/>
  <c r="K24" i="29"/>
  <c r="K26" i="29" s="1"/>
  <c r="G52" i="29"/>
  <c r="G54" i="29"/>
  <c r="G38" i="9"/>
  <c r="M71" i="9"/>
  <c r="F37" i="17"/>
  <c r="F42" i="17" s="1"/>
  <c r="F40" i="17" s="1"/>
  <c r="F20" i="17" s="1"/>
  <c r="F21" i="17" s="1"/>
  <c r="E54" i="7"/>
  <c r="L72" i="9"/>
  <c r="L12" i="11"/>
  <c r="L57" i="11"/>
  <c r="M28" i="9"/>
  <c r="E53" i="11"/>
  <c r="E63" i="11"/>
  <c r="M24" i="29"/>
  <c r="M26" i="29" s="1"/>
  <c r="G24" i="29"/>
  <c r="G26" i="29"/>
  <c r="H24" i="29"/>
  <c r="H26" i="29" s="1"/>
  <c r="O22" i="29"/>
  <c r="E52" i="29"/>
  <c r="E54" i="29" s="1"/>
  <c r="N69" i="9"/>
  <c r="L28" i="9"/>
  <c r="D29" i="25"/>
  <c r="F29" i="25" s="1"/>
  <c r="C26" i="25"/>
  <c r="F22" i="25"/>
  <c r="F28" i="25"/>
  <c r="D30" i="25" s="1"/>
  <c r="L53" i="25"/>
  <c r="D65" i="25"/>
  <c r="G54" i="25"/>
  <c r="G63" i="11"/>
  <c r="O23" i="29"/>
  <c r="N24" i="29"/>
  <c r="N26" i="29" s="1"/>
  <c r="I54" i="25"/>
  <c r="B12" i="25" s="1"/>
  <c r="I52" i="29"/>
  <c r="I54" i="29"/>
  <c r="H10" i="29"/>
  <c r="H12" i="29" s="1"/>
  <c r="O9" i="29"/>
  <c r="J24" i="29"/>
  <c r="J26" i="29" s="1"/>
  <c r="D52" i="29"/>
  <c r="D54" i="29"/>
  <c r="O50" i="29"/>
  <c r="D13" i="30"/>
  <c r="E13" i="30"/>
  <c r="F13" i="30" s="1"/>
  <c r="L17" i="29"/>
  <c r="L19" i="29"/>
  <c r="O15" i="29"/>
  <c r="F24" i="29"/>
  <c r="E19" i="29"/>
  <c r="D34" i="30"/>
  <c r="E34" i="30" s="1"/>
  <c r="F34" i="30" s="1"/>
  <c r="O16" i="29"/>
  <c r="J47" i="11"/>
  <c r="F26" i="29"/>
  <c r="F63" i="11"/>
  <c r="O251" i="7"/>
  <c r="C11" i="9"/>
  <c r="D11" i="9" s="1"/>
  <c r="B40" i="18"/>
  <c r="E51" i="30"/>
  <c r="F51" i="30" s="1"/>
  <c r="S57" i="26"/>
  <c r="S59" i="26"/>
  <c r="S60" i="26" s="1"/>
  <c r="O8" i="29"/>
  <c r="L10" i="29"/>
  <c r="O10" i="29"/>
  <c r="P254" i="7"/>
  <c r="Q254" i="7" s="1"/>
  <c r="K62" i="11"/>
  <c r="O51" i="29"/>
  <c r="B10" i="9"/>
  <c r="I24" i="29"/>
  <c r="I26" i="29"/>
  <c r="H16" i="23"/>
  <c r="H31" i="23"/>
  <c r="N63" i="11"/>
  <c r="D46" i="30"/>
  <c r="E46" i="30"/>
  <c r="F46" i="30" s="1"/>
  <c r="D24" i="29"/>
  <c r="D26" i="29"/>
  <c r="L24" i="29"/>
  <c r="L26" i="29"/>
  <c r="B33" i="30"/>
  <c r="D33" i="30"/>
  <c r="E33" i="30"/>
  <c r="F33" i="30" s="1"/>
  <c r="E255" i="7"/>
  <c r="B15" i="9"/>
  <c r="F15" i="9" s="1"/>
  <c r="M69" i="9"/>
  <c r="M70" i="9"/>
  <c r="C22" i="30"/>
  <c r="D22" i="30"/>
  <c r="E22" i="30" s="1"/>
  <c r="F22" i="30" s="1"/>
  <c r="O256" i="7"/>
  <c r="G5" i="11"/>
  <c r="G68" i="11" s="1"/>
  <c r="P256" i="7"/>
  <c r="Q256" i="7" s="1"/>
  <c r="F4" i="11"/>
  <c r="F67" i="11"/>
  <c r="O17" i="29"/>
  <c r="L52" i="29"/>
  <c r="L54" i="29"/>
  <c r="D40" i="30"/>
  <c r="E40" i="30"/>
  <c r="F40" i="30" s="1"/>
  <c r="E32" i="30"/>
  <c r="F32" i="30" s="1"/>
  <c r="D54" i="30"/>
  <c r="E54" i="30" s="1"/>
  <c r="F54" i="30" s="1"/>
  <c r="E54" i="25"/>
  <c r="P42" i="11"/>
  <c r="Q42" i="11"/>
  <c r="P23" i="11"/>
  <c r="D45" i="30"/>
  <c r="E45" i="30" s="1"/>
  <c r="F45" i="30" s="1"/>
  <c r="J52" i="29"/>
  <c r="J54" i="29"/>
  <c r="D16" i="30"/>
  <c r="E16" i="30"/>
  <c r="F16" i="30" s="1"/>
  <c r="D9" i="30"/>
  <c r="E9" i="30"/>
  <c r="F9" i="30" s="1"/>
  <c r="E37" i="30"/>
  <c r="F37" i="30" s="1"/>
  <c r="E256" i="7"/>
  <c r="B16" i="9" s="1"/>
  <c r="F16" i="9" s="1"/>
  <c r="B44" i="30"/>
  <c r="D44" i="30" s="1"/>
  <c r="E44" i="30" s="1"/>
  <c r="F44" i="30" s="1"/>
  <c r="D28" i="30"/>
  <c r="E28" i="30"/>
  <c r="F28" i="30" s="1"/>
  <c r="D50" i="30"/>
  <c r="E50" i="30" s="1"/>
  <c r="F50" i="30" s="1"/>
  <c r="N52" i="29"/>
  <c r="N54" i="29"/>
  <c r="M73" i="9"/>
  <c r="M74" i="9"/>
  <c r="C31" i="23"/>
  <c r="C43" i="23"/>
  <c r="D156" i="7" s="1"/>
  <c r="E156" i="7" s="1"/>
  <c r="B89" i="30"/>
  <c r="D43" i="30"/>
  <c r="E43" i="30"/>
  <c r="F43" i="30" s="1"/>
  <c r="E258" i="7"/>
  <c r="B18" i="9"/>
  <c r="B68" i="30"/>
  <c r="B56" i="30"/>
  <c r="E257" i="7"/>
  <c r="B17" i="9"/>
  <c r="F17" i="9" s="1"/>
  <c r="D49" i="30"/>
  <c r="E49" i="30"/>
  <c r="F49" i="30"/>
  <c r="N73" i="9"/>
  <c r="N74" i="9"/>
  <c r="H63" i="11"/>
  <c r="E247" i="7"/>
  <c r="B7" i="9" s="1"/>
  <c r="B251" i="7"/>
  <c r="B4" i="11"/>
  <c r="E42" i="30"/>
  <c r="F42" i="30"/>
  <c r="F26" i="30"/>
  <c r="E254" i="7"/>
  <c r="E4" i="11"/>
  <c r="B20" i="30"/>
  <c r="D52" i="30"/>
  <c r="E52" i="30"/>
  <c r="F52" i="30" s="1"/>
  <c r="C9" i="25"/>
  <c r="D9" i="25"/>
  <c r="E9" i="25" s="1"/>
  <c r="C10" i="25"/>
  <c r="D10" i="25" s="1"/>
  <c r="E10" i="25" s="1"/>
  <c r="D30" i="30"/>
  <c r="E30" i="30" s="1"/>
  <c r="F30" i="30" s="1"/>
  <c r="E248" i="7"/>
  <c r="B8" i="9" s="1"/>
  <c r="E35" i="30"/>
  <c r="F35" i="30"/>
  <c r="D14" i="30"/>
  <c r="E14" i="30"/>
  <c r="F14" i="30"/>
  <c r="E19" i="30"/>
  <c r="F19" i="30" s="1"/>
  <c r="F38" i="30"/>
  <c r="C24" i="29"/>
  <c r="J71" i="9"/>
  <c r="J78" i="9" s="1"/>
  <c r="J76" i="9" s="1"/>
  <c r="J57" i="9" s="1"/>
  <c r="O255" i="7"/>
  <c r="C15" i="9"/>
  <c r="D15" i="9"/>
  <c r="E15" i="9" s="1"/>
  <c r="O253" i="7"/>
  <c r="P253" i="7"/>
  <c r="Q253" i="7" s="1"/>
  <c r="D20" i="30"/>
  <c r="E20" i="30"/>
  <c r="F20" i="30" s="1"/>
  <c r="B14" i="9"/>
  <c r="C26" i="29"/>
  <c r="G4" i="11"/>
  <c r="G6" i="11" s="1"/>
  <c r="B5" i="11"/>
  <c r="C90" i="23"/>
  <c r="D203" i="7"/>
  <c r="E203" i="7" s="1"/>
  <c r="B136" i="30" s="1"/>
  <c r="C9" i="9"/>
  <c r="D172" i="7"/>
  <c r="E172" i="7" s="1"/>
  <c r="B105" i="30" s="1"/>
  <c r="C61" i="23"/>
  <c r="D174" i="7" s="1"/>
  <c r="E174" i="7" s="1"/>
  <c r="B107" i="30" s="1"/>
  <c r="D12" i="30"/>
  <c r="E12" i="30" s="1"/>
  <c r="F12" i="30" s="1"/>
  <c r="D29" i="30"/>
  <c r="E29" i="30" s="1"/>
  <c r="F29" i="30" s="1"/>
  <c r="D23" i="30"/>
  <c r="E23" i="30" s="1"/>
  <c r="F23" i="30"/>
  <c r="F54" i="25"/>
  <c r="P251" i="7"/>
  <c r="C60" i="23"/>
  <c r="D173" i="7" s="1"/>
  <c r="E173" i="7" s="1"/>
  <c r="B106" i="30" s="1"/>
  <c r="D48" i="30"/>
  <c r="E48" i="30" s="1"/>
  <c r="F48" i="30"/>
  <c r="L12" i="29"/>
  <c r="C83" i="23"/>
  <c r="D196" i="7" s="1"/>
  <c r="E196" i="7" s="1"/>
  <c r="B129" i="30" s="1"/>
  <c r="C88" i="23"/>
  <c r="D201" i="7" s="1"/>
  <c r="E201" i="7"/>
  <c r="B134" i="30" s="1"/>
  <c r="C89" i="23"/>
  <c r="D202" i="7"/>
  <c r="E202" i="7"/>
  <c r="B135" i="30" s="1"/>
  <c r="D55" i="30"/>
  <c r="E55" i="30"/>
  <c r="F55" i="30" s="1"/>
  <c r="C67" i="23"/>
  <c r="D180" i="7"/>
  <c r="E180" i="7" s="1"/>
  <c r="B113" i="30" s="1"/>
  <c r="C65" i="23"/>
  <c r="D178" i="7" s="1"/>
  <c r="E178" i="7"/>
  <c r="B111" i="30" s="1"/>
  <c r="C66" i="23"/>
  <c r="D179" i="7" s="1"/>
  <c r="E179" i="7" s="1"/>
  <c r="B112" i="30" s="1"/>
  <c r="C62" i="23"/>
  <c r="D175" i="7" s="1"/>
  <c r="E175" i="7"/>
  <c r="B108" i="30"/>
  <c r="C58" i="23"/>
  <c r="D171" i="7" s="1"/>
  <c r="D25" i="30"/>
  <c r="E25" i="30"/>
  <c r="F25" i="30" s="1"/>
  <c r="P250" i="7"/>
  <c r="C10" i="9"/>
  <c r="D10" i="9" s="1"/>
  <c r="M61" i="11"/>
  <c r="D53" i="30"/>
  <c r="E53" i="30"/>
  <c r="F53" i="30"/>
  <c r="N71" i="9"/>
  <c r="N78" i="9" s="1"/>
  <c r="N76" i="9" s="1"/>
  <c r="N57" i="9" s="1"/>
  <c r="N70" i="9"/>
  <c r="B8" i="30"/>
  <c r="D8" i="30"/>
  <c r="E8" i="30" s="1"/>
  <c r="F8" i="30" s="1"/>
  <c r="E253" i="7"/>
  <c r="B13" i="9"/>
  <c r="D31" i="30"/>
  <c r="E31" i="30" s="1"/>
  <c r="F31" i="30" s="1"/>
  <c r="D12" i="11"/>
  <c r="H28" i="9"/>
  <c r="D4" i="11"/>
  <c r="D67" i="11" s="1"/>
  <c r="B34" i="9"/>
  <c r="P37" i="11"/>
  <c r="C105" i="23"/>
  <c r="D218" i="7"/>
  <c r="E218" i="7"/>
  <c r="B151" i="30" s="1"/>
  <c r="C96" i="23"/>
  <c r="D209" i="7" s="1"/>
  <c r="E209" i="7" s="1"/>
  <c r="B142" i="30" s="1"/>
  <c r="C94" i="23"/>
  <c r="D207" i="7"/>
  <c r="E207" i="7"/>
  <c r="B140" i="30" s="1"/>
  <c r="C104" i="23"/>
  <c r="D217" i="7" s="1"/>
  <c r="E217" i="7" s="1"/>
  <c r="B150" i="30" s="1"/>
  <c r="C101" i="23"/>
  <c r="D214" i="7"/>
  <c r="E214" i="7"/>
  <c r="B147" i="30" s="1"/>
  <c r="C99" i="23"/>
  <c r="D212" i="7" s="1"/>
  <c r="E212" i="7" s="1"/>
  <c r="B145" i="30" s="1"/>
  <c r="C100" i="23"/>
  <c r="D213" i="7"/>
  <c r="E213" i="7"/>
  <c r="B146" i="30" s="1"/>
  <c r="C98" i="23"/>
  <c r="D211" i="7" s="1"/>
  <c r="E211" i="7" s="1"/>
  <c r="B144" i="30" s="1"/>
  <c r="C95" i="23"/>
  <c r="D208" i="7"/>
  <c r="E208" i="7"/>
  <c r="B141" i="30" s="1"/>
  <c r="C97" i="23"/>
  <c r="D210" i="7" s="1"/>
  <c r="E210" i="7" s="1"/>
  <c r="B143" i="30" s="1"/>
  <c r="C102" i="23"/>
  <c r="D215" i="7"/>
  <c r="E215" i="7"/>
  <c r="B148" i="30" s="1"/>
  <c r="C103" i="23"/>
  <c r="D216" i="7" s="1"/>
  <c r="E216" i="7" s="1"/>
  <c r="B149" i="30" s="1"/>
  <c r="D5" i="11"/>
  <c r="C37" i="23"/>
  <c r="D150" i="7"/>
  <c r="E150" i="7"/>
  <c r="B83" i="30" s="1"/>
  <c r="C39" i="23"/>
  <c r="D152" i="7" s="1"/>
  <c r="E152" i="7" s="1"/>
  <c r="B85" i="30" s="1"/>
  <c r="C16" i="9"/>
  <c r="D16" i="9"/>
  <c r="E16" i="9"/>
  <c r="N51" i="11"/>
  <c r="N61" i="11" s="1"/>
  <c r="B268" i="7"/>
  <c r="H54" i="25"/>
  <c r="B11" i="25" s="1"/>
  <c r="D10" i="30"/>
  <c r="E10" i="30" s="1"/>
  <c r="F10" i="30" s="1"/>
  <c r="D39" i="30"/>
  <c r="E39" i="30"/>
  <c r="F39" i="30"/>
  <c r="D68" i="11"/>
  <c r="D6" i="11"/>
  <c r="Q37" i="11"/>
  <c r="C20" i="27"/>
  <c r="C31" i="27" s="1"/>
  <c r="C19" i="27"/>
  <c r="C30" i="27"/>
  <c r="C17" i="28"/>
  <c r="C28" i="28" s="1"/>
  <c r="C17" i="27"/>
  <c r="C28" i="27"/>
  <c r="C16" i="27"/>
  <c r="C27" i="27"/>
  <c r="C15" i="27"/>
  <c r="C26" i="27" s="1"/>
  <c r="C25" i="27"/>
  <c r="C15" i="28"/>
  <c r="C26" i="28" s="1"/>
  <c r="C18" i="27"/>
  <c r="C29" i="27"/>
  <c r="E67" i="11"/>
  <c r="B35" i="9"/>
  <c r="F18" i="9"/>
  <c r="C34" i="23"/>
  <c r="D147" i="7" s="1"/>
  <c r="D259" i="7" s="1"/>
  <c r="C38" i="23"/>
  <c r="D151" i="7" s="1"/>
  <c r="E151" i="7" s="1"/>
  <c r="B84" i="30" s="1"/>
  <c r="C45" i="23"/>
  <c r="D158" i="7"/>
  <c r="E158" i="7"/>
  <c r="B91" i="30" s="1"/>
  <c r="I4" i="11"/>
  <c r="I67" i="11" s="1"/>
  <c r="C8" i="25"/>
  <c r="D8" i="25" s="1"/>
  <c r="E8" i="25" s="1"/>
  <c r="F14" i="9"/>
  <c r="P255" i="7"/>
  <c r="Q255" i="7" s="1"/>
  <c r="C69" i="23"/>
  <c r="D182" i="7" s="1"/>
  <c r="E182" i="7" s="1"/>
  <c r="B115" i="30" s="1"/>
  <c r="C64" i="23"/>
  <c r="D177" i="7"/>
  <c r="E177" i="7"/>
  <c r="B110" i="30" s="1"/>
  <c r="C68" i="23"/>
  <c r="D181" i="7" s="1"/>
  <c r="E181" i="7" s="1"/>
  <c r="B114" i="30" s="1"/>
  <c r="C63" i="23"/>
  <c r="D176" i="7"/>
  <c r="E176" i="7"/>
  <c r="B109" i="30" s="1"/>
  <c r="C13" i="9"/>
  <c r="D13" i="9" s="1"/>
  <c r="E13" i="9" s="1"/>
  <c r="F5" i="11"/>
  <c r="C36" i="23"/>
  <c r="D149" i="7"/>
  <c r="E149" i="7"/>
  <c r="B82" i="30" s="1"/>
  <c r="C41" i="23"/>
  <c r="D154" i="7" s="1"/>
  <c r="E154" i="7" s="1"/>
  <c r="B87" i="30" s="1"/>
  <c r="D21" i="30"/>
  <c r="E21" i="30" s="1"/>
  <c r="F21" i="30" s="1"/>
  <c r="D41" i="30"/>
  <c r="E41" i="30"/>
  <c r="F41" i="30"/>
  <c r="C44" i="23"/>
  <c r="D157" i="7" s="1"/>
  <c r="E157" i="7" s="1"/>
  <c r="B90" i="30" s="1"/>
  <c r="C35" i="23"/>
  <c r="D148" i="7" s="1"/>
  <c r="E148" i="7" s="1"/>
  <c r="B81" i="30" s="1"/>
  <c r="H4" i="11"/>
  <c r="H67" i="11" s="1"/>
  <c r="C42" i="23"/>
  <c r="D155" i="7" s="1"/>
  <c r="E155" i="7" s="1"/>
  <c r="B88" i="30" s="1"/>
  <c r="P249" i="7"/>
  <c r="C40" i="23"/>
  <c r="D153" i="7"/>
  <c r="E153" i="7"/>
  <c r="B86" i="30"/>
  <c r="L78" i="9"/>
  <c r="L76" i="9" s="1"/>
  <c r="L57" i="9" s="1"/>
  <c r="F6" i="11"/>
  <c r="F68" i="11"/>
  <c r="E147" i="7"/>
  <c r="E259" i="7" s="1"/>
  <c r="J4" i="11" s="1"/>
  <c r="J67" i="11" s="1"/>
  <c r="B80" i="30"/>
  <c r="B19" i="9"/>
  <c r="B36" i="9" s="1"/>
  <c r="F19" i="9"/>
  <c r="C11" i="25" l="1"/>
  <c r="D11" i="25" s="1"/>
  <c r="E11" i="25" s="1"/>
  <c r="C12" i="25"/>
  <c r="D12" i="25" s="1"/>
  <c r="E12" i="25" s="1"/>
  <c r="D264" i="7"/>
  <c r="N58" i="9"/>
  <c r="N82" i="9" s="1"/>
  <c r="N81" i="9"/>
  <c r="E171" i="7"/>
  <c r="D261" i="7"/>
  <c r="J58" i="9"/>
  <c r="J81" i="9"/>
  <c r="L81" i="9"/>
  <c r="L58" i="9"/>
  <c r="L82" i="9" s="1"/>
  <c r="C18" i="28"/>
  <c r="C29" i="28" s="1"/>
  <c r="G67" i="11"/>
  <c r="C80" i="23"/>
  <c r="D193" i="7" s="1"/>
  <c r="E193" i="7" s="1"/>
  <c r="B126" i="30" s="1"/>
  <c r="C72" i="23"/>
  <c r="D185" i="7" s="1"/>
  <c r="E185" i="7" s="1"/>
  <c r="B118" i="30" s="1"/>
  <c r="C77" i="23"/>
  <c r="D190" i="7" s="1"/>
  <c r="E190" i="7" s="1"/>
  <c r="B123" i="30" s="1"/>
  <c r="C76" i="23"/>
  <c r="D189" i="7" s="1"/>
  <c r="E189" i="7" s="1"/>
  <c r="B122" i="30" s="1"/>
  <c r="C79" i="23"/>
  <c r="D192" i="7" s="1"/>
  <c r="E192" i="7" s="1"/>
  <c r="B125" i="30" s="1"/>
  <c r="C71" i="23"/>
  <c r="D184" i="7" s="1"/>
  <c r="E184" i="7" s="1"/>
  <c r="B117" i="30" s="1"/>
  <c r="C75" i="23"/>
  <c r="D188" i="7" s="1"/>
  <c r="E188" i="7" s="1"/>
  <c r="B121" i="30" s="1"/>
  <c r="C74" i="23"/>
  <c r="D187" i="7" s="1"/>
  <c r="E187" i="7" s="1"/>
  <c r="B120" i="30" s="1"/>
  <c r="C70" i="23"/>
  <c r="D183" i="7" s="1"/>
  <c r="C81" i="23"/>
  <c r="D194" i="7" s="1"/>
  <c r="E194" i="7" s="1"/>
  <c r="B127" i="30" s="1"/>
  <c r="C78" i="23"/>
  <c r="D191" i="7" s="1"/>
  <c r="E191" i="7" s="1"/>
  <c r="B124" i="30" s="1"/>
  <c r="C73" i="23"/>
  <c r="D186" i="7" s="1"/>
  <c r="E186" i="7" s="1"/>
  <c r="B119" i="30" s="1"/>
  <c r="E252" i="7"/>
  <c r="B12" i="9" s="1"/>
  <c r="C19" i="28"/>
  <c r="C30" i="28" s="1"/>
  <c r="E5" i="11"/>
  <c r="C14" i="9"/>
  <c r="D14" i="9" s="1"/>
  <c r="E14" i="9" s="1"/>
  <c r="O12" i="29"/>
  <c r="C16" i="28"/>
  <c r="C27" i="28" s="1"/>
  <c r="O19" i="29"/>
  <c r="C8" i="9"/>
  <c r="D8" i="9" s="1"/>
  <c r="P248" i="7"/>
  <c r="E249" i="7"/>
  <c r="J61" i="11"/>
  <c r="E264" i="7"/>
  <c r="C25" i="28"/>
  <c r="H21" i="17"/>
  <c r="Q47" i="11" s="1"/>
  <c r="P47" i="11"/>
  <c r="D18" i="30"/>
  <c r="E18" i="30" s="1"/>
  <c r="F18" i="30" s="1"/>
  <c r="C20" i="28"/>
  <c r="C31" i="28" s="1"/>
  <c r="D47" i="30"/>
  <c r="E47" i="30" s="1"/>
  <c r="F47" i="30" s="1"/>
  <c r="M78" i="9"/>
  <c r="M76" i="9" s="1"/>
  <c r="M57" i="9" s="1"/>
  <c r="E31" i="25"/>
  <c r="E30" i="25"/>
  <c r="J51" i="25"/>
  <c r="J54" i="25" s="1"/>
  <c r="B13" i="25" s="1"/>
  <c r="C13" i="25" s="1"/>
  <c r="D13" i="25" s="1"/>
  <c r="E13" i="25" s="1"/>
  <c r="F30" i="25"/>
  <c r="D24" i="25"/>
  <c r="P252" i="7"/>
  <c r="C5" i="11"/>
  <c r="C12" i="9"/>
  <c r="D12" i="9" s="1"/>
  <c r="D21" i="17"/>
  <c r="Q27" i="11" s="1"/>
  <c r="P27" i="11"/>
  <c r="D81" i="27"/>
  <c r="F81" i="27" s="1"/>
  <c r="C21" i="17"/>
  <c r="H78" i="9"/>
  <c r="H76" i="9" s="1"/>
  <c r="H57" i="9" s="1"/>
  <c r="J123" i="7"/>
  <c r="O123" i="7" s="1"/>
  <c r="B69" i="25"/>
  <c r="C93" i="23"/>
  <c r="D206" i="7" s="1"/>
  <c r="E206" i="7" s="1"/>
  <c r="B139" i="30" s="1"/>
  <c r="C82" i="23"/>
  <c r="D195" i="7" s="1"/>
  <c r="C84" i="23"/>
  <c r="D197" i="7" s="1"/>
  <c r="E197" i="7" s="1"/>
  <c r="B130" i="30" s="1"/>
  <c r="C92" i="23"/>
  <c r="D205" i="7" s="1"/>
  <c r="E205" i="7" s="1"/>
  <c r="B138" i="30" s="1"/>
  <c r="C85" i="23"/>
  <c r="D198" i="7" s="1"/>
  <c r="E198" i="7" s="1"/>
  <c r="B131" i="30" s="1"/>
  <c r="C86" i="23"/>
  <c r="D199" i="7" s="1"/>
  <c r="E199" i="7" s="1"/>
  <c r="B132" i="30" s="1"/>
  <c r="C91" i="23"/>
  <c r="D204" i="7" s="1"/>
  <c r="E204" i="7" s="1"/>
  <c r="B137" i="30" s="1"/>
  <c r="C87" i="23"/>
  <c r="D200" i="7" s="1"/>
  <c r="E200" i="7" s="1"/>
  <c r="B133" i="30" s="1"/>
  <c r="C7" i="9"/>
  <c r="D7" i="9" s="1"/>
  <c r="P247" i="7"/>
  <c r="O45" i="29"/>
  <c r="F39" i="27"/>
  <c r="E219" i="7"/>
  <c r="E265" i="7" s="1"/>
  <c r="B25" i="9" s="1"/>
  <c r="B42" i="17"/>
  <c r="B40" i="17" s="1"/>
  <c r="B20" i="17" s="1"/>
  <c r="E24" i="29"/>
  <c r="H52" i="29"/>
  <c r="H54" i="29" s="1"/>
  <c r="D31" i="23"/>
  <c r="I65" i="9"/>
  <c r="I78" i="9" s="1"/>
  <c r="I76" i="9" s="1"/>
  <c r="I57" i="9" s="1"/>
  <c r="D40" i="18"/>
  <c r="F52" i="29"/>
  <c r="T57" i="26"/>
  <c r="T59" i="26" s="1"/>
  <c r="T60" i="26" s="1"/>
  <c r="O61" i="29"/>
  <c r="D32" i="25"/>
  <c r="D24" i="30"/>
  <c r="E24" i="30" s="1"/>
  <c r="F24" i="30" s="1"/>
  <c r="D23" i="25"/>
  <c r="E41" i="18"/>
  <c r="K51" i="11"/>
  <c r="K61" i="11" s="1"/>
  <c r="F54" i="29" l="1"/>
  <c r="O54" i="29" s="1"/>
  <c r="O52" i="29"/>
  <c r="J89" i="9"/>
  <c r="K51" i="25"/>
  <c r="E24" i="25"/>
  <c r="E26" i="25" s="1"/>
  <c r="E32" i="25"/>
  <c r="E183" i="7"/>
  <c r="D262" i="7"/>
  <c r="J82" i="9"/>
  <c r="D26" i="25"/>
  <c r="F26" i="25" s="1"/>
  <c r="F23" i="25"/>
  <c r="I81" i="9"/>
  <c r="I58" i="9"/>
  <c r="I82" i="9" s="1"/>
  <c r="E195" i="7"/>
  <c r="D263" i="7"/>
  <c r="F31" i="25"/>
  <c r="E25" i="25"/>
  <c r="F25" i="25" s="1"/>
  <c r="K52" i="25"/>
  <c r="O4" i="11"/>
  <c r="B24" i="9"/>
  <c r="M81" i="9"/>
  <c r="M58" i="9"/>
  <c r="M82" i="9" s="1"/>
  <c r="E68" i="11"/>
  <c r="E6" i="11"/>
  <c r="C52" i="23"/>
  <c r="D165" i="7" s="1"/>
  <c r="E165" i="7" s="1"/>
  <c r="B98" i="30" s="1"/>
  <c r="C49" i="23"/>
  <c r="D162" i="7" s="1"/>
  <c r="E162" i="7" s="1"/>
  <c r="B95" i="30" s="1"/>
  <c r="C46" i="23"/>
  <c r="D159" i="7" s="1"/>
  <c r="C55" i="23"/>
  <c r="D168" i="7" s="1"/>
  <c r="E168" i="7" s="1"/>
  <c r="B101" i="30" s="1"/>
  <c r="C48" i="23"/>
  <c r="D161" i="7" s="1"/>
  <c r="E161" i="7" s="1"/>
  <c r="B94" i="30" s="1"/>
  <c r="C54" i="23"/>
  <c r="D167" i="7" s="1"/>
  <c r="E167" i="7" s="1"/>
  <c r="B100" i="30" s="1"/>
  <c r="C47" i="23"/>
  <c r="D160" i="7" s="1"/>
  <c r="E160" i="7" s="1"/>
  <c r="B93" i="30" s="1"/>
  <c r="C57" i="23"/>
  <c r="D170" i="7" s="1"/>
  <c r="E170" i="7" s="1"/>
  <c r="B103" i="30" s="1"/>
  <c r="C50" i="23"/>
  <c r="D163" i="7" s="1"/>
  <c r="E163" i="7" s="1"/>
  <c r="B96" i="30" s="1"/>
  <c r="C56" i="23"/>
  <c r="D169" i="7" s="1"/>
  <c r="E169" i="7" s="1"/>
  <c r="B102" i="30" s="1"/>
  <c r="C53" i="23"/>
  <c r="D166" i="7" s="1"/>
  <c r="E166" i="7" s="1"/>
  <c r="B99" i="30" s="1"/>
  <c r="C51" i="23"/>
  <c r="D164" i="7" s="1"/>
  <c r="E164" i="7" s="1"/>
  <c r="B97" i="30" s="1"/>
  <c r="B70" i="25"/>
  <c r="J124" i="7"/>
  <c r="O124" i="7" s="1"/>
  <c r="C57" i="30" s="1"/>
  <c r="D57" i="30" s="1"/>
  <c r="E57" i="30" s="1"/>
  <c r="F57" i="30" s="1"/>
  <c r="B9" i="9"/>
  <c r="D9" i="9" s="1"/>
  <c r="E26" i="29"/>
  <c r="O24" i="29"/>
  <c r="C56" i="30"/>
  <c r="D56" i="30" s="1"/>
  <c r="E56" i="30" s="1"/>
  <c r="F56" i="30" s="1"/>
  <c r="L90" i="9"/>
  <c r="E261" i="7"/>
  <c r="B104" i="30"/>
  <c r="H81" i="9"/>
  <c r="H58" i="9"/>
  <c r="F24" i="25"/>
  <c r="L89" i="9"/>
  <c r="N89" i="9"/>
  <c r="P19" i="11"/>
  <c r="P51" i="11" s="1"/>
  <c r="I20" i="17"/>
  <c r="P56" i="11" s="1"/>
  <c r="B21" i="17"/>
  <c r="D80" i="27"/>
  <c r="D81" i="28"/>
  <c r="F81" i="28" s="1"/>
  <c r="Q23" i="11"/>
  <c r="N90" i="9"/>
  <c r="B21" i="9" l="1"/>
  <c r="L4" i="11"/>
  <c r="L67" i="11" s="1"/>
  <c r="M89" i="9"/>
  <c r="O26" i="29"/>
  <c r="E159" i="7"/>
  <c r="D260" i="7"/>
  <c r="D268" i="7" s="1"/>
  <c r="B128" i="30"/>
  <c r="E263" i="7"/>
  <c r="D82" i="27"/>
  <c r="F80" i="27"/>
  <c r="F82" i="27" s="1"/>
  <c r="B88" i="27" s="1"/>
  <c r="I90" i="9"/>
  <c r="B116" i="30"/>
  <c r="E262" i="7"/>
  <c r="D80" i="28"/>
  <c r="Q19" i="11"/>
  <c r="Q51" i="11" s="1"/>
  <c r="Q61" i="11" s="1"/>
  <c r="I21" i="17"/>
  <c r="Q56" i="11" s="1"/>
  <c r="F24" i="9"/>
  <c r="I89" i="9"/>
  <c r="O67" i="11"/>
  <c r="O10" i="11"/>
  <c r="H82" i="9"/>
  <c r="D60" i="25"/>
  <c r="D61" i="25" s="1"/>
  <c r="G96" i="9" s="1"/>
  <c r="L52" i="25"/>
  <c r="D64" i="25" s="1"/>
  <c r="D66" i="25" s="1"/>
  <c r="G97" i="9" s="1"/>
  <c r="P61" i="11"/>
  <c r="H89" i="9"/>
  <c r="G81" i="9"/>
  <c r="O81" i="9"/>
  <c r="B71" i="25"/>
  <c r="J125" i="7"/>
  <c r="O125" i="7" s="1"/>
  <c r="K54" i="25"/>
  <c r="B14" i="25" s="1"/>
  <c r="C14" i="25" s="1"/>
  <c r="D14" i="25" s="1"/>
  <c r="E14" i="25" s="1"/>
  <c r="L51" i="25"/>
  <c r="L54" i="25" s="1"/>
  <c r="B15" i="25" s="1"/>
  <c r="C15" i="25" s="1"/>
  <c r="D15" i="25" s="1"/>
  <c r="E15" i="25" s="1"/>
  <c r="M90" i="9"/>
  <c r="J90" i="9"/>
  <c r="H97" i="9" l="1"/>
  <c r="J97" i="9"/>
  <c r="J108" i="9" s="1"/>
  <c r="I97" i="9"/>
  <c r="I108" i="9" s="1"/>
  <c r="B72" i="25"/>
  <c r="J126" i="7"/>
  <c r="O126" i="7" s="1"/>
  <c r="C59" i="30" s="1"/>
  <c r="D59" i="30" s="1"/>
  <c r="E59" i="30" s="1"/>
  <c r="F59" i="30" s="1"/>
  <c r="H96" i="9"/>
  <c r="J96" i="9"/>
  <c r="J107" i="9" s="1"/>
  <c r="I96" i="9"/>
  <c r="I107" i="9" s="1"/>
  <c r="N4" i="11"/>
  <c r="N67" i="11" s="1"/>
  <c r="B23" i="9"/>
  <c r="C58" i="30"/>
  <c r="D58" i="30" s="1"/>
  <c r="E58" i="30" s="1"/>
  <c r="F58" i="30" s="1"/>
  <c r="G82" i="9"/>
  <c r="H90" i="9"/>
  <c r="O82" i="9"/>
  <c r="O89" i="9"/>
  <c r="B92" i="30"/>
  <c r="E260" i="7"/>
  <c r="F80" i="28"/>
  <c r="F82" i="28" s="1"/>
  <c r="B88" i="28" s="1"/>
  <c r="D82" i="28"/>
  <c r="F21" i="9"/>
  <c r="B22" i="9"/>
  <c r="M4" i="11"/>
  <c r="M67" i="11" s="1"/>
  <c r="B20" i="9" l="1"/>
  <c r="K4" i="11"/>
  <c r="K67" i="11" s="1"/>
  <c r="E268" i="7"/>
  <c r="F153" i="30"/>
  <c r="O90" i="9"/>
  <c r="H107" i="9"/>
  <c r="O96" i="9"/>
  <c r="B73" i="25"/>
  <c r="J127" i="7"/>
  <c r="O127" i="7" s="1"/>
  <c r="F23" i="9"/>
  <c r="B40" i="9"/>
  <c r="B41" i="9"/>
  <c r="F22" i="9"/>
  <c r="B39" i="9"/>
  <c r="H108" i="9"/>
  <c r="O97" i="9"/>
  <c r="C60" i="30" l="1"/>
  <c r="D60" i="30" s="1"/>
  <c r="E60" i="30" s="1"/>
  <c r="F60" i="30" s="1"/>
  <c r="B74" i="25"/>
  <c r="J128" i="7"/>
  <c r="O128" i="7" s="1"/>
  <c r="C61" i="30" s="1"/>
  <c r="D61" i="30" s="1"/>
  <c r="E61" i="30" s="1"/>
  <c r="F61" i="30" s="1"/>
  <c r="B37" i="9"/>
  <c r="F20" i="9"/>
  <c r="F29" i="9" s="1"/>
  <c r="B38" i="9"/>
  <c r="B75" i="25" l="1"/>
  <c r="J129" i="7"/>
  <c r="O129" i="7" s="1"/>
  <c r="C62" i="30" l="1"/>
  <c r="D62" i="30" s="1"/>
  <c r="E62" i="30" s="1"/>
  <c r="F62" i="30" s="1"/>
  <c r="J130" i="7"/>
  <c r="O130" i="7" s="1"/>
  <c r="B76" i="25"/>
  <c r="C63" i="30" l="1"/>
  <c r="D63" i="30" s="1"/>
  <c r="E63" i="30" s="1"/>
  <c r="F63" i="30" s="1"/>
  <c r="B77" i="25"/>
  <c r="J131" i="7"/>
  <c r="O131" i="7" s="1"/>
  <c r="C64" i="30" s="1"/>
  <c r="D64" i="30" s="1"/>
  <c r="E64" i="30" s="1"/>
  <c r="F64" i="30" s="1"/>
  <c r="B78" i="25" l="1"/>
  <c r="J132" i="7"/>
  <c r="O132" i="7" s="1"/>
  <c r="C65" i="30" s="1"/>
  <c r="D65" i="30" s="1"/>
  <c r="E65" i="30" s="1"/>
  <c r="F65" i="30" s="1"/>
  <c r="B79" i="25" l="1"/>
  <c r="J133" i="7"/>
  <c r="O133" i="7" s="1"/>
  <c r="C66" i="30" s="1"/>
  <c r="D66" i="30" s="1"/>
  <c r="E66" i="30" s="1"/>
  <c r="F66" i="30" s="1"/>
  <c r="J134" i="7" l="1"/>
  <c r="O134" i="7" s="1"/>
  <c r="B80" i="25"/>
  <c r="J135" i="7" l="1"/>
  <c r="O135" i="7" s="1"/>
  <c r="B81" i="25"/>
  <c r="C67" i="30"/>
  <c r="D67" i="30" s="1"/>
  <c r="E67" i="30" s="1"/>
  <c r="F67" i="30" s="1"/>
  <c r="O257" i="7"/>
  <c r="P257" i="7" l="1"/>
  <c r="Q257" i="7" s="1"/>
  <c r="H5" i="11"/>
  <c r="C17" i="9"/>
  <c r="D17" i="9" s="1"/>
  <c r="E17" i="9" s="1"/>
  <c r="J136" i="7"/>
  <c r="O136" i="7" s="1"/>
  <c r="C69" i="30" s="1"/>
  <c r="D69" i="30" s="1"/>
  <c r="E69" i="30" s="1"/>
  <c r="F69" i="30" s="1"/>
  <c r="B82" i="25"/>
  <c r="C68" i="30"/>
  <c r="D68" i="30" s="1"/>
  <c r="E68" i="30" s="1"/>
  <c r="F68" i="30" s="1"/>
  <c r="J137" i="7" l="1"/>
  <c r="O137" i="7" s="1"/>
  <c r="C70" i="30" s="1"/>
  <c r="D70" i="30" s="1"/>
  <c r="E70" i="30" s="1"/>
  <c r="F70" i="30" s="1"/>
  <c r="B83" i="25"/>
  <c r="H6" i="11"/>
  <c r="H68" i="11"/>
  <c r="B84" i="25" l="1"/>
  <c r="J138" i="7"/>
  <c r="O138" i="7" s="1"/>
  <c r="C71" i="30" s="1"/>
  <c r="D71" i="30" s="1"/>
  <c r="E71" i="30" s="1"/>
  <c r="F71" i="30" s="1"/>
  <c r="J139" i="7" l="1"/>
  <c r="O139" i="7" s="1"/>
  <c r="C72" i="30" s="1"/>
  <c r="D72" i="30" s="1"/>
  <c r="E72" i="30" s="1"/>
  <c r="F72" i="30" s="1"/>
  <c r="B85" i="25"/>
  <c r="B86" i="25" l="1"/>
  <c r="J140" i="7"/>
  <c r="O140" i="7" s="1"/>
  <c r="C73" i="30" s="1"/>
  <c r="D73" i="30" s="1"/>
  <c r="E73" i="30" s="1"/>
  <c r="F73" i="30" s="1"/>
  <c r="B87" i="25" l="1"/>
  <c r="J141" i="7"/>
  <c r="O141" i="7" s="1"/>
  <c r="C74" i="30" s="1"/>
  <c r="D74" i="30" s="1"/>
  <c r="E74" i="30" s="1"/>
  <c r="F74" i="30" s="1"/>
  <c r="J142" i="7" l="1"/>
  <c r="O142" i="7" s="1"/>
  <c r="C75" i="30" s="1"/>
  <c r="D75" i="30" s="1"/>
  <c r="E75" i="30" s="1"/>
  <c r="F75" i="30" s="1"/>
  <c r="B88" i="25"/>
  <c r="B89" i="25" l="1"/>
  <c r="J143" i="7"/>
  <c r="O143" i="7" s="1"/>
  <c r="C76" i="30" s="1"/>
  <c r="D76" i="30" s="1"/>
  <c r="E76" i="30" s="1"/>
  <c r="F76" i="30" s="1"/>
  <c r="B90" i="25" l="1"/>
  <c r="J144" i="7"/>
  <c r="O144" i="7" s="1"/>
  <c r="C77" i="30" s="1"/>
  <c r="D77" i="30" s="1"/>
  <c r="E77" i="30" s="1"/>
  <c r="F77" i="30" s="1"/>
  <c r="J145" i="7" l="1"/>
  <c r="O145" i="7" s="1"/>
  <c r="C78" i="30" s="1"/>
  <c r="D78" i="30" s="1"/>
  <c r="E78" i="30" s="1"/>
  <c r="F78" i="30" s="1"/>
  <c r="B91" i="25"/>
  <c r="E68" i="25" l="1"/>
  <c r="J146" i="7"/>
  <c r="O146" i="7" s="1"/>
  <c r="C79" i="30" l="1"/>
  <c r="D79" i="30" s="1"/>
  <c r="E79" i="30" s="1"/>
  <c r="F79" i="30" s="1"/>
  <c r="O258" i="7"/>
  <c r="E69" i="25"/>
  <c r="J147" i="7"/>
  <c r="O147" i="7" s="1"/>
  <c r="C80" i="30" l="1"/>
  <c r="D80" i="30" s="1"/>
  <c r="E80" i="30" s="1"/>
  <c r="F80" i="30" s="1"/>
  <c r="J148" i="7"/>
  <c r="O148" i="7" s="1"/>
  <c r="C81" i="30" s="1"/>
  <c r="D81" i="30" s="1"/>
  <c r="E81" i="30" s="1"/>
  <c r="F81" i="30" s="1"/>
  <c r="E70" i="25"/>
  <c r="P258" i="7"/>
  <c r="Q258" i="7" s="1"/>
  <c r="I5" i="11"/>
  <c r="C18" i="9"/>
  <c r="D18" i="9" s="1"/>
  <c r="E18" i="9" s="1"/>
  <c r="I6" i="11" l="1"/>
  <c r="I68" i="11"/>
  <c r="E71" i="25"/>
  <c r="J149" i="7"/>
  <c r="O149" i="7" s="1"/>
  <c r="C82" i="30" s="1"/>
  <c r="D82" i="30" s="1"/>
  <c r="E82" i="30" s="1"/>
  <c r="F82" i="30" s="1"/>
  <c r="E72" i="25" l="1"/>
  <c r="J150" i="7"/>
  <c r="O150" i="7" s="1"/>
  <c r="C83" i="30" s="1"/>
  <c r="D83" i="30" s="1"/>
  <c r="E83" i="30" s="1"/>
  <c r="F83" i="30" s="1"/>
  <c r="E73" i="25" l="1"/>
  <c r="J151" i="7"/>
  <c r="O151" i="7" s="1"/>
  <c r="C84" i="30" s="1"/>
  <c r="D84" i="30" s="1"/>
  <c r="E84" i="30" s="1"/>
  <c r="F84" i="30" s="1"/>
  <c r="J152" i="7" l="1"/>
  <c r="O152" i="7" s="1"/>
  <c r="C85" i="30" s="1"/>
  <c r="D85" i="30" s="1"/>
  <c r="E85" i="30" s="1"/>
  <c r="F85" i="30" s="1"/>
  <c r="E74" i="25"/>
  <c r="E75" i="25" l="1"/>
  <c r="J153" i="7"/>
  <c r="O153" i="7" s="1"/>
  <c r="C86" i="30" s="1"/>
  <c r="D86" i="30" s="1"/>
  <c r="E86" i="30" s="1"/>
  <c r="F86" i="30" s="1"/>
  <c r="J154" i="7" l="1"/>
  <c r="O154" i="7" s="1"/>
  <c r="C87" i="30" s="1"/>
  <c r="D87" i="30" s="1"/>
  <c r="E87" i="30" s="1"/>
  <c r="F87" i="30" s="1"/>
  <c r="E76" i="25"/>
  <c r="E77" i="25" l="1"/>
  <c r="J155" i="7"/>
  <c r="O155" i="7" s="1"/>
  <c r="C88" i="30" s="1"/>
  <c r="D88" i="30" s="1"/>
  <c r="E88" i="30" s="1"/>
  <c r="F88" i="30" s="1"/>
  <c r="J156" i="7" l="1"/>
  <c r="O156" i="7" s="1"/>
  <c r="C89" i="30" s="1"/>
  <c r="D89" i="30" s="1"/>
  <c r="E89" i="30" s="1"/>
  <c r="F89" i="30" s="1"/>
  <c r="E78" i="25"/>
  <c r="E79" i="25" l="1"/>
  <c r="J157" i="7"/>
  <c r="O157" i="7" s="1"/>
  <c r="C90" i="30" s="1"/>
  <c r="D90" i="30" s="1"/>
  <c r="E90" i="30" s="1"/>
  <c r="F90" i="30" s="1"/>
  <c r="E80" i="25" l="1"/>
  <c r="J158" i="7"/>
  <c r="O158" i="7" s="1"/>
  <c r="E81" i="25" l="1"/>
  <c r="J159" i="7"/>
  <c r="O159" i="7" s="1"/>
  <c r="C91" i="30"/>
  <c r="D91" i="30" s="1"/>
  <c r="E91" i="30" s="1"/>
  <c r="F91" i="30" s="1"/>
  <c r="O259" i="7"/>
  <c r="E82" i="25" l="1"/>
  <c r="J160" i="7"/>
  <c r="O160" i="7" s="1"/>
  <c r="C93" i="30" s="1"/>
  <c r="D93" i="30" s="1"/>
  <c r="E93" i="30" s="1"/>
  <c r="F93" i="30" s="1"/>
  <c r="C92" i="30"/>
  <c r="D92" i="30" s="1"/>
  <c r="E92" i="30" s="1"/>
  <c r="F92" i="30" s="1"/>
  <c r="C19" i="9"/>
  <c r="D19" i="9" s="1"/>
  <c r="E19" i="9" s="1"/>
  <c r="J5" i="11"/>
  <c r="P259" i="7"/>
  <c r="Q259" i="7" s="1"/>
  <c r="J6" i="11" l="1"/>
  <c r="J68" i="11"/>
  <c r="E83" i="25"/>
  <c r="J161" i="7"/>
  <c r="O161" i="7" s="1"/>
  <c r="E84" i="25" l="1"/>
  <c r="J162" i="7"/>
  <c r="O162" i="7" s="1"/>
  <c r="C95" i="30" s="1"/>
  <c r="D95" i="30" s="1"/>
  <c r="E95" i="30" s="1"/>
  <c r="F95" i="30" s="1"/>
  <c r="C94" i="30"/>
  <c r="D94" i="30" s="1"/>
  <c r="E94" i="30" s="1"/>
  <c r="F94" i="30" s="1"/>
  <c r="E85" i="25" l="1"/>
  <c r="J163" i="7"/>
  <c r="O163" i="7" s="1"/>
  <c r="C96" i="30" s="1"/>
  <c r="D96" i="30" s="1"/>
  <c r="E96" i="30" s="1"/>
  <c r="F96" i="30" s="1"/>
  <c r="E86" i="25" l="1"/>
  <c r="J164" i="7"/>
  <c r="O164" i="7" s="1"/>
  <c r="C97" i="30" s="1"/>
  <c r="D97" i="30" s="1"/>
  <c r="E97" i="30" s="1"/>
  <c r="F97" i="30" s="1"/>
  <c r="E87" i="25" l="1"/>
  <c r="J165" i="7"/>
  <c r="O165" i="7" s="1"/>
  <c r="C98" i="30" s="1"/>
  <c r="D98" i="30" s="1"/>
  <c r="E98" i="30" s="1"/>
  <c r="F98" i="30" s="1"/>
  <c r="J166" i="7" l="1"/>
  <c r="O166" i="7" s="1"/>
  <c r="C99" i="30" s="1"/>
  <c r="D99" i="30" s="1"/>
  <c r="E99" i="30" s="1"/>
  <c r="F99" i="30" s="1"/>
  <c r="E88" i="25"/>
  <c r="E89" i="25" l="1"/>
  <c r="J167" i="7"/>
  <c r="O167" i="7" s="1"/>
  <c r="C100" i="30" s="1"/>
  <c r="D100" i="30" s="1"/>
  <c r="E100" i="30" s="1"/>
  <c r="F100" i="30" s="1"/>
  <c r="E90" i="25" l="1"/>
  <c r="J168" i="7"/>
  <c r="O168" i="7" s="1"/>
  <c r="C101" i="30" s="1"/>
  <c r="D101" i="30" s="1"/>
  <c r="E101" i="30" s="1"/>
  <c r="F101" i="30" s="1"/>
  <c r="E91" i="25" l="1"/>
  <c r="J169" i="7"/>
  <c r="O169" i="7" s="1"/>
  <c r="C102" i="30" s="1"/>
  <c r="D102" i="30" s="1"/>
  <c r="E102" i="30" s="1"/>
  <c r="F102" i="30" s="1"/>
  <c r="H68" i="25" l="1"/>
  <c r="J170" i="7"/>
  <c r="O170" i="7" s="1"/>
  <c r="C103" i="30" l="1"/>
  <c r="D103" i="30" s="1"/>
  <c r="E103" i="30" s="1"/>
  <c r="F103" i="30" s="1"/>
  <c r="O260" i="7"/>
  <c r="H69" i="25"/>
  <c r="J171" i="7"/>
  <c r="O171" i="7" s="1"/>
  <c r="H70" i="25" l="1"/>
  <c r="J172" i="7"/>
  <c r="O172" i="7" s="1"/>
  <c r="C105" i="30" s="1"/>
  <c r="D105" i="30" s="1"/>
  <c r="E105" i="30" s="1"/>
  <c r="F105" i="30" s="1"/>
  <c r="C104" i="30"/>
  <c r="D104" i="30" s="1"/>
  <c r="E104" i="30" s="1"/>
  <c r="F104" i="30" s="1"/>
  <c r="P260" i="7"/>
  <c r="Q260" i="7" s="1"/>
  <c r="C20" i="9"/>
  <c r="D20" i="9" s="1"/>
  <c r="E20" i="9" s="1"/>
  <c r="K5" i="11"/>
  <c r="K6" i="11" l="1"/>
  <c r="K68" i="11"/>
  <c r="J173" i="7"/>
  <c r="O173" i="7" s="1"/>
  <c r="H71" i="25"/>
  <c r="C106" i="30" l="1"/>
  <c r="D106" i="30" s="1"/>
  <c r="E106" i="30" s="1"/>
  <c r="F106" i="30" s="1"/>
  <c r="H72" i="25"/>
  <c r="J174" i="7"/>
  <c r="O174" i="7" s="1"/>
  <c r="C107" i="30" s="1"/>
  <c r="D107" i="30" s="1"/>
  <c r="E107" i="30" s="1"/>
  <c r="F107" i="30" s="1"/>
  <c r="J175" i="7" l="1"/>
  <c r="O175" i="7" s="1"/>
  <c r="C108" i="30" s="1"/>
  <c r="D108" i="30" s="1"/>
  <c r="E108" i="30" s="1"/>
  <c r="F108" i="30" s="1"/>
  <c r="H73" i="25"/>
  <c r="H74" i="25" l="1"/>
  <c r="J176" i="7"/>
  <c r="O176" i="7" s="1"/>
  <c r="C109" i="30" s="1"/>
  <c r="D109" i="30" s="1"/>
  <c r="E109" i="30" s="1"/>
  <c r="F109" i="30" s="1"/>
  <c r="H75" i="25" l="1"/>
  <c r="J177" i="7"/>
  <c r="O177" i="7" s="1"/>
  <c r="C110" i="30" s="1"/>
  <c r="D110" i="30" s="1"/>
  <c r="E110" i="30" s="1"/>
  <c r="F110" i="30" s="1"/>
  <c r="H76" i="25" l="1"/>
  <c r="J178" i="7"/>
  <c r="O178" i="7" s="1"/>
  <c r="C111" i="30" s="1"/>
  <c r="D111" i="30" s="1"/>
  <c r="E111" i="30" s="1"/>
  <c r="F111" i="30" s="1"/>
  <c r="H77" i="25" l="1"/>
  <c r="J179" i="7"/>
  <c r="O179" i="7" s="1"/>
  <c r="C112" i="30" s="1"/>
  <c r="D112" i="30" s="1"/>
  <c r="E112" i="30" s="1"/>
  <c r="F112" i="30" s="1"/>
  <c r="H78" i="25" l="1"/>
  <c r="J180" i="7"/>
  <c r="O180" i="7" s="1"/>
  <c r="C113" i="30" s="1"/>
  <c r="D113" i="30" s="1"/>
  <c r="E113" i="30" s="1"/>
  <c r="F113" i="30" s="1"/>
  <c r="J181" i="7" l="1"/>
  <c r="O181" i="7" s="1"/>
  <c r="C114" i="30" s="1"/>
  <c r="D114" i="30" s="1"/>
  <c r="E114" i="30" s="1"/>
  <c r="F114" i="30" s="1"/>
  <c r="H79" i="25"/>
  <c r="H80" i="25" l="1"/>
  <c r="J182" i="7"/>
  <c r="O182" i="7" s="1"/>
  <c r="C115" i="30" l="1"/>
  <c r="D115" i="30" s="1"/>
  <c r="E115" i="30" s="1"/>
  <c r="F115" i="30" s="1"/>
  <c r="O261" i="7"/>
  <c r="J183" i="7"/>
  <c r="O183" i="7" s="1"/>
  <c r="H81" i="25"/>
  <c r="C116" i="30" l="1"/>
  <c r="D116" i="30" s="1"/>
  <c r="E116" i="30" s="1"/>
  <c r="F116" i="30" s="1"/>
  <c r="H82" i="25"/>
  <c r="J184" i="7"/>
  <c r="O184" i="7" s="1"/>
  <c r="C117" i="30" s="1"/>
  <c r="D117" i="30" s="1"/>
  <c r="E117" i="30" s="1"/>
  <c r="F117" i="30" s="1"/>
  <c r="P261" i="7"/>
  <c r="Q261" i="7" s="1"/>
  <c r="L5" i="11"/>
  <c r="C21" i="9"/>
  <c r="D21" i="9" s="1"/>
  <c r="E21" i="9" s="1"/>
  <c r="H83" i="25" l="1"/>
  <c r="J185" i="7"/>
  <c r="O185" i="7" s="1"/>
  <c r="C118" i="30" s="1"/>
  <c r="D118" i="30" s="1"/>
  <c r="E118" i="30" s="1"/>
  <c r="F118" i="30" s="1"/>
  <c r="L68" i="11"/>
  <c r="L6" i="11"/>
  <c r="H84" i="25" l="1"/>
  <c r="J186" i="7"/>
  <c r="O186" i="7" s="1"/>
  <c r="C119" i="30" s="1"/>
  <c r="D119" i="30" s="1"/>
  <c r="E119" i="30" s="1"/>
  <c r="F119" i="30" s="1"/>
  <c r="H85" i="25" l="1"/>
  <c r="J187" i="7"/>
  <c r="O187" i="7" s="1"/>
  <c r="C120" i="30" s="1"/>
  <c r="D120" i="30" s="1"/>
  <c r="E120" i="30" s="1"/>
  <c r="F120" i="30" s="1"/>
  <c r="H86" i="25" l="1"/>
  <c r="J188" i="7"/>
  <c r="O188" i="7" s="1"/>
  <c r="C121" i="30" s="1"/>
  <c r="D121" i="30" s="1"/>
  <c r="E121" i="30" s="1"/>
  <c r="F121" i="30" s="1"/>
  <c r="H87" i="25" l="1"/>
  <c r="J189" i="7"/>
  <c r="O189" i="7" s="1"/>
  <c r="C122" i="30" s="1"/>
  <c r="D122" i="30" s="1"/>
  <c r="E122" i="30" s="1"/>
  <c r="F122" i="30" s="1"/>
  <c r="J190" i="7" l="1"/>
  <c r="O190" i="7" s="1"/>
  <c r="C123" i="30" s="1"/>
  <c r="D123" i="30" s="1"/>
  <c r="E123" i="30" s="1"/>
  <c r="F123" i="30" s="1"/>
  <c r="H88" i="25"/>
  <c r="H89" i="25" l="1"/>
  <c r="J191" i="7"/>
  <c r="O191" i="7" s="1"/>
  <c r="C124" i="30" s="1"/>
  <c r="D124" i="30" s="1"/>
  <c r="E124" i="30" s="1"/>
  <c r="F124" i="30" s="1"/>
  <c r="J192" i="7" l="1"/>
  <c r="O192" i="7" s="1"/>
  <c r="C125" i="30" s="1"/>
  <c r="D125" i="30" s="1"/>
  <c r="E125" i="30" s="1"/>
  <c r="F125" i="30" s="1"/>
  <c r="H90" i="25"/>
  <c r="H91" i="25" l="1"/>
  <c r="J193" i="7"/>
  <c r="O193" i="7" s="1"/>
  <c r="C126" i="30" s="1"/>
  <c r="D126" i="30" s="1"/>
  <c r="E126" i="30" s="1"/>
  <c r="F126" i="30" s="1"/>
  <c r="K68" i="25" l="1"/>
  <c r="J194" i="7"/>
  <c r="O194" i="7" s="1"/>
  <c r="C127" i="30" l="1"/>
  <c r="D127" i="30" s="1"/>
  <c r="E127" i="30" s="1"/>
  <c r="F127" i="30" s="1"/>
  <c r="O262" i="7"/>
  <c r="K69" i="25"/>
  <c r="J195" i="7"/>
  <c r="O195" i="7" s="1"/>
  <c r="K70" i="25" l="1"/>
  <c r="J196" i="7"/>
  <c r="O196" i="7" s="1"/>
  <c r="C129" i="30" s="1"/>
  <c r="D129" i="30" s="1"/>
  <c r="E129" i="30" s="1"/>
  <c r="F129" i="30" s="1"/>
  <c r="C128" i="30"/>
  <c r="D128" i="30" s="1"/>
  <c r="E128" i="30" s="1"/>
  <c r="F128" i="30" s="1"/>
  <c r="P262" i="7"/>
  <c r="Q262" i="7" s="1"/>
  <c r="M5" i="11"/>
  <c r="C22" i="9"/>
  <c r="D22" i="9" s="1"/>
  <c r="E22" i="9" s="1"/>
  <c r="K71" i="25" l="1"/>
  <c r="J197" i="7"/>
  <c r="O197" i="7" s="1"/>
  <c r="C130" i="30" s="1"/>
  <c r="D130" i="30" s="1"/>
  <c r="E130" i="30" s="1"/>
  <c r="F130" i="30" s="1"/>
  <c r="M68" i="11"/>
  <c r="M6" i="11"/>
  <c r="K72" i="25" l="1"/>
  <c r="J198" i="7"/>
  <c r="O198" i="7" s="1"/>
  <c r="C131" i="30" s="1"/>
  <c r="D131" i="30" s="1"/>
  <c r="E131" i="30" s="1"/>
  <c r="F131" i="30" s="1"/>
  <c r="J199" i="7" l="1"/>
  <c r="O199" i="7" s="1"/>
  <c r="C132" i="30" s="1"/>
  <c r="D132" i="30" s="1"/>
  <c r="E132" i="30" s="1"/>
  <c r="F132" i="30" s="1"/>
  <c r="K73" i="25"/>
  <c r="K74" i="25" l="1"/>
  <c r="J200" i="7"/>
  <c r="O200" i="7" s="1"/>
  <c r="C133" i="30" s="1"/>
  <c r="D133" i="30" s="1"/>
  <c r="E133" i="30" s="1"/>
  <c r="F133" i="30" s="1"/>
  <c r="K75" i="25" l="1"/>
  <c r="J201" i="7"/>
  <c r="O201" i="7" s="1"/>
  <c r="C134" i="30" s="1"/>
  <c r="D134" i="30" s="1"/>
  <c r="E134" i="30" s="1"/>
  <c r="F134" i="30" s="1"/>
  <c r="K76" i="25" l="1"/>
  <c r="J202" i="7"/>
  <c r="O202" i="7" s="1"/>
  <c r="C135" i="30" s="1"/>
  <c r="D135" i="30" s="1"/>
  <c r="E135" i="30" s="1"/>
  <c r="F135" i="30" s="1"/>
  <c r="K77" i="25" l="1"/>
  <c r="J203" i="7"/>
  <c r="O203" i="7" s="1"/>
  <c r="C136" i="30" s="1"/>
  <c r="D136" i="30" s="1"/>
  <c r="E136" i="30" s="1"/>
  <c r="F136" i="30" s="1"/>
  <c r="K78" i="25" l="1"/>
  <c r="J204" i="7"/>
  <c r="O204" i="7" s="1"/>
  <c r="C137" i="30" s="1"/>
  <c r="D137" i="30" s="1"/>
  <c r="E137" i="30" s="1"/>
  <c r="F137" i="30" s="1"/>
  <c r="K79" i="25" l="1"/>
  <c r="J205" i="7"/>
  <c r="O205" i="7" s="1"/>
  <c r="C138" i="30" s="1"/>
  <c r="D138" i="30" s="1"/>
  <c r="E138" i="30" s="1"/>
  <c r="F138" i="30" s="1"/>
  <c r="K80" i="25" l="1"/>
  <c r="J206" i="7"/>
  <c r="O206" i="7" s="1"/>
  <c r="C139" i="30" l="1"/>
  <c r="D139" i="30" s="1"/>
  <c r="E139" i="30" s="1"/>
  <c r="F139" i="30" s="1"/>
  <c r="O263" i="7"/>
  <c r="J207" i="7"/>
  <c r="O207" i="7" s="1"/>
  <c r="K81" i="25"/>
  <c r="C140" i="30" l="1"/>
  <c r="D140" i="30" s="1"/>
  <c r="E140" i="30" s="1"/>
  <c r="F140" i="30" s="1"/>
  <c r="K82" i="25"/>
  <c r="J208" i="7"/>
  <c r="O208" i="7" s="1"/>
  <c r="C141" i="30" s="1"/>
  <c r="D141" i="30" s="1"/>
  <c r="E141" i="30" s="1"/>
  <c r="F141" i="30" s="1"/>
  <c r="N5" i="11"/>
  <c r="C23" i="9"/>
  <c r="D23" i="9" s="1"/>
  <c r="E23" i="9" s="1"/>
  <c r="P263" i="7"/>
  <c r="Q263" i="7" s="1"/>
  <c r="N6" i="11" l="1"/>
  <c r="N68" i="11"/>
  <c r="K83" i="25"/>
  <c r="J209" i="7"/>
  <c r="O209" i="7" s="1"/>
  <c r="C142" i="30" s="1"/>
  <c r="D142" i="30" s="1"/>
  <c r="E142" i="30" s="1"/>
  <c r="F142" i="30" s="1"/>
  <c r="J210" i="7" l="1"/>
  <c r="O210" i="7" s="1"/>
  <c r="C143" i="30" s="1"/>
  <c r="D143" i="30" s="1"/>
  <c r="E143" i="30" s="1"/>
  <c r="F143" i="30" s="1"/>
  <c r="K84" i="25"/>
  <c r="K85" i="25" l="1"/>
  <c r="J211" i="7"/>
  <c r="O211" i="7" s="1"/>
  <c r="C144" i="30" s="1"/>
  <c r="D144" i="30" s="1"/>
  <c r="E144" i="30" s="1"/>
  <c r="F144" i="30" s="1"/>
  <c r="K86" i="25" l="1"/>
  <c r="J212" i="7"/>
  <c r="O212" i="7" s="1"/>
  <c r="C145" i="30" s="1"/>
  <c r="D145" i="30" s="1"/>
  <c r="E145" i="30" s="1"/>
  <c r="F145" i="30" s="1"/>
  <c r="J213" i="7" l="1"/>
  <c r="O213" i="7" s="1"/>
  <c r="C146" i="30" s="1"/>
  <c r="D146" i="30" s="1"/>
  <c r="E146" i="30" s="1"/>
  <c r="F146" i="30" s="1"/>
  <c r="K87" i="25"/>
  <c r="J214" i="7" l="1"/>
  <c r="O214" i="7" s="1"/>
  <c r="C147" i="30" s="1"/>
  <c r="D147" i="30" s="1"/>
  <c r="E147" i="30" s="1"/>
  <c r="F147" i="30" s="1"/>
  <c r="K88" i="25"/>
  <c r="K89" i="25" l="1"/>
  <c r="J215" i="7"/>
  <c r="O215" i="7" s="1"/>
  <c r="C148" i="30" s="1"/>
  <c r="D148" i="30" s="1"/>
  <c r="E148" i="30" s="1"/>
  <c r="F148" i="30" s="1"/>
  <c r="K90" i="25" l="1"/>
  <c r="J216" i="7"/>
  <c r="O216" i="7" s="1"/>
  <c r="C149" i="30" s="1"/>
  <c r="D149" i="30" s="1"/>
  <c r="E149" i="30" s="1"/>
  <c r="F149" i="30" s="1"/>
  <c r="K91" i="25" l="1"/>
  <c r="J217" i="7"/>
  <c r="O217" i="7" s="1"/>
  <c r="C150" i="30" s="1"/>
  <c r="D150" i="30" s="1"/>
  <c r="E150" i="30" s="1"/>
  <c r="F150" i="30" s="1"/>
  <c r="J218" i="7" l="1"/>
  <c r="O218" i="7" s="1"/>
  <c r="N68" i="25"/>
  <c r="N69" i="25" l="1"/>
  <c r="J220" i="7"/>
  <c r="C151" i="30"/>
  <c r="D151" i="30" s="1"/>
  <c r="E151" i="30" s="1"/>
  <c r="F151" i="30" s="1"/>
  <c r="F155" i="30" s="1"/>
  <c r="O264" i="7"/>
  <c r="C24" i="9" l="1"/>
  <c r="D24" i="9" s="1"/>
  <c r="E24" i="9" s="1"/>
  <c r="P264" i="7"/>
  <c r="Q264" i="7" s="1"/>
  <c r="O5" i="11"/>
  <c r="O268" i="7"/>
  <c r="P268" i="7" s="1"/>
  <c r="D37" i="29"/>
  <c r="O220" i="7"/>
  <c r="J221" i="7"/>
  <c r="N70" i="25"/>
  <c r="J222" i="7" l="1"/>
  <c r="N71" i="25"/>
  <c r="E37" i="29"/>
  <c r="O221" i="7"/>
  <c r="E4" i="29" s="1"/>
  <c r="D4" i="29"/>
  <c r="O6" i="11"/>
  <c r="O68" i="11"/>
  <c r="N72" i="25" l="1"/>
  <c r="J223" i="7"/>
  <c r="F37" i="29"/>
  <c r="O222" i="7"/>
  <c r="F4" i="29" s="1"/>
  <c r="O223" i="7" l="1"/>
  <c r="G4" i="29" s="1"/>
  <c r="G37" i="29"/>
  <c r="J224" i="7"/>
  <c r="N73" i="25"/>
  <c r="N74" i="25" l="1"/>
  <c r="J225" i="7"/>
  <c r="H37" i="29"/>
  <c r="O224" i="7"/>
  <c r="H4" i="29" s="1"/>
  <c r="O225" i="7" l="1"/>
  <c r="I4" i="29" s="1"/>
  <c r="I37" i="29"/>
  <c r="J226" i="7"/>
  <c r="N75" i="25"/>
  <c r="J227" i="7" l="1"/>
  <c r="N76" i="25"/>
  <c r="J37" i="29"/>
  <c r="O226" i="7"/>
  <c r="J4" i="29" s="1"/>
  <c r="J228" i="7" l="1"/>
  <c r="N77" i="25"/>
  <c r="O227" i="7"/>
  <c r="K4" i="29" s="1"/>
  <c r="K37" i="29"/>
  <c r="L37" i="29" l="1"/>
  <c r="O228" i="7"/>
  <c r="L4" i="29" s="1"/>
  <c r="J229" i="7"/>
  <c r="N78" i="25"/>
  <c r="O229" i="7" l="1"/>
  <c r="M4" i="29" s="1"/>
  <c r="M37" i="29"/>
  <c r="J230" i="7"/>
  <c r="N79" i="25"/>
  <c r="N80" i="25" l="1"/>
  <c r="J231" i="7"/>
  <c r="O230" i="7"/>
  <c r="N37" i="29"/>
  <c r="O37" i="29" s="1"/>
  <c r="N4" i="29" l="1"/>
  <c r="O4" i="29" s="1"/>
  <c r="O265" i="7"/>
  <c r="C36" i="29"/>
  <c r="O231" i="7"/>
  <c r="N81" i="25"/>
  <c r="J232" i="7"/>
  <c r="O232" i="7" l="1"/>
  <c r="D3" i="29" s="1"/>
  <c r="D5" i="29" s="1"/>
  <c r="D36" i="29"/>
  <c r="D38" i="29" s="1"/>
  <c r="D40" i="29" s="1"/>
  <c r="D65" i="29" s="1"/>
  <c r="J233" i="7"/>
  <c r="N82" i="25"/>
  <c r="C38" i="29"/>
  <c r="C3" i="29"/>
  <c r="P265" i="7"/>
  <c r="P5" i="11"/>
  <c r="C25" i="9"/>
  <c r="G25" i="9" s="1"/>
  <c r="G85" i="9" s="1"/>
  <c r="C40" i="29" l="1"/>
  <c r="N83" i="25"/>
  <c r="J234" i="7"/>
  <c r="G100" i="9"/>
  <c r="G89" i="9"/>
  <c r="G104" i="9"/>
  <c r="O233" i="7"/>
  <c r="E36" i="29"/>
  <c r="C5" i="29"/>
  <c r="P8" i="11"/>
  <c r="P14" i="11" s="1"/>
  <c r="E3" i="29" l="1"/>
  <c r="E38" i="29"/>
  <c r="H93" i="9"/>
  <c r="K93" i="9"/>
  <c r="K85" i="9" s="1"/>
  <c r="M93" i="9"/>
  <c r="M85" i="9" s="1"/>
  <c r="L93" i="9"/>
  <c r="L85" i="9" s="1"/>
  <c r="N93" i="9"/>
  <c r="N85" i="9" s="1"/>
  <c r="I93" i="9"/>
  <c r="I85" i="9" s="1"/>
  <c r="J93" i="9"/>
  <c r="J85" i="9" s="1"/>
  <c r="O234" i="7"/>
  <c r="F3" i="29" s="1"/>
  <c r="F5" i="29" s="1"/>
  <c r="F36" i="29"/>
  <c r="F38" i="29" s="1"/>
  <c r="F40" i="29" s="1"/>
  <c r="F65" i="29" s="1"/>
  <c r="P7" i="11"/>
  <c r="N84" i="25"/>
  <c r="J235" i="7"/>
  <c r="C65" i="29"/>
  <c r="G36" i="29" l="1"/>
  <c r="G38" i="29" s="1"/>
  <c r="G40" i="29" s="1"/>
  <c r="G65" i="29" s="1"/>
  <c r="O235" i="7"/>
  <c r="G3" i="29" s="1"/>
  <c r="G5" i="29" s="1"/>
  <c r="L104" i="9"/>
  <c r="D20" i="18"/>
  <c r="P39" i="11" s="1"/>
  <c r="C6" i="27" s="1"/>
  <c r="D40" i="27" s="1"/>
  <c r="L100" i="9"/>
  <c r="P38" i="11" s="1"/>
  <c r="B6" i="27" s="1"/>
  <c r="M104" i="9"/>
  <c r="M100" i="9"/>
  <c r="P43" i="11" s="1"/>
  <c r="B7" i="27" s="1"/>
  <c r="E20" i="18"/>
  <c r="P44" i="11" s="1"/>
  <c r="C7" i="27" s="1"/>
  <c r="D41" i="27" s="1"/>
  <c r="K100" i="9"/>
  <c r="P33" i="11"/>
  <c r="B5" i="27" s="1"/>
  <c r="N33" i="11"/>
  <c r="N52" i="11" s="1"/>
  <c r="N62" i="11" s="1"/>
  <c r="K104" i="9"/>
  <c r="O93" i="9"/>
  <c r="H85" i="9"/>
  <c r="J236" i="7"/>
  <c r="N85" i="25"/>
  <c r="J104" i="9"/>
  <c r="J100" i="9"/>
  <c r="E40" i="29"/>
  <c r="I104" i="9"/>
  <c r="I100" i="9"/>
  <c r="P24" i="11" s="1"/>
  <c r="B3" i="27" s="1"/>
  <c r="N100" i="9"/>
  <c r="P48" i="11" s="1"/>
  <c r="B8" i="27" s="1"/>
  <c r="N104" i="9"/>
  <c r="E5" i="29"/>
  <c r="E65" i="29" l="1"/>
  <c r="B20" i="27"/>
  <c r="D20" i="27" s="1"/>
  <c r="B31" i="27"/>
  <c r="D31" i="27" s="1"/>
  <c r="F31" i="27" s="1"/>
  <c r="J237" i="7"/>
  <c r="N86" i="25"/>
  <c r="O236" i="7"/>
  <c r="H36" i="29"/>
  <c r="D52" i="27"/>
  <c r="F52" i="27" s="1"/>
  <c r="F41" i="27"/>
  <c r="B19" i="27"/>
  <c r="D19" i="27" s="1"/>
  <c r="B30" i="27"/>
  <c r="D30" i="27" s="1"/>
  <c r="F30" i="27" s="1"/>
  <c r="B26" i="27"/>
  <c r="D26" i="27" s="1"/>
  <c r="F26" i="27" s="1"/>
  <c r="B15" i="27"/>
  <c r="D15" i="27" s="1"/>
  <c r="O85" i="9"/>
  <c r="O104" i="9" s="1"/>
  <c r="H104" i="9"/>
  <c r="H100" i="9"/>
  <c r="B18" i="27"/>
  <c r="D18" i="27" s="1"/>
  <c r="F40" i="27"/>
  <c r="D51" i="27"/>
  <c r="F51" i="27" s="1"/>
  <c r="B20" i="18"/>
  <c r="P28" i="11"/>
  <c r="B4" i="27" s="1"/>
  <c r="B17" i="27"/>
  <c r="D17" i="27" s="1"/>
  <c r="B28" i="27"/>
  <c r="D28" i="27" s="1"/>
  <c r="F28" i="27" s="1"/>
  <c r="F17" i="27" l="1"/>
  <c r="D61" i="27"/>
  <c r="H38" i="29"/>
  <c r="B27" i="27"/>
  <c r="D27" i="27" s="1"/>
  <c r="F27" i="27" s="1"/>
  <c r="B16" i="27"/>
  <c r="D16" i="27" s="1"/>
  <c r="H3" i="29"/>
  <c r="D37" i="27"/>
  <c r="F15" i="27"/>
  <c r="D59" i="27"/>
  <c r="J238" i="7"/>
  <c r="N87" i="25"/>
  <c r="O237" i="7"/>
  <c r="I3" i="29" s="1"/>
  <c r="I5" i="29" s="1"/>
  <c r="I36" i="29"/>
  <c r="I38" i="29" s="1"/>
  <c r="I40" i="29" s="1"/>
  <c r="I65" i="29" s="1"/>
  <c r="P20" i="11"/>
  <c r="O100" i="9"/>
  <c r="P29" i="11"/>
  <c r="F20" i="18"/>
  <c r="P58" i="11" s="1"/>
  <c r="B29" i="27"/>
  <c r="D29" i="27" s="1"/>
  <c r="F29" i="27" s="1"/>
  <c r="F19" i="27"/>
  <c r="D63" i="27"/>
  <c r="F20" i="27"/>
  <c r="D42" i="27"/>
  <c r="D64" i="27"/>
  <c r="F18" i="27"/>
  <c r="F42" i="27" l="1"/>
  <c r="D53" i="27"/>
  <c r="F53" i="27" s="1"/>
  <c r="B2" i="27"/>
  <c r="P52" i="11"/>
  <c r="H5" i="29"/>
  <c r="F16" i="27"/>
  <c r="D60" i="27"/>
  <c r="J36" i="29"/>
  <c r="J38" i="29" s="1"/>
  <c r="J40" i="29" s="1"/>
  <c r="J65" i="29" s="1"/>
  <c r="O238" i="7"/>
  <c r="J3" i="29" s="1"/>
  <c r="J5" i="29" s="1"/>
  <c r="D70" i="27"/>
  <c r="F70" i="27" s="1"/>
  <c r="F59" i="27"/>
  <c r="H40" i="29"/>
  <c r="F63" i="27"/>
  <c r="D74" i="27"/>
  <c r="F74" i="27" s="1"/>
  <c r="N88" i="25"/>
  <c r="J239" i="7"/>
  <c r="D62" i="27"/>
  <c r="C4" i="27"/>
  <c r="P53" i="11"/>
  <c r="P63" i="11" s="1"/>
  <c r="D72" i="27"/>
  <c r="F72" i="27" s="1"/>
  <c r="F61" i="27"/>
  <c r="F64" i="27"/>
  <c r="D75" i="27"/>
  <c r="F75" i="27" s="1"/>
  <c r="P12" i="11"/>
  <c r="P15" i="11" s="1"/>
  <c r="P57" i="11"/>
  <c r="F37" i="27"/>
  <c r="D48" i="27"/>
  <c r="F48" i="27" s="1"/>
  <c r="F62" i="27" l="1"/>
  <c r="D73" i="27"/>
  <c r="F73" i="27" s="1"/>
  <c r="H65" i="29"/>
  <c r="D38" i="27"/>
  <c r="C9" i="27"/>
  <c r="P62" i="11"/>
  <c r="J240" i="7"/>
  <c r="N89" i="25"/>
  <c r="B14" i="27"/>
  <c r="B25" i="27"/>
  <c r="B9" i="27"/>
  <c r="O239" i="7"/>
  <c r="K3" i="29" s="1"/>
  <c r="K5" i="29" s="1"/>
  <c r="K36" i="29"/>
  <c r="K38" i="29" s="1"/>
  <c r="K40" i="29" s="1"/>
  <c r="K65" i="29" s="1"/>
  <c r="D71" i="27"/>
  <c r="F71" i="27" s="1"/>
  <c r="F60" i="27"/>
  <c r="B32" i="27" l="1"/>
  <c r="D25" i="27"/>
  <c r="F38" i="27"/>
  <c r="D49" i="27"/>
  <c r="F49" i="27" s="1"/>
  <c r="B21" i="27"/>
  <c r="D14" i="27"/>
  <c r="J241" i="7"/>
  <c r="N90" i="25"/>
  <c r="L36" i="29"/>
  <c r="L38" i="29" s="1"/>
  <c r="O240" i="7"/>
  <c r="L3" i="29" s="1"/>
  <c r="L5" i="29" s="1"/>
  <c r="L40" i="29" l="1"/>
  <c r="D32" i="27"/>
  <c r="F25" i="27"/>
  <c r="F32" i="27" s="1"/>
  <c r="J242" i="7"/>
  <c r="N91" i="25"/>
  <c r="O241" i="7"/>
  <c r="M3" i="29" s="1"/>
  <c r="M5" i="29" s="1"/>
  <c r="M36" i="29"/>
  <c r="M38" i="29" s="1"/>
  <c r="M40" i="29" s="1"/>
  <c r="M65" i="29" s="1"/>
  <c r="D21" i="27"/>
  <c r="D36" i="27"/>
  <c r="D58" i="27"/>
  <c r="F14" i="27"/>
  <c r="F21" i="27" s="1"/>
  <c r="B84" i="27" s="1"/>
  <c r="N36" i="29" l="1"/>
  <c r="O242" i="7"/>
  <c r="D69" i="27"/>
  <c r="D65" i="27"/>
  <c r="F58" i="27"/>
  <c r="F65" i="27" s="1"/>
  <c r="D47" i="27"/>
  <c r="F47" i="27" s="1"/>
  <c r="F54" i="27" s="1"/>
  <c r="B87" i="27" s="1"/>
  <c r="F36" i="27"/>
  <c r="F43" i="27" s="1"/>
  <c r="B86" i="27" s="1"/>
  <c r="L65" i="29"/>
  <c r="B85" i="27" l="1"/>
  <c r="B89" i="27" s="1"/>
  <c r="D76" i="27"/>
  <c r="F69" i="27"/>
  <c r="F76" i="27" s="1"/>
  <c r="N3" i="29"/>
  <c r="O245" i="7"/>
  <c r="O266" i="7"/>
  <c r="N38" i="29"/>
  <c r="O36" i="29"/>
  <c r="Q5" i="11" l="1"/>
  <c r="C26" i="9"/>
  <c r="G26" i="9" s="1"/>
  <c r="G86" i="9" s="1"/>
  <c r="P266" i="7"/>
  <c r="O270" i="7"/>
  <c r="N40" i="29"/>
  <c r="O38" i="29"/>
  <c r="P270" i="7"/>
  <c r="N5" i="29"/>
  <c r="O3" i="29"/>
  <c r="O5" i="29" s="1"/>
  <c r="G90" i="9" l="1"/>
  <c r="G101" i="9"/>
  <c r="G105" i="9"/>
  <c r="N65" i="29"/>
  <c r="O40" i="29"/>
  <c r="O65" i="29" s="1"/>
  <c r="Q8" i="11"/>
  <c r="Q14" i="11" s="1"/>
  <c r="Q7" i="11" l="1"/>
  <c r="K94" i="9"/>
  <c r="K86" i="9" s="1"/>
  <c r="N94" i="9"/>
  <c r="N86" i="9" s="1"/>
  <c r="L94" i="9"/>
  <c r="L86" i="9" s="1"/>
  <c r="I94" i="9"/>
  <c r="I86" i="9" s="1"/>
  <c r="H94" i="9"/>
  <c r="J94" i="9"/>
  <c r="J86" i="9" s="1"/>
  <c r="M94" i="9"/>
  <c r="M86" i="9" s="1"/>
  <c r="O94" i="9" l="1"/>
  <c r="H86" i="9"/>
  <c r="K101" i="9"/>
  <c r="K105" i="9"/>
  <c r="Q33" i="11"/>
  <c r="B5" i="28" s="1"/>
  <c r="O33" i="11"/>
  <c r="O52" i="11" s="1"/>
  <c r="O62" i="11" s="1"/>
  <c r="M105" i="9"/>
  <c r="M101" i="9"/>
  <c r="Q43" i="11" s="1"/>
  <c r="B7" i="28" s="1"/>
  <c r="E21" i="18"/>
  <c r="Q44" i="11" s="1"/>
  <c r="C7" i="28" s="1"/>
  <c r="D41" i="28" s="1"/>
  <c r="J101" i="9"/>
  <c r="J105" i="9"/>
  <c r="I105" i="9"/>
  <c r="I101" i="9"/>
  <c r="Q24" i="11" s="1"/>
  <c r="B3" i="28" s="1"/>
  <c r="N101" i="9"/>
  <c r="Q48" i="11" s="1"/>
  <c r="B8" i="28" s="1"/>
  <c r="N105" i="9"/>
  <c r="L101" i="9"/>
  <c r="Q38" i="11" s="1"/>
  <c r="B6" i="28" s="1"/>
  <c r="D21" i="18"/>
  <c r="Q39" i="11" s="1"/>
  <c r="C6" i="28" s="1"/>
  <c r="D40" i="28" s="1"/>
  <c r="L105" i="9"/>
  <c r="B18" i="28" l="1"/>
  <c r="D18" i="28" s="1"/>
  <c r="D51" i="28"/>
  <c r="F51" i="28" s="1"/>
  <c r="F40" i="28"/>
  <c r="B30" i="28"/>
  <c r="D30" i="28" s="1"/>
  <c r="F30" i="28" s="1"/>
  <c r="B19" i="28"/>
  <c r="D19" i="28" s="1"/>
  <c r="Q28" i="11"/>
  <c r="B4" i="28" s="1"/>
  <c r="B21" i="18"/>
  <c r="B20" i="28"/>
  <c r="D20" i="28" s="1"/>
  <c r="B15" i="28"/>
  <c r="D15" i="28" s="1"/>
  <c r="B26" i="28"/>
  <c r="D26" i="28" s="1"/>
  <c r="F26" i="28" s="1"/>
  <c r="B17" i="28"/>
  <c r="D17" i="28" s="1"/>
  <c r="D52" i="28"/>
  <c r="F52" i="28" s="1"/>
  <c r="F41" i="28"/>
  <c r="O86" i="9"/>
  <c r="O105" i="9" s="1"/>
  <c r="H105" i="9"/>
  <c r="H101" i="9"/>
  <c r="B16" i="28" l="1"/>
  <c r="D16" i="28" s="1"/>
  <c r="B28" i="28"/>
  <c r="D28" i="28" s="1"/>
  <c r="F28" i="28" s="1"/>
  <c r="F19" i="28"/>
  <c r="D63" i="28"/>
  <c r="Q29" i="11"/>
  <c r="F21" i="18"/>
  <c r="Q58" i="11" s="1"/>
  <c r="Q20" i="11"/>
  <c r="O101" i="9"/>
  <c r="F15" i="28"/>
  <c r="D59" i="28"/>
  <c r="D37" i="28"/>
  <c r="F18" i="28"/>
  <c r="D62" i="28"/>
  <c r="F17" i="28"/>
  <c r="D61" i="28"/>
  <c r="F20" i="28"/>
  <c r="B31" i="28"/>
  <c r="D31" i="28" s="1"/>
  <c r="F31" i="28" s="1"/>
  <c r="B29" i="28"/>
  <c r="D29" i="28" s="1"/>
  <c r="F29" i="28" s="1"/>
  <c r="F61" i="28" l="1"/>
  <c r="D72" i="28"/>
  <c r="F72" i="28" s="1"/>
  <c r="B2" i="28"/>
  <c r="Q52" i="11"/>
  <c r="F62" i="28"/>
  <c r="D73" i="28"/>
  <c r="F73" i="28" s="1"/>
  <c r="D74" i="28"/>
  <c r="F74" i="28" s="1"/>
  <c r="F63" i="28"/>
  <c r="D64" i="28"/>
  <c r="F59" i="28"/>
  <c r="D70" i="28"/>
  <c r="F70" i="28" s="1"/>
  <c r="C4" i="28"/>
  <c r="Q53" i="11"/>
  <c r="Q63" i="11" s="1"/>
  <c r="F37" i="28"/>
  <c r="D48" i="28"/>
  <c r="F48" i="28" s="1"/>
  <c r="B27" i="28"/>
  <c r="D27" i="28" s="1"/>
  <c r="F27" i="28" s="1"/>
  <c r="D42" i="28"/>
  <c r="Q57" i="11"/>
  <c r="Q12" i="11"/>
  <c r="Q15" i="11" s="1"/>
  <c r="D60" i="28"/>
  <c r="F16" i="28"/>
  <c r="F64" i="28" l="1"/>
  <c r="D75" i="28"/>
  <c r="F75" i="28" s="1"/>
  <c r="F42" i="28"/>
  <c r="D53" i="28"/>
  <c r="F53" i="28" s="1"/>
  <c r="Q62" i="11"/>
  <c r="D71" i="28"/>
  <c r="F71" i="28" s="1"/>
  <c r="F60" i="28"/>
  <c r="C9" i="28"/>
  <c r="D38" i="28"/>
  <c r="B14" i="28"/>
  <c r="B25" i="28"/>
  <c r="B9" i="28"/>
  <c r="B32" i="28" l="1"/>
  <c r="D25" i="28"/>
  <c r="B21" i="28"/>
  <c r="D14" i="28"/>
  <c r="D49" i="28"/>
  <c r="F49" i="28" s="1"/>
  <c r="F38" i="28"/>
  <c r="D36" i="28" l="1"/>
  <c r="D58" i="28"/>
  <c r="D21" i="28"/>
  <c r="F14" i="28"/>
  <c r="F21" i="28" s="1"/>
  <c r="D32" i="28"/>
  <c r="F25" i="28"/>
  <c r="F32" i="28" s="1"/>
  <c r="B84" i="28" l="1"/>
  <c r="D65" i="28"/>
  <c r="D69" i="28"/>
  <c r="F58" i="28"/>
  <c r="F65" i="28" s="1"/>
  <c r="D47" i="28"/>
  <c r="F47" i="28" s="1"/>
  <c r="F54" i="28" s="1"/>
  <c r="B87" i="28" s="1"/>
  <c r="F36" i="28"/>
  <c r="F43" i="28" s="1"/>
  <c r="B86" i="28" s="1"/>
  <c r="B85" i="28" l="1"/>
  <c r="F69" i="28"/>
  <c r="F76" i="28" s="1"/>
  <c r="D76" i="28"/>
  <c r="B89" i="28"/>
</calcChain>
</file>

<file path=xl/comments1.xml><?xml version="1.0" encoding="utf-8"?>
<comments xmlns="http://schemas.openxmlformats.org/spreadsheetml/2006/main">
  <authors>
    <author>Suzanne Wilson</author>
  </authors>
  <commentList>
    <comment ref="J111" authorId="0">
      <text>
        <r>
          <rPr>
            <b/>
            <sz val="10"/>
            <color indexed="81"/>
            <rFont val="Tahoma"/>
            <family val="2"/>
          </rPr>
          <t>Suzanne Wilson:</t>
        </r>
        <r>
          <rPr>
            <sz val="10"/>
            <color indexed="81"/>
            <rFont val="Tahoma"/>
            <family val="2"/>
          </rPr>
          <t xml:space="preserve">
2011 File had 64,076 per month
</t>
        </r>
      </text>
    </comment>
  </commentList>
</comments>
</file>

<file path=xl/comments2.xml><?xml version="1.0" encoding="utf-8"?>
<comments xmlns="http://schemas.openxmlformats.org/spreadsheetml/2006/main">
  <authors>
    <author>SUZANNEW</author>
  </authors>
  <commentList>
    <comment ref="B34" authorId="0">
      <text>
        <r>
          <rPr>
            <b/>
            <sz val="10"/>
            <color indexed="81"/>
            <rFont val="Tahoma"/>
            <family val="2"/>
          </rPr>
          <t>SUZANNEW:</t>
        </r>
        <r>
          <rPr>
            <sz val="10"/>
            <color indexed="81"/>
            <rFont val="Tahoma"/>
            <family val="2"/>
          </rPr>
          <t xml:space="preserve">
These are the changes from year to year</t>
        </r>
      </text>
    </comment>
  </commentList>
</comments>
</file>

<file path=xl/comments3.xml><?xml version="1.0" encoding="utf-8"?>
<comments xmlns="http://schemas.openxmlformats.org/spreadsheetml/2006/main">
  <authors>
    <author>Suzanne Wilson</author>
  </authors>
  <commentList>
    <comment ref="B17" authorId="0">
      <text>
        <r>
          <rPr>
            <b/>
            <sz val="10"/>
            <color indexed="81"/>
            <rFont val="Tahoma"/>
            <family val="2"/>
          </rPr>
          <t>Suzanne Wilson:</t>
        </r>
        <r>
          <rPr>
            <sz val="10"/>
            <color indexed="81"/>
            <rFont val="Tahoma"/>
            <family val="2"/>
          </rPr>
          <t xml:space="preserve">
Agrees to RRR for 2011 all customer numbers</t>
        </r>
      </text>
    </comment>
    <comment ref="B18" authorId="0">
      <text>
        <r>
          <rPr>
            <b/>
            <sz val="10"/>
            <color indexed="81"/>
            <rFont val="Tahoma"/>
            <family val="2"/>
          </rPr>
          <t>Suzanne Wilson:</t>
        </r>
        <r>
          <rPr>
            <sz val="10"/>
            <color indexed="81"/>
            <rFont val="Tahoma"/>
            <family val="2"/>
          </rPr>
          <t xml:space="preserve">
Agrees to the RRR filing 2.1.5 for 2012
</t>
        </r>
      </text>
    </comment>
  </commentList>
</comments>
</file>

<file path=xl/comments4.xml><?xml version="1.0" encoding="utf-8"?>
<comments xmlns="http://schemas.openxmlformats.org/spreadsheetml/2006/main">
  <authors>
    <author>Eric Smith</author>
  </authors>
  <commentList>
    <comment ref="C6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  <comment ref="D7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  <comment ref="C11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Invoice was adjusted. No backup spreadsheet with the change in Kwh.</t>
        </r>
      </text>
    </comment>
    <comment ref="D11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  <comment ref="F11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Entire Invoice w/ backup</t>
        </r>
      </text>
    </comment>
    <comment ref="G11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Entire Invoice w/ backup</t>
        </r>
      </text>
    </comment>
    <comment ref="C14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Jan-Apr difference between G/L. Remaining amounts match.</t>
        </r>
      </text>
    </comment>
    <comment ref="C25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  <comment ref="C26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  <comment ref="C27" authorId="0">
      <text>
        <r>
          <rPr>
            <b/>
            <sz val="10"/>
            <color indexed="81"/>
            <rFont val="Tahoma"/>
            <family val="2"/>
          </rPr>
          <t>Eric Smith:</t>
        </r>
        <r>
          <rPr>
            <sz val="10"/>
            <color indexed="81"/>
            <rFont val="Tahoma"/>
            <family val="2"/>
          </rPr>
          <t xml:space="preserve">
Immaterial difference between spreadsheet and G/L</t>
        </r>
      </text>
    </comment>
  </commentList>
</comments>
</file>

<file path=xl/comments5.xml><?xml version="1.0" encoding="utf-8"?>
<comments xmlns="http://schemas.openxmlformats.org/spreadsheetml/2006/main">
  <authors>
    <author>Suzanne Wilson</author>
  </authors>
  <commentList>
    <comment ref="B79" authorId="0">
      <text>
        <r>
          <rPr>
            <b/>
            <sz val="10"/>
            <color indexed="81"/>
            <rFont val="Tahoma"/>
            <family val="2"/>
          </rPr>
          <t>Suzanne Wilson:</t>
        </r>
        <r>
          <rPr>
            <sz val="10"/>
            <color indexed="81"/>
            <rFont val="Tahoma"/>
            <family val="2"/>
          </rPr>
          <t xml:space="preserve">
Why is formula different</t>
        </r>
      </text>
    </comment>
  </commentList>
</comments>
</file>

<file path=xl/comments6.xml><?xml version="1.0" encoding="utf-8"?>
<comments xmlns="http://schemas.openxmlformats.org/spreadsheetml/2006/main">
  <authors>
    <author>Paul Blythin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RPP % linked to Sheet C4. Commodity Price in Rate Maker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Average Total Loss Factor from Sheet C1.Loss Factors in Rate Maker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Forecast RPP Supply cost for the period May 1, 2014 to April 30, 2015.
From Table ES-1 in the OEB's RPP Report issued April 16, 2014.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RPP Report May 1, 2014 to April 30, 2015: Forecast Wholesale Electricity Price of $26.28/MWh plus Forecast Global Adjustment of $64.68/MWh.
Taken from Table ES-1 in the OEB's RPP Report issued April 16, 2014.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58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</commentList>
</comments>
</file>

<file path=xl/comments7.xml><?xml version="1.0" encoding="utf-8"?>
<comments xmlns="http://schemas.openxmlformats.org/spreadsheetml/2006/main">
  <authors>
    <author>Paul Blythin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RPP % linked to Sheet C4. Commodity Price in Rate Maker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Average Total Loss Factor from Sheet C1.Loss Factors in Rate Maker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Forecast RPP Supply cost for the period May 1, 2014 to April 30, 2015.
From Table ES-1 in the OEB's RPP Report issued April 16, 2014.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RPP Report May 1, 2014 to April 30, 2015: Forecast Wholesale Electricity Price of $26.28/MWh plus Forecast Global Adjustment of $64.68/MWh.
Taken from Table ES-1 in the OEB's RPP Report issued April 16, 2014.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58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  <comment ref="E80" authorId="0">
      <text>
        <r>
          <rPr>
            <b/>
            <sz val="8"/>
            <color indexed="81"/>
            <rFont val="Tahoma"/>
            <family val="2"/>
          </rPr>
          <t>Paul Blythin:</t>
        </r>
        <r>
          <rPr>
            <sz val="8"/>
            <color indexed="81"/>
            <rFont val="Tahoma"/>
            <family val="2"/>
          </rPr>
          <t xml:space="preserve">
From 2014 IRM Rate Tariff</t>
        </r>
      </text>
    </comment>
  </commentList>
</comments>
</file>

<file path=xl/sharedStrings.xml><?xml version="1.0" encoding="utf-8"?>
<sst xmlns="http://schemas.openxmlformats.org/spreadsheetml/2006/main" count="602" uniqueCount="310">
  <si>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</si>
  <si>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</si>
  <si>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</si>
  <si>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</si>
  <si>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</si>
  <si>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</si>
  <si>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</si>
  <si>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</si>
  <si>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</si>
  <si>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</si>
  <si>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</si>
  <si>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</si>
  <si>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</si>
  <si>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</si>
  <si>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</si>
  <si>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</si>
  <si>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</si>
  <si>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</si>
  <si>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</si>
  <si>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</si>
  <si>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</si>
  <si>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</si>
  <si>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</si>
  <si>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</si>
  <si>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</si>
  <si>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</si>
  <si>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</si>
  <si>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</si>
  <si>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</si>
  <si>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</si>
  <si>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</si>
  <si>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</si>
  <si>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</si>
  <si>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</si>
  <si>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</si>
  <si>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</si>
  <si>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</si>
  <si>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</si>
  <si>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</si>
  <si>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</si>
  <si>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</si>
  <si>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</si>
  <si>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</si>
  <si>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</si>
  <si>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</si>
  <si>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</si>
  <si>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</si>
  <si>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</si>
  <si>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</si>
  <si>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</si>
  <si>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</si>
  <si>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</si>
  <si>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</si>
  <si>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</si>
  <si>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</si>
  <si>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</si>
  <si>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</si>
  <si>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</si>
  <si>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</si>
  <si>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</si>
  <si>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</si>
  <si>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</si>
  <si>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</si>
  <si>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</si>
  <si>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</si>
  <si>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</si>
  <si>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Used</t>
  </si>
  <si>
    <t>kW/kWh</t>
  </si>
  <si>
    <t>Check totals above sould be zero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</si>
  <si>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</si>
  <si>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</si>
  <si>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</si>
  <si>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</si>
  <si>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</si>
  <si>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</si>
  <si>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</si>
  <si>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</si>
  <si>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</si>
  <si>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</si>
  <si>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</si>
  <si>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</si>
  <si>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Large User</t>
  </si>
  <si>
    <t>Sentinels</t>
  </si>
  <si>
    <t>CDM kWh Saved in month</t>
  </si>
  <si>
    <t>Weather Normal Projection</t>
  </si>
  <si>
    <t>5 year average</t>
  </si>
  <si>
    <t xml:space="preserve"> </t>
  </si>
  <si>
    <t>2005 to 2006</t>
  </si>
  <si>
    <t>2006 to 2007</t>
  </si>
  <si>
    <t>2007 to 2008</t>
  </si>
  <si>
    <t>2008 to 2009</t>
  </si>
  <si>
    <t>2009 to 2010</t>
  </si>
  <si>
    <t>2010 to 2011</t>
  </si>
  <si>
    <t>2011 to 2012</t>
  </si>
  <si>
    <t>2012 to 2013</t>
  </si>
  <si>
    <t>2014 Weather Normal</t>
  </si>
  <si>
    <t>2015 Weather Normal</t>
  </si>
  <si>
    <t xml:space="preserve">2010 Actual </t>
  </si>
  <si>
    <t xml:space="preserve">2011 Actual </t>
  </si>
  <si>
    <t xml:space="preserve">2012 Actual </t>
  </si>
  <si>
    <t xml:space="preserve">2013 Actual </t>
  </si>
  <si>
    <t>Niagara Peninsula Energy Weather Normal Load Forecast for 2015 Rate Application</t>
  </si>
  <si>
    <t>Load Transfers</t>
  </si>
  <si>
    <t>CNP</t>
  </si>
  <si>
    <t>Grimsby</t>
  </si>
  <si>
    <t>Horizon</t>
  </si>
  <si>
    <t>Hydro One</t>
  </si>
  <si>
    <t>NOTL</t>
  </si>
  <si>
    <t>Embedded Generation</t>
  </si>
  <si>
    <t>Updated</t>
  </si>
  <si>
    <t>2011 Rate App</t>
  </si>
  <si>
    <t>Average Number of Customers or Connections</t>
  </si>
  <si>
    <t>Before Supply Facility Loss Factor of 1.0045</t>
  </si>
  <si>
    <t>CDM</t>
  </si>
  <si>
    <t>Manual Adjustment to the Load Forecast from 2013 and 2014 Programs on a Net Level</t>
  </si>
  <si>
    <t xml:space="preserve">Weather Corrected Forecast after 2013 and 2014 CDM Adjustments        </t>
  </si>
  <si>
    <t>Adj Weather Total</t>
  </si>
  <si>
    <t>Weather Normalization Percentage from 2006 Hydro One Study</t>
  </si>
  <si>
    <t>% of Total for CDM</t>
  </si>
  <si>
    <t>11 Year Average</t>
  </si>
  <si>
    <t>3 Year Average</t>
  </si>
  <si>
    <t>OPA Conservation &amp; Demand Management Programs</t>
  </si>
  <si>
    <t>Annual Results at the End-User Level</t>
  </si>
  <si>
    <t>For:</t>
  </si>
  <si>
    <t>Niagara Peninsula Energy Inc.</t>
  </si>
  <si>
    <t>Net Summer Peak Demand Savings (MW)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</si>
  <si>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</si>
  <si>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</si>
  <si>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</si>
  <si>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</si>
  <si>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</si>
  <si>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</si>
  <si>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</si>
  <si>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</si>
  <si>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2010 Programs</t>
  </si>
  <si>
    <t>Net Energy Savings (MWh)</t>
  </si>
  <si>
    <t>Gross Summer Peak Demand Savings (MW)</t>
  </si>
  <si>
    <t>Gross Energy Savings (MWh)</t>
  </si>
  <si>
    <t xml:space="preserve">Methodology for Implementing CDM Explanatory Variable, </t>
  </si>
  <si>
    <t>as per Board Staff Interrogatory #22, London Hydro COS Application EB-2012-0146/EB-2012-0380</t>
  </si>
  <si>
    <t>Year</t>
  </si>
  <si>
    <t>Reported Savings (kWh)</t>
  </si>
  <si>
    <t>Incremental Savings (Reported Savings less Prior Year)</t>
  </si>
  <si>
    <t>First Year (Half of Incremental Savings)</t>
  </si>
  <si>
    <t>Monthly Increment (Year/78)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</si>
  <si>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</si>
  <si>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</si>
  <si>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</si>
  <si>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</si>
  <si>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</si>
  <si>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</si>
  <si>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</si>
  <si>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</si>
  <si>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</si>
  <si>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</si>
  <si>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</si>
  <si>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</si>
  <si>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Based on 2012 Final Report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</si>
  <si>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</si>
  <si>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</si>
  <si>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</si>
  <si>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</si>
  <si>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</si>
  <si>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</si>
  <si>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kWh</t>
  </si>
  <si>
    <t>NPEI CDM Programs</t>
  </si>
  <si>
    <t>As reported by the OPA (Annualized Basis)</t>
  </si>
  <si>
    <t>Effect in Year</t>
  </si>
  <si>
    <t>Year Initiated</t>
  </si>
  <si>
    <t>Manual Adjustments to Load Forecast:</t>
  </si>
  <si>
    <t>2014 Bridge Year:</t>
  </si>
  <si>
    <t>50% of 2014 Initiatives</t>
  </si>
  <si>
    <t>2015 Test Year:</t>
  </si>
  <si>
    <t>50% of 2015 Initiatives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</si>
  <si>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</si>
  <si>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</si>
  <si>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</si>
  <si>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</si>
  <si>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</si>
  <si>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</si>
  <si>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</si>
  <si>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</si>
  <si>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</si>
  <si>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</si>
  <si>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</si>
  <si>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</si>
  <si>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</si>
  <si>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</si>
  <si>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</si>
  <si>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</si>
  <si>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Residential (10% &lt;50kW)</t>
  </si>
  <si>
    <t>Conservation Instant Coupon Book</t>
  </si>
  <si>
    <t>Coupons</t>
  </si>
  <si>
    <t>Bi-Annual Retailer Event</t>
  </si>
  <si>
    <t>Retailer Co-op</t>
  </si>
  <si>
    <t>Items</t>
  </si>
  <si>
    <t>Residential Demand Response (Switch/pstat)</t>
  </si>
  <si>
    <t>Devices</t>
  </si>
  <si>
    <t>Residential Demand Response (HD)</t>
  </si>
  <si>
    <t>Residential New Construction</t>
  </si>
  <si>
    <t>Homes</t>
  </si>
  <si>
    <t>Consumer Program Total</t>
  </si>
  <si>
    <t>Business Program</t>
  </si>
  <si>
    <t>Retrofit</t>
  </si>
  <si>
    <t>Projects</t>
  </si>
  <si>
    <t>91% &gt;50kW 9%&lt;50kW</t>
  </si>
  <si>
    <t>Direct Install Lighting</t>
  </si>
  <si>
    <t>Building Commissioning</t>
  </si>
  <si>
    <t>Buildings</t>
  </si>
  <si>
    <t>New Construction</t>
  </si>
  <si>
    <t>Energy Audit</t>
  </si>
  <si>
    <t>Audits</t>
  </si>
  <si>
    <t>Small Commercial DR</t>
  </si>
  <si>
    <t>Small Commercial DR (HD)</t>
  </si>
  <si>
    <t>Demand Response 3</t>
  </si>
  <si>
    <t>Facilities</t>
  </si>
  <si>
    <t>Business Program Total</t>
  </si>
  <si>
    <t>Industrial Program Total</t>
  </si>
  <si>
    <t>Process &amp; System Upgrades</t>
  </si>
  <si>
    <t>Monitoring &amp; Targeting</t>
  </si>
  <si>
    <t>Energy Manager</t>
  </si>
  <si>
    <t>Home Assistance Program</t>
  </si>
  <si>
    <t>Pre-2011 Program</t>
  </si>
  <si>
    <t>ERIP</t>
  </si>
  <si>
    <t>HPNC</t>
  </si>
  <si>
    <t>Toronto Comprehensive</t>
  </si>
  <si>
    <t>Multifamily Energy Efficiency Rebates</t>
  </si>
  <si>
    <t>LDC Custom Programs</t>
  </si>
  <si>
    <t>Total Pre-2011 Programs</t>
  </si>
  <si>
    <t>Other</t>
  </si>
  <si>
    <t>Program Enabled Savings</t>
  </si>
  <si>
    <t>Time-of-use Savings</t>
  </si>
  <si>
    <t>Total Other</t>
  </si>
  <si>
    <t>Adjustments to Previous Year's Verified Results</t>
  </si>
  <si>
    <t>Energy Efficiency Total</t>
  </si>
  <si>
    <t>Demand Response Total (Scenario 1)</t>
  </si>
  <si>
    <t>OPA-Contracted LDC Portfolio Total (incl. Adjustments)</t>
  </si>
  <si>
    <t>OEB Target</t>
  </si>
  <si>
    <t>% of OEB Target Achieved</t>
  </si>
  <si>
    <t>Average Load by Rate Class</t>
  </si>
  <si>
    <t>Long-Term Load Transfer Data</t>
  </si>
  <si>
    <t>NPEI Geographic  (A/P)</t>
  </si>
  <si>
    <t>Physical Distributor</t>
  </si>
  <si>
    <t>Customer Class</t>
  </si>
  <si>
    <t>Welland Horizon</t>
  </si>
  <si>
    <t>NPEI Physical (A/R)</t>
  </si>
  <si>
    <t>Used 2012 as</t>
  </si>
  <si>
    <t>estimate for missing info</t>
  </si>
  <si>
    <t>Summary Net Load Transfer</t>
  </si>
  <si>
    <t>Month</t>
  </si>
  <si>
    <t>Kwh per month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</si>
  <si>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</si>
  <si>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</si>
  <si>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</si>
  <si>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</si>
  <si>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</si>
  <si>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</si>
  <si>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</si>
  <si>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</si>
  <si>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</si>
  <si>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</si>
  <si>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</si>
  <si>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</si>
  <si>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</si>
  <si>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</si>
  <si>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</si>
  <si>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</si>
  <si>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</si>
  <si>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</si>
  <si>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2014 Load Forecast</t>
  </si>
  <si>
    <t>2014 Forecasted Metered kWhs</t>
  </si>
  <si>
    <t>2014  Loss Factor</t>
  </si>
  <si>
    <t>Total to 2013</t>
  </si>
  <si>
    <t>2013 %RPP</t>
  </si>
  <si>
    <t>2015 Load Forecast</t>
  </si>
  <si>
    <t>2015 Forecasted Metered kWhs</t>
  </si>
  <si>
    <t>2015  Loss Factor</t>
  </si>
  <si>
    <t>Billed kWh Weather Normalized with CDM</t>
  </si>
  <si>
    <t>CDM Difference</t>
  </si>
  <si>
    <t>Loss</t>
  </si>
  <si>
    <t>Predicted without loss</t>
  </si>
  <si>
    <t>Predicted kWh Purchases with loss</t>
  </si>
  <si>
    <t>Loss Factor based on predicted kWh</t>
  </si>
  <si>
    <t>HDD</t>
  </si>
  <si>
    <t>2015 value</t>
  </si>
  <si>
    <t>2014 value</t>
  </si>
  <si>
    <t>Impact on forecast (kWh)</t>
  </si>
  <si>
    <t>CDD</t>
  </si>
  <si>
    <t>GDP</t>
  </si>
  <si>
    <t># Days in Month</t>
  </si>
  <si>
    <t>CDM kWh Saved</t>
  </si>
  <si>
    <t>Spring/Fall</t>
  </si>
  <si>
    <t>Peak Hours</t>
  </si>
  <si>
    <t>2015 Predicted kWh</t>
  </si>
  <si>
    <t>2014 Predicted kWh</t>
  </si>
  <si>
    <t>Regression Coefficient</t>
  </si>
  <si>
    <t>Total Impact on Forecast (kWh)</t>
  </si>
  <si>
    <t>Difference (kWh)</t>
  </si>
  <si>
    <t>Drivers of Differences 2015 over 2014 Predicted kWh</t>
  </si>
  <si>
    <t>100% of 2014 Initiatives</t>
  </si>
  <si>
    <t xml:space="preserve">Difference </t>
  </si>
  <si>
    <t>Absolute Value of Difference</t>
  </si>
  <si>
    <t>Actual kWh</t>
  </si>
  <si>
    <t>Predicted kWh</t>
  </si>
  <si>
    <t>Absolute Value of Difference / Actual</t>
  </si>
  <si>
    <t>Calculation of Mean Absolute Percentage Error (MAPE)</t>
  </si>
  <si>
    <t xml:space="preserve">MAPE </t>
  </si>
  <si>
    <t>n = # observations</t>
  </si>
  <si>
    <t>Actual</t>
  </si>
  <si>
    <t>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</si>
</sst>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&quot;$&quot;#,##0;[Red]\-&quot;$&quot;#,##0"/>
    <numFmt numFmtId="165" formatCode="_-* #,##0.00_-;\-* #,##0.00_-;_-* &quot;-&quot;??_-;_-@_-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0.000"/>
    <numFmt numFmtId="174" formatCode="#,##0_ ;\-#,##0\ "/>
    <numFmt numFmtId="175" formatCode="#,##0.0000_);\(#,##0.0000\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00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double">
        <color indexed="64"/>
      </right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9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7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6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2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3" fontId="0" fillId="0" borderId="0" xfId="0" applyNumberFormat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71" fontId="3" fillId="0" borderId="0" xfId="1" applyNumberFormat="1" applyFont="1" applyAlignment="1">
      <alignment horizontal="center" wrapText="1"/>
    </xf>
    <xf numFmtId="171" fontId="0" fillId="0" borderId="0" xfId="1" applyNumberFormat="1" applyFont="1" applyAlignment="1">
      <alignment horizontal="center"/>
    </xf>
    <xf numFmtId="171" fontId="0" fillId="2" borderId="0" xfId="1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10" fontId="0" fillId="0" borderId="0" xfId="4" applyNumberFormat="1" applyFont="1" applyAlignment="1">
      <alignment horizontal="center"/>
    </xf>
    <xf numFmtId="171" fontId="0" fillId="0" borderId="0" xfId="1" applyNumberFormat="1" applyFont="1" applyFill="1" applyAlignment="1">
      <alignment horizontal="center"/>
    </xf>
    <xf numFmtId="0" fontId="0" fillId="0" borderId="0" xfId="0" applyNumberFormat="1" applyFill="1" applyBorder="1"/>
    <xf numFmtId="3" fontId="2" fillId="6" borderId="1" xfId="0" applyNumberFormat="1" applyFont="1" applyFill="1" applyBorder="1" applyAlignment="1">
      <alignment horizontal="center"/>
    </xf>
    <xf numFmtId="10" fontId="0" fillId="0" borderId="0" xfId="4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0" fillId="0" borderId="0" xfId="0" applyNumberFormat="1" applyFill="1"/>
    <xf numFmtId="0" fontId="0" fillId="0" borderId="1" xfId="0" applyBorder="1"/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 wrapText="1"/>
    </xf>
    <xf numFmtId="37" fontId="2" fillId="7" borderId="0" xfId="0" applyNumberFormat="1" applyFont="1" applyFill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9" fontId="0" fillId="0" borderId="0" xfId="4" applyFont="1" applyFill="1" applyAlignment="1">
      <alignment horizontal="center"/>
    </xf>
    <xf numFmtId="0" fontId="4" fillId="0" borderId="0" xfId="0" applyFont="1" applyFill="1"/>
    <xf numFmtId="17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17" fontId="4" fillId="0" borderId="0" xfId="0" applyNumberFormat="1" applyFont="1" applyFill="1"/>
    <xf numFmtId="169" fontId="0" fillId="0" borderId="0" xfId="0" applyNumberFormat="1" applyFill="1" applyAlignment="1">
      <alignment horizontal="center"/>
    </xf>
    <xf numFmtId="3" fontId="1" fillId="0" borderId="0" xfId="1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 indent="1"/>
    </xf>
    <xf numFmtId="167" fontId="0" fillId="0" borderId="0" xfId="0" applyNumberFormat="1" applyAlignment="1">
      <alignment horizontal="right" indent="1"/>
    </xf>
    <xf numFmtId="167" fontId="0" fillId="8" borderId="0" xfId="0" applyNumberFormat="1" applyFill="1" applyAlignment="1">
      <alignment horizontal="center"/>
    </xf>
    <xf numFmtId="10" fontId="1" fillId="0" borderId="0" xfId="4" applyNumberFormat="1" applyFont="1" applyBorder="1" applyAlignment="1">
      <alignment horizontal="center"/>
    </xf>
    <xf numFmtId="10" fontId="0" fillId="9" borderId="0" xfId="0" applyNumberFormat="1" applyFill="1" applyAlignment="1">
      <alignment horizontal="center"/>
    </xf>
    <xf numFmtId="3" fontId="0" fillId="0" borderId="4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0" fontId="0" fillId="0" borderId="4" xfId="0" applyFill="1" applyBorder="1"/>
    <xf numFmtId="167" fontId="0" fillId="0" borderId="4" xfId="0" applyNumberFormat="1" applyFill="1" applyBorder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2" fontId="0" fillId="0" borderId="0" xfId="1" applyNumberFormat="1" applyFont="1" applyFill="1"/>
    <xf numFmtId="43" fontId="0" fillId="0" borderId="0" xfId="1" applyFont="1" applyFill="1"/>
    <xf numFmtId="0" fontId="10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14" fillId="0" borderId="0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5" xfId="0" applyFont="1" applyFill="1" applyBorder="1" applyAlignment="1">
      <alignment vertical="top"/>
    </xf>
    <xf numFmtId="0" fontId="13" fillId="0" borderId="6" xfId="0" applyFont="1" applyFill="1" applyBorder="1" applyAlignment="1">
      <alignment vertical="top"/>
    </xf>
    <xf numFmtId="0" fontId="13" fillId="0" borderId="7" xfId="0" applyFont="1" applyFill="1" applyBorder="1" applyAlignment="1">
      <alignment vertical="top"/>
    </xf>
    <xf numFmtId="169" fontId="13" fillId="0" borderId="5" xfId="0" applyNumberFormat="1" applyFont="1" applyFill="1" applyBorder="1" applyAlignment="1">
      <alignment vertical="top"/>
    </xf>
    <xf numFmtId="169" fontId="13" fillId="0" borderId="6" xfId="0" applyNumberFormat="1" applyFont="1" applyFill="1" applyBorder="1" applyAlignment="1">
      <alignment vertical="top"/>
    </xf>
    <xf numFmtId="0" fontId="13" fillId="5" borderId="8" xfId="0" applyFont="1" applyFill="1" applyBorder="1" applyAlignment="1">
      <alignment vertical="top"/>
    </xf>
    <xf numFmtId="0" fontId="13" fillId="5" borderId="9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/>
    </xf>
    <xf numFmtId="169" fontId="13" fillId="5" borderId="8" xfId="0" applyNumberFormat="1" applyFont="1" applyFill="1" applyBorder="1" applyAlignment="1">
      <alignment vertical="top"/>
    </xf>
    <xf numFmtId="169" fontId="13" fillId="5" borderId="9" xfId="0" applyNumberFormat="1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0" borderId="9" xfId="0" applyFont="1" applyFill="1" applyBorder="1" applyAlignment="1">
      <alignment vertical="top"/>
    </xf>
    <xf numFmtId="0" fontId="13" fillId="0" borderId="10" xfId="0" applyFont="1" applyFill="1" applyBorder="1" applyAlignment="1">
      <alignment vertical="top"/>
    </xf>
    <xf numFmtId="169" fontId="13" fillId="0" borderId="8" xfId="0" applyNumberFormat="1" applyFont="1" applyFill="1" applyBorder="1" applyAlignment="1">
      <alignment vertical="top"/>
    </xf>
    <xf numFmtId="169" fontId="13" fillId="0" borderId="9" xfId="0" applyNumberFormat="1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5" fillId="4" borderId="12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169" fontId="5" fillId="4" borderId="1" xfId="0" applyNumberFormat="1" applyFont="1" applyFill="1" applyBorder="1" applyAlignment="1">
      <alignment vertical="top"/>
    </xf>
    <xf numFmtId="3" fontId="13" fillId="0" borderId="5" xfId="0" applyNumberFormat="1" applyFont="1" applyFill="1" applyBorder="1" applyAlignment="1">
      <alignment vertical="top"/>
    </xf>
    <xf numFmtId="3" fontId="13" fillId="0" borderId="6" xfId="0" applyNumberFormat="1" applyFont="1" applyFill="1" applyBorder="1" applyAlignment="1">
      <alignment vertical="top"/>
    </xf>
    <xf numFmtId="3" fontId="13" fillId="5" borderId="8" xfId="0" applyNumberFormat="1" applyFont="1" applyFill="1" applyBorder="1" applyAlignment="1">
      <alignment vertical="top"/>
    </xf>
    <xf numFmtId="3" fontId="13" fillId="5" borderId="9" xfId="0" applyNumberFormat="1" applyFont="1" applyFill="1" applyBorder="1" applyAlignment="1">
      <alignment vertical="top"/>
    </xf>
    <xf numFmtId="3" fontId="13" fillId="0" borderId="8" xfId="0" applyNumberFormat="1" applyFont="1" applyFill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3" fontId="5" fillId="4" borderId="1" xfId="0" applyNumberFormat="1" applyFont="1" applyFill="1" applyBorder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10" borderId="14" xfId="3" applyFont="1" applyFill="1" applyBorder="1" applyAlignment="1">
      <alignment horizontal="right"/>
    </xf>
    <xf numFmtId="0" fontId="20" fillId="10" borderId="0" xfId="3" applyFont="1" applyFill="1" applyBorder="1" applyAlignment="1">
      <alignment horizontal="right"/>
    </xf>
    <xf numFmtId="0" fontId="20" fillId="10" borderId="15" xfId="3" applyFont="1" applyFill="1" applyBorder="1" applyAlignment="1">
      <alignment horizontal="right"/>
    </xf>
    <xf numFmtId="0" fontId="19" fillId="0" borderId="14" xfId="3" applyFont="1" applyBorder="1"/>
    <xf numFmtId="10" fontId="21" fillId="0" borderId="0" xfId="5" applyNumberFormat="1" applyFont="1" applyBorder="1"/>
    <xf numFmtId="10" fontId="21" fillId="0" borderId="16" xfId="5" applyNumberFormat="1" applyFont="1" applyBorder="1"/>
    <xf numFmtId="10" fontId="21" fillId="0" borderId="15" xfId="5" applyNumberFormat="1" applyFont="1" applyBorder="1"/>
    <xf numFmtId="0" fontId="19" fillId="0" borderId="0" xfId="3" applyFont="1" applyBorder="1"/>
    <xf numFmtId="0" fontId="19" fillId="0" borderId="17" xfId="3" applyFont="1" applyBorder="1"/>
    <xf numFmtId="0" fontId="19" fillId="0" borderId="18" xfId="3" applyFont="1" applyBorder="1"/>
    <xf numFmtId="10" fontId="21" fillId="0" borderId="19" xfId="5" applyNumberFormat="1" applyFont="1" applyBorder="1"/>
    <xf numFmtId="10" fontId="21" fillId="0" borderId="20" xfId="5" applyNumberFormat="1" applyFont="1" applyBorder="1"/>
    <xf numFmtId="0" fontId="20" fillId="0" borderId="14" xfId="3" applyFont="1" applyBorder="1"/>
    <xf numFmtId="10" fontId="20" fillId="0" borderId="0" xfId="3" applyNumberFormat="1" applyFont="1" applyBorder="1"/>
    <xf numFmtId="10" fontId="20" fillId="0" borderId="16" xfId="3" applyNumberFormat="1" applyFont="1" applyBorder="1"/>
    <xf numFmtId="10" fontId="20" fillId="0" borderId="15" xfId="3" applyNumberFormat="1" applyFont="1" applyBorder="1"/>
    <xf numFmtId="165" fontId="21" fillId="11" borderId="0" xfId="2" applyNumberFormat="1" applyFont="1" applyFill="1" applyBorder="1"/>
    <xf numFmtId="165" fontId="21" fillId="11" borderId="16" xfId="2" applyNumberFormat="1" applyFont="1" applyFill="1" applyBorder="1"/>
    <xf numFmtId="165" fontId="21" fillId="0" borderId="15" xfId="2" applyNumberFormat="1" applyFont="1" applyBorder="1"/>
    <xf numFmtId="165" fontId="21" fillId="0" borderId="0" xfId="2" applyNumberFormat="1" applyFont="1" applyBorder="1"/>
    <xf numFmtId="165" fontId="21" fillId="11" borderId="61" xfId="2" applyNumberFormat="1" applyFont="1" applyFill="1" applyBorder="1"/>
    <xf numFmtId="165" fontId="21" fillId="11" borderId="62" xfId="2" applyNumberFormat="1" applyFont="1" applyFill="1" applyBorder="1"/>
    <xf numFmtId="165" fontId="21" fillId="0" borderId="16" xfId="2" applyNumberFormat="1" applyFont="1" applyBorder="1"/>
    <xf numFmtId="165" fontId="21" fillId="0" borderId="18" xfId="2" applyNumberFormat="1" applyFont="1" applyBorder="1"/>
    <xf numFmtId="165" fontId="21" fillId="0" borderId="19" xfId="2" applyNumberFormat="1" applyFont="1" applyBorder="1"/>
    <xf numFmtId="165" fontId="21" fillId="0" borderId="20" xfId="2" applyNumberFormat="1" applyFont="1" applyBorder="1"/>
    <xf numFmtId="0" fontId="20" fillId="0" borderId="21" xfId="3" applyFont="1" applyBorder="1"/>
    <xf numFmtId="165" fontId="20" fillId="0" borderId="2" xfId="2" applyNumberFormat="1" applyFont="1" applyBorder="1"/>
    <xf numFmtId="165" fontId="20" fillId="0" borderId="22" xfId="2" applyNumberFormat="1" applyFont="1" applyBorder="1"/>
    <xf numFmtId="165" fontId="20" fillId="0" borderId="23" xfId="2" applyNumberFormat="1" applyFont="1" applyBorder="1"/>
    <xf numFmtId="0" fontId="0" fillId="0" borderId="0" xfId="0" applyBorder="1" applyAlignment="1">
      <alignment horizontal="center"/>
    </xf>
    <xf numFmtId="3" fontId="0" fillId="0" borderId="24" xfId="0" applyNumberFormat="1" applyBorder="1"/>
    <xf numFmtId="3" fontId="0" fillId="0" borderId="25" xfId="0" applyNumberFormat="1" applyBorder="1"/>
    <xf numFmtId="3" fontId="0" fillId="12" borderId="25" xfId="0" applyNumberFormat="1" applyFill="1" applyBorder="1"/>
    <xf numFmtId="3" fontId="0" fillId="0" borderId="11" xfId="0" applyNumberFormat="1" applyBorder="1"/>
    <xf numFmtId="3" fontId="0" fillId="0" borderId="1" xfId="0" applyNumberFormat="1" applyBorder="1"/>
    <xf numFmtId="172" fontId="0" fillId="0" borderId="0" xfId="1" applyNumberFormat="1" applyFont="1"/>
    <xf numFmtId="172" fontId="0" fillId="0" borderId="12" xfId="1" applyNumberFormat="1" applyFont="1" applyBorder="1"/>
    <xf numFmtId="172" fontId="15" fillId="12" borderId="0" xfId="1" applyNumberFormat="1" applyFont="1" applyFill="1"/>
    <xf numFmtId="0" fontId="22" fillId="13" borderId="26" xfId="0" applyFont="1" applyFill="1" applyBorder="1" applyAlignment="1">
      <alignment horizontal="center"/>
    </xf>
    <xf numFmtId="0" fontId="22" fillId="13" borderId="27" xfId="0" applyFont="1" applyFill="1" applyBorder="1" applyAlignment="1">
      <alignment horizontal="center"/>
    </xf>
    <xf numFmtId="0" fontId="22" fillId="13" borderId="28" xfId="0" applyFont="1" applyFill="1" applyBorder="1" applyAlignment="1">
      <alignment horizontal="center"/>
    </xf>
    <xf numFmtId="0" fontId="22" fillId="13" borderId="29" xfId="0" applyFont="1" applyFill="1" applyBorder="1" applyAlignment="1">
      <alignment horizontal="center"/>
    </xf>
    <xf numFmtId="0" fontId="0" fillId="6" borderId="30" xfId="0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/>
    </xf>
    <xf numFmtId="0" fontId="20" fillId="0" borderId="31" xfId="0" applyFont="1" applyBorder="1"/>
    <xf numFmtId="0" fontId="0" fillId="0" borderId="11" xfId="0" applyBorder="1"/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2" xfId="0" applyNumberFormat="1" applyFill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3" fontId="0" fillId="0" borderId="12" xfId="0" applyNumberFormat="1" applyBorder="1" applyAlignment="1">
      <alignment horizontal="center"/>
    </xf>
    <xf numFmtId="3" fontId="0" fillId="14" borderId="31" xfId="0" applyNumberFormat="1" applyFill="1" applyBorder="1" applyAlignment="1">
      <alignment horizontal="center"/>
    </xf>
    <xf numFmtId="0" fontId="20" fillId="0" borderId="35" xfId="0" applyFont="1" applyBorder="1"/>
    <xf numFmtId="0" fontId="20" fillId="0" borderId="36" xfId="0" applyFont="1" applyBorder="1"/>
    <xf numFmtId="3" fontId="20" fillId="0" borderId="35" xfId="0" applyNumberFormat="1" applyFont="1" applyBorder="1" applyAlignment="1">
      <alignment horizontal="center"/>
    </xf>
    <xf numFmtId="3" fontId="20" fillId="0" borderId="24" xfId="0" applyNumberFormat="1" applyFont="1" applyBorder="1" applyAlignment="1">
      <alignment horizontal="center"/>
    </xf>
    <xf numFmtId="3" fontId="20" fillId="0" borderId="37" xfId="0" applyNumberFormat="1" applyFont="1" applyBorder="1" applyAlignment="1">
      <alignment horizontal="center"/>
    </xf>
    <xf numFmtId="10" fontId="0" fillId="0" borderId="0" xfId="5" applyNumberFormat="1" applyFont="1"/>
    <xf numFmtId="0" fontId="0" fillId="6" borderId="30" xfId="0" applyFill="1" applyBorder="1"/>
    <xf numFmtId="3" fontId="0" fillId="6" borderId="30" xfId="0" applyNumberFormat="1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20" fillId="0" borderId="38" xfId="0" applyFont="1" applyBorder="1"/>
    <xf numFmtId="0" fontId="0" fillId="0" borderId="39" xfId="0" applyBorder="1"/>
    <xf numFmtId="3" fontId="0" fillId="0" borderId="38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20" fillId="0" borderId="42" xfId="0" applyNumberFormat="1" applyFont="1" applyBorder="1" applyAlignment="1">
      <alignment horizontal="center"/>
    </xf>
    <xf numFmtId="0" fontId="20" fillId="0" borderId="39" xfId="0" applyFont="1" applyBorder="1"/>
    <xf numFmtId="3" fontId="20" fillId="0" borderId="38" xfId="0" applyNumberFormat="1" applyFont="1" applyBorder="1" applyAlignment="1">
      <alignment horizontal="center"/>
    </xf>
    <xf numFmtId="3" fontId="20" fillId="0" borderId="40" xfId="0" applyNumberFormat="1" applyFont="1" applyBorder="1" applyAlignment="1">
      <alignment horizontal="center"/>
    </xf>
    <xf numFmtId="3" fontId="20" fillId="0" borderId="41" xfId="0" applyNumberFormat="1" applyFont="1" applyBorder="1" applyAlignment="1">
      <alignment horizontal="center"/>
    </xf>
    <xf numFmtId="0" fontId="0" fillId="0" borderId="36" xfId="0" applyBorder="1"/>
    <xf numFmtId="3" fontId="0" fillId="0" borderId="35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14" borderId="24" xfId="0" applyNumberFormat="1" applyFill="1" applyBorder="1" applyAlignment="1">
      <alignment horizontal="center"/>
    </xf>
    <xf numFmtId="3" fontId="0" fillId="14" borderId="37" xfId="0" applyNumberFormat="1" applyFill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20" fillId="0" borderId="45" xfId="0" applyNumberFormat="1" applyFont="1" applyBorder="1" applyAlignment="1">
      <alignment horizontal="center"/>
    </xf>
    <xf numFmtId="0" fontId="20" fillId="0" borderId="21" xfId="0" applyFont="1" applyBorder="1"/>
    <xf numFmtId="0" fontId="20" fillId="0" borderId="2" xfId="0" applyFont="1" applyBorder="1"/>
    <xf numFmtId="3" fontId="20" fillId="0" borderId="2" xfId="0" applyNumberFormat="1" applyFont="1" applyBorder="1" applyAlignment="1">
      <alignment horizontal="center"/>
    </xf>
    <xf numFmtId="0" fontId="20" fillId="0" borderId="44" xfId="0" applyFont="1" applyBorder="1"/>
    <xf numFmtId="3" fontId="0" fillId="0" borderId="46" xfId="0" applyNumberFormat="1" applyBorder="1" applyAlignment="1">
      <alignment horizontal="center"/>
    </xf>
    <xf numFmtId="41" fontId="0" fillId="0" borderId="13" xfId="0" applyNumberFormat="1" applyBorder="1"/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0" fontId="20" fillId="0" borderId="47" xfId="0" applyFont="1" applyBorder="1"/>
    <xf numFmtId="0" fontId="0" fillId="0" borderId="47" xfId="0" applyBorder="1"/>
    <xf numFmtId="0" fontId="0" fillId="0" borderId="30" xfId="0" applyBorder="1" applyAlignment="1"/>
    <xf numFmtId="3" fontId="20" fillId="0" borderId="48" xfId="0" applyNumberFormat="1" applyFont="1" applyBorder="1" applyAlignment="1"/>
    <xf numFmtId="0" fontId="20" fillId="0" borderId="0" xfId="0" applyFont="1" applyBorder="1"/>
    <xf numFmtId="0" fontId="0" fillId="0" borderId="0" xfId="0" applyBorder="1"/>
    <xf numFmtId="0" fontId="0" fillId="0" borderId="0" xfId="0" applyBorder="1" applyAlignment="1"/>
    <xf numFmtId="3" fontId="20" fillId="0" borderId="0" xfId="0" applyNumberFormat="1" applyFont="1" applyBorder="1" applyAlignment="1"/>
    <xf numFmtId="3" fontId="20" fillId="0" borderId="4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1" fontId="0" fillId="0" borderId="1" xfId="0" applyNumberFormat="1" applyFill="1" applyBorder="1"/>
    <xf numFmtId="0" fontId="0" fillId="0" borderId="1" xfId="0" applyFill="1" applyBorder="1"/>
    <xf numFmtId="41" fontId="0" fillId="0" borderId="1" xfId="0" applyNumberFormat="1" applyFill="1" applyBorder="1" applyAlignment="1">
      <alignment horizontal="center"/>
    </xf>
    <xf numFmtId="3" fontId="20" fillId="0" borderId="42" xfId="0" applyNumberFormat="1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9" fontId="20" fillId="0" borderId="47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ont="1" applyFill="1"/>
    <xf numFmtId="172" fontId="0" fillId="0" borderId="12" xfId="0" applyNumberFormat="1" applyFill="1" applyBorder="1"/>
    <xf numFmtId="43" fontId="0" fillId="0" borderId="0" xfId="0" applyNumberFormat="1" applyFill="1"/>
    <xf numFmtId="43" fontId="4" fillId="0" borderId="49" xfId="1" applyFont="1" applyFill="1" applyBorder="1"/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37" fontId="0" fillId="0" borderId="0" xfId="0" applyNumberFormat="1" applyFill="1"/>
    <xf numFmtId="170" fontId="0" fillId="0" borderId="0" xfId="5" applyNumberFormat="1" applyFont="1"/>
    <xf numFmtId="0" fontId="1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0" fillId="0" borderId="1" xfId="0" applyNumberFormat="1" applyBorder="1" applyAlignment="1">
      <alignment horizontal="left" indent="1"/>
    </xf>
    <xf numFmtId="37" fontId="0" fillId="0" borderId="1" xfId="0" applyNumberFormat="1" applyFill="1" applyBorder="1"/>
    <xf numFmtId="175" fontId="0" fillId="0" borderId="1" xfId="0" applyNumberFormat="1" applyFill="1" applyBorder="1"/>
    <xf numFmtId="9" fontId="1" fillId="0" borderId="1" xfId="4" applyFill="1" applyBorder="1"/>
    <xf numFmtId="172" fontId="1" fillId="0" borderId="1" xfId="1" applyNumberFormat="1" applyFill="1" applyBorder="1"/>
    <xf numFmtId="3" fontId="1" fillId="0" borderId="1" xfId="0" applyNumberFormat="1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37" fontId="4" fillId="0" borderId="1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" xfId="0" applyFont="1" applyBorder="1"/>
    <xf numFmtId="175" fontId="0" fillId="0" borderId="1" xfId="0" applyNumberFormat="1" applyFill="1" applyBorder="1" applyAlignment="1">
      <alignment horizontal="center"/>
    </xf>
    <xf numFmtId="37" fontId="0" fillId="0" borderId="1" xfId="0" applyNumberFormat="1" applyBorder="1"/>
    <xf numFmtId="176" fontId="1" fillId="0" borderId="1" xfId="0" applyNumberFormat="1" applyFont="1" applyFill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176" fontId="0" fillId="0" borderId="1" xfId="0" applyNumberFormat="1" applyFill="1" applyBorder="1"/>
    <xf numFmtId="0" fontId="16" fillId="0" borderId="24" xfId="0" applyFont="1" applyBorder="1"/>
    <xf numFmtId="0" fontId="4" fillId="0" borderId="44" xfId="0" applyFont="1" applyBorder="1"/>
    <xf numFmtId="0" fontId="4" fillId="0" borderId="36" xfId="0" applyFont="1" applyBorder="1" applyAlignment="1">
      <alignment horizontal="center"/>
    </xf>
    <xf numFmtId="0" fontId="4" fillId="0" borderId="36" xfId="0" applyFont="1" applyBorder="1"/>
    <xf numFmtId="0" fontId="4" fillId="0" borderId="46" xfId="0" applyFont="1" applyBorder="1"/>
    <xf numFmtId="0" fontId="4" fillId="0" borderId="50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75" fontId="0" fillId="0" borderId="1" xfId="0" applyNumberFormat="1" applyBorder="1" applyAlignment="1">
      <alignment horizontal="center"/>
    </xf>
    <xf numFmtId="178" fontId="0" fillId="0" borderId="1" xfId="0" applyNumberFormat="1" applyFill="1" applyBorder="1"/>
    <xf numFmtId="5" fontId="4" fillId="0" borderId="1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3" xfId="0" applyBorder="1"/>
    <xf numFmtId="5" fontId="0" fillId="0" borderId="25" xfId="0" applyNumberFormat="1" applyFill="1" applyBorder="1"/>
    <xf numFmtId="5" fontId="0" fillId="0" borderId="25" xfId="0" applyNumberFormat="1" applyBorder="1"/>
    <xf numFmtId="0" fontId="1" fillId="0" borderId="53" xfId="0" applyFont="1" applyBorder="1"/>
    <xf numFmtId="5" fontId="0" fillId="0" borderId="1" xfId="0" applyNumberFormat="1" applyFill="1" applyBorder="1"/>
    <xf numFmtId="175" fontId="1" fillId="0" borderId="1" xfId="0" applyNumberFormat="1" applyFont="1" applyBorder="1" applyAlignment="1">
      <alignment horizontal="center"/>
    </xf>
    <xf numFmtId="175" fontId="1" fillId="0" borderId="1" xfId="0" applyNumberFormat="1" applyFont="1" applyFill="1" applyBorder="1" applyAlignment="1">
      <alignment horizontal="center"/>
    </xf>
    <xf numFmtId="2" fontId="0" fillId="3" borderId="0" xfId="1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0" borderId="0" xfId="0" applyFont="1"/>
    <xf numFmtId="179" fontId="0" fillId="0" borderId="0" xfId="0" applyNumberFormat="1" applyFill="1"/>
    <xf numFmtId="169" fontId="0" fillId="0" borderId="0" xfId="0" applyNumberFormat="1" applyFill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171" fontId="4" fillId="0" borderId="0" xfId="1" applyNumberFormat="1" applyFont="1" applyAlignment="1">
      <alignment horizontal="center"/>
    </xf>
    <xf numFmtId="37" fontId="0" fillId="0" borderId="12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71" fontId="0" fillId="0" borderId="0" xfId="1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71" fontId="1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Alignment="1">
      <alignment wrapText="1"/>
    </xf>
    <xf numFmtId="37" fontId="0" fillId="0" borderId="0" xfId="0" applyNumberFormat="1"/>
    <xf numFmtId="10" fontId="4" fillId="0" borderId="0" xfId="0" applyNumberFormat="1" applyFont="1"/>
    <xf numFmtId="172" fontId="0" fillId="0" borderId="0" xfId="1" applyNumberFormat="1" applyFont="1" applyAlignment="1">
      <alignment horizontal="center"/>
    </xf>
    <xf numFmtId="0" fontId="20" fillId="0" borderId="0" xfId="0" applyFont="1" applyAlignment="1">
      <alignment wrapText="1"/>
    </xf>
    <xf numFmtId="10" fontId="1" fillId="0" borderId="0" xfId="4" applyNumberFormat="1" applyFont="1" applyBorder="1" applyAlignment="1">
      <alignment horizontal="left"/>
    </xf>
    <xf numFmtId="167" fontId="1" fillId="9" borderId="48" xfId="0" applyNumberFormat="1" applyFont="1" applyFill="1" applyBorder="1" applyAlignment="1">
      <alignment horizontal="left"/>
    </xf>
    <xf numFmtId="167" fontId="1" fillId="9" borderId="30" xfId="0" applyNumberFormat="1" applyFont="1" applyFill="1" applyBorder="1" applyAlignment="1">
      <alignment horizontal="left"/>
    </xf>
    <xf numFmtId="167" fontId="1" fillId="9" borderId="54" xfId="0" applyNumberFormat="1" applyFont="1" applyFill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20" fillId="10" borderId="55" xfId="3" applyFont="1" applyFill="1" applyBorder="1" applyAlignment="1">
      <alignment horizontal="center"/>
    </xf>
    <xf numFmtId="0" fontId="20" fillId="10" borderId="56" xfId="3" applyFont="1" applyFill="1" applyBorder="1" applyAlignment="1">
      <alignment horizontal="center"/>
    </xf>
    <xf numFmtId="0" fontId="20" fillId="10" borderId="57" xfId="3" applyFont="1" applyFill="1" applyBorder="1" applyAlignment="1">
      <alignment horizontal="center"/>
    </xf>
    <xf numFmtId="174" fontId="21" fillId="11" borderId="14" xfId="2" applyNumberFormat="1" applyFont="1" applyFill="1" applyBorder="1" applyAlignment="1">
      <alignment horizontal="center"/>
    </xf>
    <xf numFmtId="174" fontId="21" fillId="11" borderId="0" xfId="2" applyNumberFormat="1" applyFont="1" applyFill="1" applyBorder="1" applyAlignment="1">
      <alignment horizontal="center"/>
    </xf>
    <xf numFmtId="174" fontId="21" fillId="11" borderId="15" xfId="2" applyNumberFormat="1" applyFont="1" applyFill="1" applyBorder="1" applyAlignment="1">
      <alignment horizontal="center"/>
    </xf>
    <xf numFmtId="0" fontId="20" fillId="10" borderId="34" xfId="3" applyFont="1" applyFill="1" applyBorder="1" applyAlignment="1">
      <alignment horizontal="center" vertical="center"/>
    </xf>
    <xf numFmtId="0" fontId="20" fillId="10" borderId="12" xfId="3" applyFont="1" applyFill="1" applyBorder="1" applyAlignment="1">
      <alignment horizontal="center" vertical="center"/>
    </xf>
    <xf numFmtId="0" fontId="20" fillId="10" borderId="58" xfId="3" applyFont="1" applyFill="1" applyBorder="1" applyAlignment="1">
      <alignment horizontal="center" vertical="center"/>
    </xf>
    <xf numFmtId="0" fontId="20" fillId="0" borderId="47" xfId="0" applyFont="1" applyBorder="1" applyAlignment="1"/>
    <xf numFmtId="0" fontId="20" fillId="0" borderId="47" xfId="0" applyFont="1" applyFill="1" applyBorder="1" applyAlignment="1"/>
    <xf numFmtId="0" fontId="22" fillId="13" borderId="29" xfId="0" applyFont="1" applyFill="1" applyBorder="1" applyAlignment="1">
      <alignment horizontal="center" vertical="center" wrapText="1"/>
    </xf>
    <xf numFmtId="0" fontId="23" fillId="13" borderId="59" xfId="0" applyFont="1" applyFill="1" applyBorder="1" applyAlignment="1">
      <alignment horizontal="center" vertical="center" wrapText="1"/>
    </xf>
    <xf numFmtId="0" fontId="22" fillId="15" borderId="48" xfId="0" applyFont="1" applyFill="1" applyBorder="1" applyAlignment="1"/>
    <xf numFmtId="0" fontId="23" fillId="0" borderId="30" xfId="0" applyFont="1" applyBorder="1" applyAlignment="1"/>
    <xf numFmtId="0" fontId="23" fillId="15" borderId="30" xfId="0" applyFont="1" applyFill="1" applyBorder="1" applyAlignment="1"/>
    <xf numFmtId="3" fontId="22" fillId="15" borderId="48" xfId="0" applyNumberFormat="1" applyFont="1" applyFill="1" applyBorder="1" applyAlignment="1"/>
    <xf numFmtId="0" fontId="20" fillId="15" borderId="48" xfId="0" applyFont="1" applyFill="1" applyBorder="1" applyAlignment="1"/>
    <xf numFmtId="0" fontId="0" fillId="15" borderId="30" xfId="0" applyFill="1" applyBorder="1" applyAlignment="1"/>
    <xf numFmtId="0" fontId="22" fillId="13" borderId="29" xfId="0" applyFont="1" applyFill="1" applyBorder="1" applyAlignment="1">
      <alignment horizontal="center" vertical="center"/>
    </xf>
    <xf numFmtId="0" fontId="23" fillId="13" borderId="59" xfId="0" applyFont="1" applyFill="1" applyBorder="1" applyAlignment="1">
      <alignment horizontal="center" vertical="center"/>
    </xf>
    <xf numFmtId="0" fontId="22" fillId="13" borderId="55" xfId="0" applyFont="1" applyFill="1" applyBorder="1" applyAlignment="1">
      <alignment horizontal="center" vertical="center"/>
    </xf>
    <xf numFmtId="0" fontId="23" fillId="13" borderId="56" xfId="0" applyFont="1" applyFill="1" applyBorder="1" applyAlignment="1">
      <alignment horizontal="center" vertical="center"/>
    </xf>
    <xf numFmtId="0" fontId="23" fillId="13" borderId="57" xfId="0" applyFont="1" applyFill="1" applyBorder="1" applyAlignment="1">
      <alignment horizontal="center" vertical="center"/>
    </xf>
    <xf numFmtId="0" fontId="23" fillId="13" borderId="14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center" vertical="center"/>
    </xf>
    <xf numFmtId="0" fontId="23" fillId="13" borderId="15" xfId="0" applyFont="1" applyFill="1" applyBorder="1" applyAlignment="1">
      <alignment horizontal="center" vertical="center"/>
    </xf>
    <xf numFmtId="0" fontId="22" fillId="13" borderId="55" xfId="0" applyFont="1" applyFill="1" applyBorder="1" applyAlignment="1">
      <alignment horizontal="center" vertical="center" wrapText="1"/>
    </xf>
    <xf numFmtId="0" fontId="23" fillId="13" borderId="56" xfId="0" applyFont="1" applyFill="1" applyBorder="1" applyAlignment="1">
      <alignment horizontal="center" vertical="center" wrapText="1"/>
    </xf>
    <xf numFmtId="0" fontId="23" fillId="13" borderId="57" xfId="0" applyFont="1" applyFill="1" applyBorder="1" applyAlignment="1">
      <alignment horizontal="center" vertical="center" wrapText="1"/>
    </xf>
    <xf numFmtId="0" fontId="23" fillId="13" borderId="2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23" xfId="0" applyFont="1" applyFill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wrapText="1"/>
    </xf>
    <xf numFmtId="0" fontId="4" fillId="0" borderId="25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36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5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0" xfId="0" applyNumberFormat="1" applyFont="1" applyBorder="1" applyAlignment="1">
      <alignment horizontal="center"/>
    </xf>
    <xf numFmtId="0" fontId="4" fillId="0" borderId="60" xfId="0" applyNumberFormat="1" applyFont="1" applyBorder="1" applyAlignment="1">
      <alignment horizontal="center"/>
    </xf>
    <xf numFmtId="0" fontId="4" fillId="0" borderId="53" xfId="0" applyNumberFormat="1" applyFont="1" applyBorder="1" applyAlignment="1">
      <alignment horizontal="center"/>
    </xf>
  </cellXfs>
  <cellStyles count="6">
    <cellStyle name="Comma" xfId="1" builtinId="3"/>
    <cellStyle name="Comma 3" xfId="2"/>
    <cellStyle name="Normal" xfId="0" builtinId="0"/>
    <cellStyle name="Normal 5" xfId="3"/>
    <cellStyle name="Percent" xfId="4" builtinId="5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Summary!$A$67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Summary!$D$66:$O$66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Summary!$D$67:$O$67</c:f>
              <c:numCache>
                <c:formatCode>_(* #,##0_);_(* \(#,##0\);_(* "-"??_);_(@_)</c:formatCode>
                <c:ptCount val="12"/>
                <c:pt idx="0">
                  <c:v>1162.7106737803967</c:v>
                </c:pt>
                <c:pt idx="1">
                  <c:v>1152.0431601684204</c:v>
                </c:pt>
                <c:pt idx="2">
                  <c:v>1205.2410738281756</c:v>
                </c:pt>
                <c:pt idx="3">
                  <c:v>1272.1913389746144</c:v>
                </c:pt>
                <c:pt idx="4">
                  <c:v>1248.0578397212546</c:v>
                </c:pt>
                <c:pt idx="5">
                  <c:v>1283.9163663514184</c:v>
                </c:pt>
                <c:pt idx="6">
                  <c:v>1247.356069218019</c:v>
                </c:pt>
                <c:pt idx="7">
                  <c:v>1216.8078194732932</c:v>
                </c:pt>
                <c:pt idx="8">
                  <c:v>1264.7146369492391</c:v>
                </c:pt>
                <c:pt idx="9">
                  <c:v>1266.3116624232737</c:v>
                </c:pt>
                <c:pt idx="10">
                  <c:v>1260.7894508992722</c:v>
                </c:pt>
                <c:pt idx="11">
                  <c:v>1250.0000795232756</c:v>
                </c:pt>
              </c:numCache>
            </c:numRef>
          </c:val>
        </c:ser>
        <c:ser>
          <c:idx val="1"/>
          <c:order val="1"/>
          <c:tx>
            <c:strRef>
              <c:f>Summary!$A$68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Summary!$D$66:$O$66</c:f>
              <c:numCache>
                <c:formatCode>General</c:formatCod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numCache>
            </c:numRef>
          </c:cat>
          <c:val>
            <c:numRef>
              <c:f>Summary!$D$68:$O$68</c:f>
              <c:numCache>
                <c:formatCode>_(* #,##0_);_(* \(#,##0\);_(* "-"??_);_(@_)</c:formatCode>
                <c:ptCount val="12"/>
                <c:pt idx="0">
                  <c:v>1162.6654762128398</c:v>
                </c:pt>
                <c:pt idx="1">
                  <c:v>1167.6507158182812</c:v>
                </c:pt>
                <c:pt idx="2">
                  <c:v>1182.6458563429189</c:v>
                </c:pt>
                <c:pt idx="3">
                  <c:v>1271.7227980020389</c:v>
                </c:pt>
                <c:pt idx="4">
                  <c:v>1249.4332621496064</c:v>
                </c:pt>
                <c:pt idx="5">
                  <c:v>1270.377856264178</c:v>
                </c:pt>
                <c:pt idx="6">
                  <c:v>1255.8433678588324</c:v>
                </c:pt>
                <c:pt idx="7">
                  <c:v>1225.3990852882425</c:v>
                </c:pt>
                <c:pt idx="8">
                  <c:v>1256.4508726026884</c:v>
                </c:pt>
                <c:pt idx="9">
                  <c:v>1265.2088732973048</c:v>
                </c:pt>
                <c:pt idx="10">
                  <c:v>1275.1403551855635</c:v>
                </c:pt>
                <c:pt idx="11">
                  <c:v>1237.5765069836352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22067712"/>
        <c:axId val="173682688"/>
      </c:barChart>
      <c:catAx>
        <c:axId val="22206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682688"/>
        <c:crosses val="autoZero"/>
        <c:auto val="1"/>
        <c:lblAlgn val="ctr"/>
        <c:lblOffset val="100"/>
        <c:noMultiLvlLbl val="0"/>
      </c:catAx>
      <c:valAx>
        <c:axId val="1736826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206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Actual vs Predicted by Month(kWh) 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Actual</c:v>
          </c:tx>
          <c:invertIfNegative val="0"/>
          <c:cat>
            <c:numRef>
              <c:f>'Purchased Power Model'!$A$75:$A$242</c:f>
              <c:numCache>
                <c:formatCode>mmm\-yy</c:formatCode>
                <c:ptCount val="168"/>
                <c:pt idx="0">
                  <c:v>37275</c:v>
                </c:pt>
                <c:pt idx="1">
                  <c:v>37308</c:v>
                </c:pt>
                <c:pt idx="2">
                  <c:v>37341</c:v>
                </c:pt>
                <c:pt idx="3">
                  <c:v>37374</c:v>
                </c:pt>
                <c:pt idx="4">
                  <c:v>37407</c:v>
                </c:pt>
                <c:pt idx="5">
                  <c:v>37408</c:v>
                </c:pt>
                <c:pt idx="6">
                  <c:v>37440</c:v>
                </c:pt>
                <c:pt idx="7">
                  <c:v>37473</c:v>
                </c:pt>
                <c:pt idx="8">
                  <c:v>37506</c:v>
                </c:pt>
                <c:pt idx="9">
                  <c:v>37539</c:v>
                </c:pt>
                <c:pt idx="10">
                  <c:v>37572</c:v>
                </c:pt>
                <c:pt idx="11">
                  <c:v>37605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'Purchased Power Model'!$E$75:$E$218</c:f>
              <c:numCache>
                <c:formatCode>#,##0</c:formatCode>
                <c:ptCount val="144"/>
                <c:pt idx="0">
                  <c:v>98398774.076027989</c:v>
                </c:pt>
                <c:pt idx="1">
                  <c:v>87515454.445915431</c:v>
                </c:pt>
                <c:pt idx="2">
                  <c:v>94028461.32406956</c:v>
                </c:pt>
                <c:pt idx="3">
                  <c:v>86184465.624160141</c:v>
                </c:pt>
                <c:pt idx="4">
                  <c:v>85447299.005604059</c:v>
                </c:pt>
                <c:pt idx="5">
                  <c:v>95651672.755143687</c:v>
                </c:pt>
                <c:pt idx="6">
                  <c:v>119450096.05526412</c:v>
                </c:pt>
                <c:pt idx="7">
                  <c:v>114483162.95551597</c:v>
                </c:pt>
                <c:pt idx="8">
                  <c:v>96936653.295243025</c:v>
                </c:pt>
                <c:pt idx="9">
                  <c:v>90917730.905905664</c:v>
                </c:pt>
                <c:pt idx="10">
                  <c:v>90920617.540786162</c:v>
                </c:pt>
                <c:pt idx="11">
                  <c:v>102776285.79676101</c:v>
                </c:pt>
                <c:pt idx="12">
                  <c:v>104493534.93325901</c:v>
                </c:pt>
                <c:pt idx="13">
                  <c:v>96011347.461254403</c:v>
                </c:pt>
                <c:pt idx="14">
                  <c:v>95684640.116261721</c:v>
                </c:pt>
                <c:pt idx="15">
                  <c:v>86343957.476882041</c:v>
                </c:pt>
                <c:pt idx="16">
                  <c:v>84100206.046006992</c:v>
                </c:pt>
                <c:pt idx="17">
                  <c:v>90485412.539940089</c:v>
                </c:pt>
                <c:pt idx="18">
                  <c:v>107838219.04581785</c:v>
                </c:pt>
                <c:pt idx="19">
                  <c:v>111720633.46704757</c:v>
                </c:pt>
                <c:pt idx="20">
                  <c:v>90994823.965041861</c:v>
                </c:pt>
                <c:pt idx="21">
                  <c:v>90574201.447299004</c:v>
                </c:pt>
                <c:pt idx="22">
                  <c:v>91660392.38326548</c:v>
                </c:pt>
                <c:pt idx="23">
                  <c:v>102135791.28634423</c:v>
                </c:pt>
                <c:pt idx="24">
                  <c:v>110906403.35247804</c:v>
                </c:pt>
                <c:pt idx="25">
                  <c:v>98773309.576660067</c:v>
                </c:pt>
                <c:pt idx="26">
                  <c:v>100169246.38921793</c:v>
                </c:pt>
                <c:pt idx="27">
                  <c:v>89485332.908633038</c:v>
                </c:pt>
                <c:pt idx="28">
                  <c:v>90686143.157182246</c:v>
                </c:pt>
                <c:pt idx="29">
                  <c:v>96517444.233200282</c:v>
                </c:pt>
                <c:pt idx="30">
                  <c:v>110297641.91792004</c:v>
                </c:pt>
                <c:pt idx="31">
                  <c:v>109063695.09172532</c:v>
                </c:pt>
                <c:pt idx="32">
                  <c:v>103094592.03886008</c:v>
                </c:pt>
                <c:pt idx="33">
                  <c:v>93329245.592904851</c:v>
                </c:pt>
                <c:pt idx="34">
                  <c:v>94434398.733862221</c:v>
                </c:pt>
                <c:pt idx="35">
                  <c:v>108483620.83553149</c:v>
                </c:pt>
                <c:pt idx="36">
                  <c:v>111357551.02040815</c:v>
                </c:pt>
                <c:pt idx="37">
                  <c:v>97354644.101543054</c:v>
                </c:pt>
                <c:pt idx="38">
                  <c:v>103696306.62020905</c:v>
                </c:pt>
                <c:pt idx="39">
                  <c:v>91002648.083623707</c:v>
                </c:pt>
                <c:pt idx="40">
                  <c:v>90914554.504728734</c:v>
                </c:pt>
                <c:pt idx="41">
                  <c:v>117110313.58885016</c:v>
                </c:pt>
                <c:pt idx="42">
                  <c:v>130492623.1956197</c:v>
                </c:pt>
                <c:pt idx="43">
                  <c:v>125304430.0647088</c:v>
                </c:pt>
                <c:pt idx="44">
                  <c:v>103515709.3081135</c:v>
                </c:pt>
                <c:pt idx="45">
                  <c:v>95683703.334992543</c:v>
                </c:pt>
                <c:pt idx="46">
                  <c:v>95832424.091587856</c:v>
                </c:pt>
                <c:pt idx="47">
                  <c:v>109926431.06022897</c:v>
                </c:pt>
                <c:pt idx="48">
                  <c:v>105189785.96316576</c:v>
                </c:pt>
                <c:pt idx="49">
                  <c:v>97673987.05823794</c:v>
                </c:pt>
                <c:pt idx="50">
                  <c:v>102138407.16774514</c:v>
                </c:pt>
                <c:pt idx="51">
                  <c:v>89654385.266301632</c:v>
                </c:pt>
                <c:pt idx="52">
                  <c:v>96375370.83125934</c:v>
                </c:pt>
                <c:pt idx="53">
                  <c:v>106149795.91836734</c:v>
                </c:pt>
                <c:pt idx="54">
                  <c:v>129944897.95918369</c:v>
                </c:pt>
                <c:pt idx="55">
                  <c:v>120333539.07416625</c:v>
                </c:pt>
                <c:pt idx="56">
                  <c:v>95914534.594325542</c:v>
                </c:pt>
                <c:pt idx="57">
                  <c:v>99436286.709805876</c:v>
                </c:pt>
                <c:pt idx="58">
                  <c:v>98699342.956694871</c:v>
                </c:pt>
                <c:pt idx="59">
                  <c:v>106547506.22200099</c:v>
                </c:pt>
                <c:pt idx="60">
                  <c:v>110076804.38028871</c:v>
                </c:pt>
                <c:pt idx="61">
                  <c:v>106214902.93678446</c:v>
                </c:pt>
                <c:pt idx="62">
                  <c:v>105901314.08661026</c:v>
                </c:pt>
                <c:pt idx="63">
                  <c:v>96871139.870582387</c:v>
                </c:pt>
                <c:pt idx="64">
                  <c:v>96387834.743653566</c:v>
                </c:pt>
                <c:pt idx="65">
                  <c:v>113036515.67944252</c:v>
                </c:pt>
                <c:pt idx="66">
                  <c:v>116239482.32951717</c:v>
                </c:pt>
                <c:pt idx="67">
                  <c:v>124879950.22399203</c:v>
                </c:pt>
                <c:pt idx="68">
                  <c:v>104023175.70930812</c:v>
                </c:pt>
                <c:pt idx="69">
                  <c:v>99226202.09059234</c:v>
                </c:pt>
                <c:pt idx="70">
                  <c:v>100079143.85266301</c:v>
                </c:pt>
                <c:pt idx="71">
                  <c:v>110979900.44798407</c:v>
                </c:pt>
                <c:pt idx="72">
                  <c:v>109510858.76302473</c:v>
                </c:pt>
                <c:pt idx="73">
                  <c:v>104696662.64555334</c:v>
                </c:pt>
                <c:pt idx="74">
                  <c:v>105342396.84167081</c:v>
                </c:pt>
                <c:pt idx="75">
                  <c:v>86729773.646051109</c:v>
                </c:pt>
                <c:pt idx="76">
                  <c:v>95591326.657499582</c:v>
                </c:pt>
                <c:pt idx="77">
                  <c:v>106359071.80433881</c:v>
                </c:pt>
                <c:pt idx="78">
                  <c:v>120281441.14231789</c:v>
                </c:pt>
                <c:pt idx="79">
                  <c:v>112894870.70926663</c:v>
                </c:pt>
                <c:pt idx="80">
                  <c:v>101394552.14281566</c:v>
                </c:pt>
                <c:pt idx="81">
                  <c:v>95461112.620665342</c:v>
                </c:pt>
                <c:pt idx="82">
                  <c:v>97537060.853617057</c:v>
                </c:pt>
                <c:pt idx="83">
                  <c:v>111556941.39119795</c:v>
                </c:pt>
                <c:pt idx="84">
                  <c:v>117644798.53857641</c:v>
                </c:pt>
                <c:pt idx="85">
                  <c:v>97575928.4539572</c:v>
                </c:pt>
                <c:pt idx="86">
                  <c:v>101971896.59731211</c:v>
                </c:pt>
                <c:pt idx="87">
                  <c:v>92172702.968641117</c:v>
                </c:pt>
                <c:pt idx="88">
                  <c:v>90679049.026764169</c:v>
                </c:pt>
                <c:pt idx="89">
                  <c:v>97810557.239805505</c:v>
                </c:pt>
                <c:pt idx="90">
                  <c:v>106317705.84033389</c:v>
                </c:pt>
                <c:pt idx="91">
                  <c:v>118314175.57269213</c:v>
                </c:pt>
                <c:pt idx="92">
                  <c:v>96760283.471761703</c:v>
                </c:pt>
                <c:pt idx="93">
                  <c:v>93898385.091396421</c:v>
                </c:pt>
                <c:pt idx="94">
                  <c:v>93733128.744955406</c:v>
                </c:pt>
                <c:pt idx="95">
                  <c:v>109929207.92709731</c:v>
                </c:pt>
                <c:pt idx="96">
                  <c:v>112728743.41792473</c:v>
                </c:pt>
                <c:pt idx="97">
                  <c:v>99258445.311021179</c:v>
                </c:pt>
                <c:pt idx="98">
                  <c:v>100040210.32377149</c:v>
                </c:pt>
                <c:pt idx="99">
                  <c:v>89357236.069339499</c:v>
                </c:pt>
                <c:pt idx="100">
                  <c:v>98050856.146951795</c:v>
                </c:pt>
                <c:pt idx="101">
                  <c:v>106969130.23926716</c:v>
                </c:pt>
                <c:pt idx="102">
                  <c:v>130192001.11915383</c:v>
                </c:pt>
                <c:pt idx="103">
                  <c:v>125435396.10659494</c:v>
                </c:pt>
                <c:pt idx="104">
                  <c:v>99514707.287588164</c:v>
                </c:pt>
                <c:pt idx="105">
                  <c:v>94152765.44334878</c:v>
                </c:pt>
                <c:pt idx="106">
                  <c:v>97120412.208099708</c:v>
                </c:pt>
                <c:pt idx="107">
                  <c:v>111894733.27617797</c:v>
                </c:pt>
                <c:pt idx="108">
                  <c:v>113829885.14897905</c:v>
                </c:pt>
                <c:pt idx="109">
                  <c:v>102120252.30087246</c:v>
                </c:pt>
                <c:pt idx="110">
                  <c:v>106849782.5853615</c:v>
                </c:pt>
                <c:pt idx="111">
                  <c:v>94087029.297043547</c:v>
                </c:pt>
                <c:pt idx="112">
                  <c:v>95311649.190829188</c:v>
                </c:pt>
                <c:pt idx="113">
                  <c:v>104481387.99310356</c:v>
                </c:pt>
                <c:pt idx="114">
                  <c:v>132315624.27127488</c:v>
                </c:pt>
                <c:pt idx="115">
                  <c:v>120979109.88007376</c:v>
                </c:pt>
                <c:pt idx="116">
                  <c:v>101456692.20170335</c:v>
                </c:pt>
                <c:pt idx="117">
                  <c:v>95202184.847298175</c:v>
                </c:pt>
                <c:pt idx="118">
                  <c:v>94439501.273610532</c:v>
                </c:pt>
                <c:pt idx="119">
                  <c:v>105238563.4331235</c:v>
                </c:pt>
                <c:pt idx="120">
                  <c:v>109223578.46951081</c:v>
                </c:pt>
                <c:pt idx="121">
                  <c:v>99573605.103197679</c:v>
                </c:pt>
                <c:pt idx="122">
                  <c:v>96940328.99663873</c:v>
                </c:pt>
                <c:pt idx="123">
                  <c:v>90395437.384125814</c:v>
                </c:pt>
                <c:pt idx="124">
                  <c:v>100200864.44101663</c:v>
                </c:pt>
                <c:pt idx="125">
                  <c:v>110427095.97285067</c:v>
                </c:pt>
                <c:pt idx="126">
                  <c:v>134019462.29349864</c:v>
                </c:pt>
                <c:pt idx="127">
                  <c:v>122137536.59835409</c:v>
                </c:pt>
                <c:pt idx="128">
                  <c:v>100247713.37838936</c:v>
                </c:pt>
                <c:pt idx="129">
                  <c:v>95198439.703245699</c:v>
                </c:pt>
                <c:pt idx="130">
                  <c:v>97032089.232771918</c:v>
                </c:pt>
                <c:pt idx="131">
                  <c:v>105393299.32567206</c:v>
                </c:pt>
                <c:pt idx="132">
                  <c:v>110317098.32040238</c:v>
                </c:pt>
                <c:pt idx="133">
                  <c:v>99792259.768220529</c:v>
                </c:pt>
                <c:pt idx="134">
                  <c:v>103236303.64129171</c:v>
                </c:pt>
                <c:pt idx="135">
                  <c:v>93025730.779005319</c:v>
                </c:pt>
                <c:pt idx="136">
                  <c:v>96420691.896310791</c:v>
                </c:pt>
                <c:pt idx="137">
                  <c:v>102784125.50108929</c:v>
                </c:pt>
                <c:pt idx="138">
                  <c:v>124839639.63216612</c:v>
                </c:pt>
                <c:pt idx="139">
                  <c:v>115518135.37017837</c:v>
                </c:pt>
                <c:pt idx="140">
                  <c:v>98240609.585044816</c:v>
                </c:pt>
                <c:pt idx="141">
                  <c:v>95936957.140213236</c:v>
                </c:pt>
                <c:pt idx="142">
                  <c:v>99297938.273281083</c:v>
                </c:pt>
                <c:pt idx="143">
                  <c:v>110590589.61607186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90720"/>
        <c:axId val="173792256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cat>
            <c:numRef>
              <c:f>'Purchased Power Model'!$A$75:$A$242</c:f>
              <c:numCache>
                <c:formatCode>mmm\-yy</c:formatCode>
                <c:ptCount val="168"/>
                <c:pt idx="0">
                  <c:v>37275</c:v>
                </c:pt>
                <c:pt idx="1">
                  <c:v>37308</c:v>
                </c:pt>
                <c:pt idx="2">
                  <c:v>37341</c:v>
                </c:pt>
                <c:pt idx="3">
                  <c:v>37374</c:v>
                </c:pt>
                <c:pt idx="4">
                  <c:v>37407</c:v>
                </c:pt>
                <c:pt idx="5">
                  <c:v>37408</c:v>
                </c:pt>
                <c:pt idx="6">
                  <c:v>37440</c:v>
                </c:pt>
                <c:pt idx="7">
                  <c:v>37473</c:v>
                </c:pt>
                <c:pt idx="8">
                  <c:v>37506</c:v>
                </c:pt>
                <c:pt idx="9">
                  <c:v>37539</c:v>
                </c:pt>
                <c:pt idx="10">
                  <c:v>37572</c:v>
                </c:pt>
                <c:pt idx="11">
                  <c:v>37605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'Purchased Power Model'!$O$75:$O$242</c:f>
              <c:numCache>
                <c:formatCode>#,##0_);\(#,##0\)</c:formatCode>
                <c:ptCount val="168"/>
                <c:pt idx="0">
                  <c:v>97692694.106691822</c:v>
                </c:pt>
                <c:pt idx="1">
                  <c:v>88253106.295455962</c:v>
                </c:pt>
                <c:pt idx="2">
                  <c:v>92609629.869335502</c:v>
                </c:pt>
                <c:pt idx="3">
                  <c:v>85214616.408920079</c:v>
                </c:pt>
                <c:pt idx="4">
                  <c:v>86740751.004391372</c:v>
                </c:pt>
                <c:pt idx="5">
                  <c:v>94950462.339196518</c:v>
                </c:pt>
                <c:pt idx="6">
                  <c:v>123515843.52800335</c:v>
                </c:pt>
                <c:pt idx="7">
                  <c:v>116730863.74941696</c:v>
                </c:pt>
                <c:pt idx="8">
                  <c:v>97037179.211005241</c:v>
                </c:pt>
                <c:pt idx="9">
                  <c:v>89981481.004160821</c:v>
                </c:pt>
                <c:pt idx="10">
                  <c:v>88581117.728179902</c:v>
                </c:pt>
                <c:pt idx="11">
                  <c:v>101357730.96808238</c:v>
                </c:pt>
                <c:pt idx="12">
                  <c:v>104864772.42726891</c:v>
                </c:pt>
                <c:pt idx="13">
                  <c:v>94315757.366756946</c:v>
                </c:pt>
                <c:pt idx="14">
                  <c:v>96256791.686705559</c:v>
                </c:pt>
                <c:pt idx="15">
                  <c:v>89975378.868210882</c:v>
                </c:pt>
                <c:pt idx="16">
                  <c:v>89236537.293396592</c:v>
                </c:pt>
                <c:pt idx="17">
                  <c:v>96441718.858627662</c:v>
                </c:pt>
                <c:pt idx="18">
                  <c:v>109500535.04528858</c:v>
                </c:pt>
                <c:pt idx="19">
                  <c:v>117008526.3266954</c:v>
                </c:pt>
                <c:pt idx="20">
                  <c:v>87376122.85288021</c:v>
                </c:pt>
                <c:pt idx="21">
                  <c:v>90389954.771938622</c:v>
                </c:pt>
                <c:pt idx="22">
                  <c:v>90072436.742713898</c:v>
                </c:pt>
                <c:pt idx="23">
                  <c:v>102212183.57779793</c:v>
                </c:pt>
                <c:pt idx="24">
                  <c:v>108112769.52642031</c:v>
                </c:pt>
                <c:pt idx="25">
                  <c:v>98419855.286065191</c:v>
                </c:pt>
                <c:pt idx="26">
                  <c:v>96968540.582988113</c:v>
                </c:pt>
                <c:pt idx="27">
                  <c:v>90870797.970450997</c:v>
                </c:pt>
                <c:pt idx="28">
                  <c:v>90306901.388879061</c:v>
                </c:pt>
                <c:pt idx="29">
                  <c:v>94679764.70106335</c:v>
                </c:pt>
                <c:pt idx="30">
                  <c:v>106992250.56311192</c:v>
                </c:pt>
                <c:pt idx="31">
                  <c:v>108308305.54067652</c:v>
                </c:pt>
                <c:pt idx="32">
                  <c:v>96923444.707692236</c:v>
                </c:pt>
                <c:pt idx="33">
                  <c:v>92318552.995349854</c:v>
                </c:pt>
                <c:pt idx="34">
                  <c:v>92530822.936774135</c:v>
                </c:pt>
                <c:pt idx="35">
                  <c:v>106213850.14344715</c:v>
                </c:pt>
                <c:pt idx="36">
                  <c:v>109438481.04897909</c:v>
                </c:pt>
                <c:pt idx="37">
                  <c:v>98242915.924179614</c:v>
                </c:pt>
                <c:pt idx="38">
                  <c:v>101936205.5499756</c:v>
                </c:pt>
                <c:pt idx="39">
                  <c:v>93771374.886744231</c:v>
                </c:pt>
                <c:pt idx="40">
                  <c:v>93862537.74461183</c:v>
                </c:pt>
                <c:pt idx="41">
                  <c:v>112238553.40155365</c:v>
                </c:pt>
                <c:pt idx="42">
                  <c:v>129713705.48031889</c:v>
                </c:pt>
                <c:pt idx="43">
                  <c:v>126521615.00155728</c:v>
                </c:pt>
                <c:pt idx="44">
                  <c:v>101668382.68625212</c:v>
                </c:pt>
                <c:pt idx="45">
                  <c:v>97627082.179262757</c:v>
                </c:pt>
                <c:pt idx="46">
                  <c:v>95963100.237155557</c:v>
                </c:pt>
                <c:pt idx="47">
                  <c:v>110738843.8614483</c:v>
                </c:pt>
                <c:pt idx="48">
                  <c:v>108044433.94307223</c:v>
                </c:pt>
                <c:pt idx="49">
                  <c:v>100381766.96638967</c:v>
                </c:pt>
                <c:pt idx="50">
                  <c:v>102268918.51493526</c:v>
                </c:pt>
                <c:pt idx="51">
                  <c:v>94878723.508240685</c:v>
                </c:pt>
                <c:pt idx="52">
                  <c:v>99690366.238169536</c:v>
                </c:pt>
                <c:pt idx="53">
                  <c:v>106208823.41533495</c:v>
                </c:pt>
                <c:pt idx="54">
                  <c:v>128324395.1621916</c:v>
                </c:pt>
                <c:pt idx="55">
                  <c:v>116310045.17997676</c:v>
                </c:pt>
                <c:pt idx="56">
                  <c:v>92631095.871903792</c:v>
                </c:pt>
                <c:pt idx="57">
                  <c:v>96912110.997997448</c:v>
                </c:pt>
                <c:pt idx="58">
                  <c:v>96531055.718775928</c:v>
                </c:pt>
                <c:pt idx="59">
                  <c:v>107251526.63261832</c:v>
                </c:pt>
                <c:pt idx="60">
                  <c:v>110275202.07533193</c:v>
                </c:pt>
                <c:pt idx="61">
                  <c:v>103464855.50388753</c:v>
                </c:pt>
                <c:pt idx="62">
                  <c:v>103718162.44075929</c:v>
                </c:pt>
                <c:pt idx="63">
                  <c:v>97175531.189508155</c:v>
                </c:pt>
                <c:pt idx="64">
                  <c:v>97908860.093599111</c:v>
                </c:pt>
                <c:pt idx="65">
                  <c:v>109805574.57794547</c:v>
                </c:pt>
                <c:pt idx="66">
                  <c:v>117746649.26583219</c:v>
                </c:pt>
                <c:pt idx="67">
                  <c:v>124368063.32154235</c:v>
                </c:pt>
                <c:pt idx="68">
                  <c:v>99671729.017975658</c:v>
                </c:pt>
                <c:pt idx="69">
                  <c:v>98044554.119698405</c:v>
                </c:pt>
                <c:pt idx="70">
                  <c:v>97850023.652509376</c:v>
                </c:pt>
                <c:pt idx="71">
                  <c:v>110348651.00558858</c:v>
                </c:pt>
                <c:pt idx="72">
                  <c:v>110253961.79891843</c:v>
                </c:pt>
                <c:pt idx="73">
                  <c:v>105268500.65911713</c:v>
                </c:pt>
                <c:pt idx="74">
                  <c:v>104701766.25565165</c:v>
                </c:pt>
                <c:pt idx="75">
                  <c:v>95971708.380676791</c:v>
                </c:pt>
                <c:pt idx="76">
                  <c:v>96275701.56160225</c:v>
                </c:pt>
                <c:pt idx="77">
                  <c:v>106705484.411017</c:v>
                </c:pt>
                <c:pt idx="78">
                  <c:v>119080722.90132254</c:v>
                </c:pt>
                <c:pt idx="79">
                  <c:v>113464429.8620875</c:v>
                </c:pt>
                <c:pt idx="80">
                  <c:v>97273033.628023982</c:v>
                </c:pt>
                <c:pt idx="81">
                  <c:v>96640056.908691689</c:v>
                </c:pt>
                <c:pt idx="82">
                  <c:v>98679079.939147785</c:v>
                </c:pt>
                <c:pt idx="83">
                  <c:v>111528921.55257566</c:v>
                </c:pt>
                <c:pt idx="84">
                  <c:v>113852700.97510418</c:v>
                </c:pt>
                <c:pt idx="85">
                  <c:v>100444295.66253255</c:v>
                </c:pt>
                <c:pt idx="86">
                  <c:v>103192823.64610587</c:v>
                </c:pt>
                <c:pt idx="87">
                  <c:v>95486143.882327318</c:v>
                </c:pt>
                <c:pt idx="88">
                  <c:v>95160358.825589716</c:v>
                </c:pt>
                <c:pt idx="89">
                  <c:v>100756077.50202982</c:v>
                </c:pt>
                <c:pt idx="90">
                  <c:v>106505760.43229133</c:v>
                </c:pt>
                <c:pt idx="91">
                  <c:v>118315787.93419781</c:v>
                </c:pt>
                <c:pt idx="92">
                  <c:v>93732912.337245435</c:v>
                </c:pt>
                <c:pt idx="93">
                  <c:v>95507076.678941637</c:v>
                </c:pt>
                <c:pt idx="94">
                  <c:v>94267883.786097929</c:v>
                </c:pt>
                <c:pt idx="95">
                  <c:v>108177263.62577888</c:v>
                </c:pt>
                <c:pt idx="96">
                  <c:v>110264005.77846834</c:v>
                </c:pt>
                <c:pt idx="97">
                  <c:v>99172103.133293152</c:v>
                </c:pt>
                <c:pt idx="98">
                  <c:v>100139888.51418358</c:v>
                </c:pt>
                <c:pt idx="99">
                  <c:v>93034421.826622888</c:v>
                </c:pt>
                <c:pt idx="100">
                  <c:v>97464069.43806012</c:v>
                </c:pt>
                <c:pt idx="101">
                  <c:v>104483413.43148695</c:v>
                </c:pt>
                <c:pt idx="102">
                  <c:v>129149267.18744504</c:v>
                </c:pt>
                <c:pt idx="103">
                  <c:v>123698999.63435405</c:v>
                </c:pt>
                <c:pt idx="104">
                  <c:v>96661149.281536475</c:v>
                </c:pt>
                <c:pt idx="105">
                  <c:v>95951706.934221953</c:v>
                </c:pt>
                <c:pt idx="106">
                  <c:v>96082427.680243686</c:v>
                </c:pt>
                <c:pt idx="107">
                  <c:v>110349419.76277205</c:v>
                </c:pt>
                <c:pt idx="108">
                  <c:v>112321926.22678739</c:v>
                </c:pt>
                <c:pt idx="109">
                  <c:v>101177386.04197714</c:v>
                </c:pt>
                <c:pt idx="110">
                  <c:v>103563676.24494588</c:v>
                </c:pt>
                <c:pt idx="111">
                  <c:v>96272661.187070355</c:v>
                </c:pt>
                <c:pt idx="112">
                  <c:v>96315688.707999751</c:v>
                </c:pt>
                <c:pt idx="113">
                  <c:v>101919787.05911647</c:v>
                </c:pt>
                <c:pt idx="114">
                  <c:v>134164483.57910432</c:v>
                </c:pt>
                <c:pt idx="115">
                  <c:v>124434721.14122561</c:v>
                </c:pt>
                <c:pt idx="116">
                  <c:v>96488313.51462923</c:v>
                </c:pt>
                <c:pt idx="117">
                  <c:v>96292694.018998057</c:v>
                </c:pt>
                <c:pt idx="118">
                  <c:v>94921487.868665785</c:v>
                </c:pt>
                <c:pt idx="119">
                  <c:v>107336047.70678487</c:v>
                </c:pt>
                <c:pt idx="120">
                  <c:v>109510645.19685285</c:v>
                </c:pt>
                <c:pt idx="121">
                  <c:v>101884378.7889736</c:v>
                </c:pt>
                <c:pt idx="122">
                  <c:v>99759652.371627748</c:v>
                </c:pt>
                <c:pt idx="123">
                  <c:v>95103935.485320091</c:v>
                </c:pt>
                <c:pt idx="124">
                  <c:v>97628162.398885891</c:v>
                </c:pt>
                <c:pt idx="125">
                  <c:v>113922951.45663932</c:v>
                </c:pt>
                <c:pt idx="126">
                  <c:v>135176121.87756082</c:v>
                </c:pt>
                <c:pt idx="127">
                  <c:v>124577176.43132171</c:v>
                </c:pt>
                <c:pt idx="128">
                  <c:v>98368178.97491461</c:v>
                </c:pt>
                <c:pt idx="129">
                  <c:v>95708607.703029722</c:v>
                </c:pt>
                <c:pt idx="130">
                  <c:v>96712693.945532292</c:v>
                </c:pt>
                <c:pt idx="131">
                  <c:v>106787850.55490488</c:v>
                </c:pt>
                <c:pt idx="132">
                  <c:v>108991277.41835088</c:v>
                </c:pt>
                <c:pt idx="133">
                  <c:v>100302482.17323762</c:v>
                </c:pt>
                <c:pt idx="134">
                  <c:v>102431249.0602984</c:v>
                </c:pt>
                <c:pt idx="135">
                  <c:v>95419687.054450601</c:v>
                </c:pt>
                <c:pt idx="136">
                  <c:v>96547152.369575396</c:v>
                </c:pt>
                <c:pt idx="137">
                  <c:v>102478330.50851922</c:v>
                </c:pt>
                <c:pt idx="138">
                  <c:v>121969826.39980751</c:v>
                </c:pt>
                <c:pt idx="139">
                  <c:v>115447916.76216069</c:v>
                </c:pt>
                <c:pt idx="140">
                  <c:v>94579142.961921766</c:v>
                </c:pt>
                <c:pt idx="141">
                  <c:v>94293840.102612659</c:v>
                </c:pt>
                <c:pt idx="142">
                  <c:v>96268335.170273066</c:v>
                </c:pt>
                <c:pt idx="143">
                  <c:v>108847267.00242728</c:v>
                </c:pt>
                <c:pt idx="144">
                  <c:v>109590614.99628869</c:v>
                </c:pt>
                <c:pt idx="145">
                  <c:v>99458924.376953751</c:v>
                </c:pt>
                <c:pt idx="146">
                  <c:v>101420362.14137068</c:v>
                </c:pt>
                <c:pt idx="147">
                  <c:v>94266240.491198003</c:v>
                </c:pt>
                <c:pt idx="148">
                  <c:v>95306513.559208825</c:v>
                </c:pt>
                <c:pt idx="149">
                  <c:v>104137624.31616938</c:v>
                </c:pt>
                <c:pt idx="150">
                  <c:v>122118157.3406767</c:v>
                </c:pt>
                <c:pt idx="151">
                  <c:v>119273404.50721766</c:v>
                </c:pt>
                <c:pt idx="152">
                  <c:v>96084955.227223337</c:v>
                </c:pt>
                <c:pt idx="153">
                  <c:v>94899097.204253837</c:v>
                </c:pt>
                <c:pt idx="154">
                  <c:v>94674406.466339156</c:v>
                </c:pt>
                <c:pt idx="155">
                  <c:v>107231455.82788676</c:v>
                </c:pt>
                <c:pt idx="156">
                  <c:v>109038540.82409763</c:v>
                </c:pt>
                <c:pt idx="157">
                  <c:v>99036480.067536861</c:v>
                </c:pt>
                <c:pt idx="158">
                  <c:v>101214361.80028281</c:v>
                </c:pt>
                <c:pt idx="159">
                  <c:v>94276684.118439198</c:v>
                </c:pt>
                <c:pt idx="160">
                  <c:v>95533401.154779077</c:v>
                </c:pt>
                <c:pt idx="161">
                  <c:v>104580955.88006867</c:v>
                </c:pt>
                <c:pt idx="162">
                  <c:v>122777932.87290505</c:v>
                </c:pt>
                <c:pt idx="163">
                  <c:v>120149624.00777507</c:v>
                </c:pt>
                <c:pt idx="164">
                  <c:v>97177618.696109831</c:v>
                </c:pt>
                <c:pt idx="165">
                  <c:v>96208204.641469389</c:v>
                </c:pt>
                <c:pt idx="166">
                  <c:v>96199957.87188381</c:v>
                </c:pt>
                <c:pt idx="167">
                  <c:v>108973451.20176043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90720"/>
        <c:axId val="173792256"/>
      </c:lineChart>
      <c:dateAx>
        <c:axId val="1737907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792256"/>
        <c:crosses val="autoZero"/>
        <c:auto val="1"/>
        <c:lblOffset val="100"/>
        <c:baseTimeUnit val="months"/>
      </c:dateAx>
      <c:valAx>
        <c:axId val="173792256"/>
        <c:scaling>
          <c:orientation val="minMax"/>
          <c:min val="8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3790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108425</xdr:rowOff>
    </xdr:from>
    <xdr:ext cx="5076824" cy="361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0" y="270350"/>
              <a:ext cx="5076824" cy="361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𝑀𝐴𝑃𝐸</m:t>
                  </m:r>
                  <m:r>
                    <a:rPr lang="en-US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en-US" sz="1100" b="0" i="1">
                          <a:latin typeface="Cambria Math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/>
                        </a:rPr>
                        <m:t>100%</m:t>
                      </m:r>
                    </m:num>
                    <m:den>
                      <m:r>
                        <a:rPr lang="en-US" sz="1100" b="0" i="1">
                          <a:latin typeface="Cambria Math"/>
                        </a:rPr>
                        <m:t>𝑛</m:t>
                      </m:r>
                    </m:den>
                  </m:f>
                  <m:nary>
                    <m:naryPr>
                      <m:chr m:val="∑"/>
                      <m:ctrlPr>
                        <a:rPr lang="en-US" sz="1100" b="0" i="1">
                          <a:latin typeface="Cambria Math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100" b="0" i="1">
                          <a:latin typeface="Cambria Math"/>
                        </a:rPr>
                        <m:t>𝑡</m:t>
                      </m:r>
                      <m:r>
                        <a:rPr lang="en-US" sz="1100" b="0" i="1">
                          <a:latin typeface="Cambria Math"/>
                        </a:rPr>
                        <m:t>=1</m:t>
                      </m:r>
                    </m:sub>
                    <m:sup>
                      <m:r>
                        <a:rPr lang="en-US" sz="1100" b="0" i="1">
                          <a:latin typeface="Cambria Math"/>
                        </a:rPr>
                        <m:t>𝑛</m:t>
                      </m:r>
                    </m:sup>
                    <m:e>
                      <m:d>
                        <m:dPr>
                          <m:begChr m:val="|"/>
                          <m:endChr m:val="|"/>
                          <m:ctrlPr>
                            <a:rPr lang="en-US" sz="1100" b="0" i="1">
                              <a:latin typeface="Cambria Math"/>
                            </a:rPr>
                          </m:ctrlPr>
                        </m:dPr>
                        <m:e>
                          <m:f>
                            <m:fPr>
                              <m:ctrlPr>
                                <a:rPr lang="en-US" sz="1100" b="0" i="1">
                                  <a:latin typeface="Cambria Math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lang="en-US" sz="1100" b="0" i="1">
                                      <a:latin typeface="Cambria Math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𝑡</m:t>
                                  </m:r>
                                </m:sub>
                              </m:sSub>
                              <m:r>
                                <a:rPr lang="en-US" sz="1100" b="0" i="1">
                                  <a:latin typeface="Cambria Math"/>
                                </a:rPr>
                                <m:t> − </m:t>
                              </m:r>
                              <m:sSub>
                                <m:sSubPr>
                                  <m:ctrlPr>
                                    <a:rPr lang="en-US" sz="1100" b="0" i="1">
                                      <a:latin typeface="Cambria Math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𝐹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𝑡</m:t>
                                  </m:r>
                                </m:sub>
                              </m:sSub>
                            </m:num>
                            <m:den>
                              <m:sSub>
                                <m:sSubPr>
                                  <m:ctrlPr>
                                    <a:rPr lang="en-US" sz="1100" b="0" i="1">
                                      <a:latin typeface="Cambria Math"/>
                                    </a:rPr>
                                  </m:ctrlPr>
                                </m:sSubPr>
                                <m:e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en-US" sz="1100" b="0" i="1">
                                      <a:latin typeface="Cambria Math"/>
                                    </a:rPr>
                                    <m:t>𝑡</m:t>
                                  </m:r>
                                </m:sub>
                              </m:sSub>
                            </m:den>
                          </m:f>
                        </m:e>
                      </m:d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𝑤h𝑒𝑟𝑒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sSub>
                        <m:sSubPr>
                          <m:ctrlPr>
                            <a:rPr lang="en-US" sz="11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</a:rPr>
                            <m:t>𝐴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</a:rPr>
                            <m:t>𝑡</m:t>
                          </m:r>
                        </m:sub>
                      </m:sSub>
                      <m:r>
                        <a:rPr lang="en-US" sz="1100" b="0" i="1">
                          <a:latin typeface="Cambria Math"/>
                        </a:rPr>
                        <m:t>=</m:t>
                      </m:r>
                      <m:r>
                        <a:rPr lang="en-US" sz="1100" b="0" i="1">
                          <a:latin typeface="Cambria Math"/>
                        </a:rPr>
                        <m:t>𝑎𝑐𝑡𝑢𝑎𝑙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r>
                        <a:rPr lang="en-US" sz="1100" b="0" i="1">
                          <a:latin typeface="Cambria Math"/>
                        </a:rPr>
                        <m:t>𝑎𝑛𝑑</m:t>
                      </m:r>
                      <m:r>
                        <a:rPr lang="en-US" sz="1100" b="0" i="1">
                          <a:latin typeface="Cambria Math"/>
                        </a:rPr>
                        <m:t> </m:t>
                      </m:r>
                      <m:sSub>
                        <m:sSubPr>
                          <m:ctrlPr>
                            <a:rPr lang="en-US" sz="11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</a:rPr>
                            <m:t>𝐹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</a:rPr>
                            <m:t>𝑡</m:t>
                          </m:r>
                        </m:sub>
                      </m:sSub>
                      <m:r>
                        <a:rPr lang="en-US" sz="1100" b="0" i="1">
                          <a:latin typeface="Cambria Math"/>
                        </a:rPr>
                        <m:t>=</m:t>
                      </m:r>
                      <m:r>
                        <a:rPr lang="en-US" sz="1100" b="0" i="1">
                          <a:latin typeface="Cambria Math"/>
                        </a:rPr>
                        <m:t>𝑝𝑟𝑒𝑑𝑖𝑐𝑡𝑒𝑑</m:t>
                      </m:r>
                      <m:r>
                        <a:rPr lang="en-US" sz="1100" b="0" i="1">
                          <a:latin typeface="Cambria Math"/>
                        </a:rPr>
                        <m:t>.</m:t>
                      </m:r>
                    </m:e>
                  </m:nary>
                </m:oMath>
              </a14:m>
              <a:r>
                <a:rPr lang="en-US" sz="1100" baseline="0"/>
                <a:t> </a:t>
              </a:r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xmlns:a="http://schemas.openxmlformats.org/drawingml/2006/main">
              <a:off x="0" y="270350"/>
              <a:ext cx="5076824" cy="361702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rtlCol="0" anchor="t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US" sz="1100" b="0" i="0">
                  <a:latin typeface="Cambria Math"/>
                </a:rPr>
                <a:t>𝑀𝐴𝑃𝐸=  (100%)/𝑛 ∑_(𝑡=1)^𝑛▒〖|(𝐴_𝑡  − 𝐹_𝑡)/𝐴_𝑡 |  𝑤ℎ𝑒𝑟𝑒 𝐴_𝑡=𝑎𝑐𝑡𝑢𝑎𝑙 𝑎𝑛𝑑 𝐹_𝑡=𝑝𝑟𝑒𝑑𝑖𝑐𝑡𝑒𝑑.〗</a:t>
              </a:r>
              <a:r>
                <a:rPr lang="en-US" sz="1100" baseline="0"/>
                <a:t> 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0</xdr:rowOff>
    </xdr:from>
    <xdr:to>
      <xdr:col>15</xdr:col>
      <xdr:colOff>123825</xdr:colOff>
      <xdr:row>41</xdr:row>
      <xdr:rowOff>133350</xdr:rowOff>
    </xdr:to>
    <xdr:graphicFrame macro="">
      <xdr:nvGraphicFramePr>
        <xdr:cNvPr id="17464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23</xdr:col>
      <xdr:colOff>190500</xdr:colOff>
      <xdr:row>37</xdr:row>
      <xdr:rowOff>133350</xdr:rowOff>
    </xdr:to>
    <xdr:graphicFrame macro="">
      <xdr:nvGraphicFramePr>
        <xdr:cNvPr id="21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zanne\My%20Documents\Unzipped\2011%20Rate%20Appl%20%23%202\2011%20Rate%20Appl%20%23%202\Dummy%20Fi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workbookViewId="0">
      <pane xSplit="1" ySplit="3" topLeftCell="N35" activePane="bottomRight" state="frozen"/>
      <selection pane="topRight" activeCell="B1" sqref="B1"/>
      <selection pane="bottomLeft" activeCell="A4" sqref="A4"/>
      <selection pane="bottomRight" activeCell="Q3" sqref="Q3"/>
    </sheetView>
  </sheetViews>
  <sheetFormatPr defaultRowHeight="12.75" outlineLevelCol="1" x14ac:dyDescent="0.2"/>
  <cols>
    <col min="1" max="1" width="42" customWidth="1"/>
    <col min="2" max="2" width="13.85546875" style="1" hidden="1" customWidth="1" outlineLevel="1"/>
    <col min="3" max="3" width="13.140625" style="1" hidden="1" customWidth="1" outlineLevel="1"/>
    <col min="4" max="4" width="13" style="1" customWidth="1" collapsed="1"/>
    <col min="5" max="5" width="12.5703125" style="1" customWidth="1"/>
    <col min="6" max="6" width="12.7109375" style="1" bestFit="1" customWidth="1"/>
    <col min="7" max="7" width="13.5703125" style="1" customWidth="1"/>
    <col min="8" max="8" width="12.7109375" style="1" customWidth="1"/>
    <col min="9" max="9" width="13" style="1" customWidth="1"/>
    <col min="10" max="10" width="12.7109375" style="1" bestFit="1" customWidth="1"/>
    <col min="11" max="11" width="12.85546875" style="1" customWidth="1"/>
    <col min="12" max="12" width="12.7109375" style="22" bestFit="1" customWidth="1"/>
    <col min="13" max="13" width="12.7109375" style="33" bestFit="1" customWidth="1"/>
    <col min="14" max="15" width="12.7109375" style="33" customWidth="1"/>
    <col min="16" max="16" width="16.42578125" style="33" bestFit="1" customWidth="1"/>
    <col min="17" max="17" width="12.7109375" style="33" customWidth="1"/>
    <col min="18" max="18" width="12.7109375" bestFit="1" customWidth="1"/>
    <col min="19" max="19" width="16.5703125" bestFit="1" customWidth="1"/>
  </cols>
  <sheetData>
    <row r="1" spans="1:20" ht="15.75" x14ac:dyDescent="0.25">
      <c r="A1" s="42" t="s">
        <v>101</v>
      </c>
    </row>
    <row r="3" spans="1:20" ht="38.25" x14ac:dyDescent="0.2">
      <c r="B3" s="44" t="s">
        <v>54</v>
      </c>
      <c r="C3" s="44" t="s">
        <v>55</v>
      </c>
      <c r="D3" s="44" t="s">
        <v>56</v>
      </c>
      <c r="E3" s="44" t="s">
        <v>57</v>
      </c>
      <c r="F3" s="44" t="s">
        <v>58</v>
      </c>
      <c r="G3" s="44" t="s">
        <v>59</v>
      </c>
      <c r="H3" s="44" t="s">
        <v>60</v>
      </c>
      <c r="I3" s="44" t="s">
        <v>61</v>
      </c>
      <c r="J3" s="44" t="s">
        <v>69</v>
      </c>
      <c r="K3" s="44" t="s">
        <v>76</v>
      </c>
      <c r="L3" s="44" t="s">
        <v>97</v>
      </c>
      <c r="M3" s="44" t="s">
        <v>98</v>
      </c>
      <c r="N3" s="44" t="s">
        <v>99</v>
      </c>
      <c r="O3" s="44" t="s">
        <v>100</v>
      </c>
      <c r="P3" s="54" t="s">
        <v>95</v>
      </c>
      <c r="Q3" s="54" t="s">
        <v>96</v>
      </c>
    </row>
    <row r="4" spans="1:20" x14ac:dyDescent="0.2">
      <c r="A4" s="19" t="s">
        <v>64</v>
      </c>
      <c r="B4" s="28">
        <f>'Purchased Power Model'!B251</f>
        <v>0</v>
      </c>
      <c r="C4" s="28">
        <f>'Purchased Power Model'!B252</f>
        <v>0</v>
      </c>
      <c r="D4" s="5">
        <f>'Purchased Power Model'!E253</f>
        <v>1162710673.7803967</v>
      </c>
      <c r="E4" s="28">
        <f>'Purchased Power Model'!E254</f>
        <v>1152043160.1684203</v>
      </c>
      <c r="F4" s="28">
        <f>'Purchased Power Model'!E255</f>
        <v>1205241073.8281755</v>
      </c>
      <c r="G4" s="28">
        <f>'Purchased Power Model'!E256</f>
        <v>1272191338.9746144</v>
      </c>
      <c r="H4" s="28">
        <f>'Purchased Power Model'!E257</f>
        <v>1248057839.7212546</v>
      </c>
      <c r="I4" s="28">
        <f>'Purchased Power Model'!E258</f>
        <v>1283916366.3514185</v>
      </c>
      <c r="J4" s="28">
        <f>'Purchased Power Model'!E259</f>
        <v>1247356069.218019</v>
      </c>
      <c r="K4" s="28">
        <f>'Purchased Power Model'!E260</f>
        <v>1216807819.4732933</v>
      </c>
      <c r="L4" s="56">
        <f>'Purchased Power Model'!E261</f>
        <v>1264714636.949239</v>
      </c>
      <c r="M4" s="56">
        <f>'Purchased Power Model'!E262</f>
        <v>1266311662.4232736</v>
      </c>
      <c r="N4" s="56">
        <f>'Purchased Power Model'!E263</f>
        <v>1260789450.8992722</v>
      </c>
      <c r="O4" s="56">
        <f>'Purchased Power Model'!E264</f>
        <v>1250000079.5232756</v>
      </c>
    </row>
    <row r="5" spans="1:20" x14ac:dyDescent="0.2">
      <c r="A5" s="19" t="s">
        <v>281</v>
      </c>
      <c r="B5" s="28">
        <f>'Purchased Power Model'!O251</f>
        <v>1060388686.0239441</v>
      </c>
      <c r="C5" s="28">
        <f>'Purchased Power Model'!O252</f>
        <v>1068771299.9834902</v>
      </c>
      <c r="D5" s="28">
        <f>'Purchased Power Model'!O253</f>
        <v>1162665476.2128398</v>
      </c>
      <c r="E5" s="28">
        <f>'Purchased Power Model'!O254</f>
        <v>1167650715.8182812</v>
      </c>
      <c r="F5" s="28">
        <f>'Purchased Power Model'!O255</f>
        <v>1182645856.3429189</v>
      </c>
      <c r="G5" s="28">
        <f>'Purchased Power Model'!O256</f>
        <v>1271722798.002039</v>
      </c>
      <c r="H5" s="28">
        <f>'Purchased Power Model'!O257</f>
        <v>1249433262.1496065</v>
      </c>
      <c r="I5" s="28">
        <f>'Purchased Power Model'!O258</f>
        <v>1270377856.264178</v>
      </c>
      <c r="J5" s="28">
        <f>'Purchased Power Model'!O259</f>
        <v>1255843367.8588324</v>
      </c>
      <c r="K5" s="28">
        <f>'Purchased Power Model'!O260</f>
        <v>1225399085.2882426</v>
      </c>
      <c r="L5" s="56">
        <f>'Purchased Power Model'!O261</f>
        <v>1256450872.6026883</v>
      </c>
      <c r="M5" s="56">
        <f>'Purchased Power Model'!O262</f>
        <v>1265208873.2973049</v>
      </c>
      <c r="N5" s="56">
        <f>'Purchased Power Model'!O263</f>
        <v>1275140355.1855636</v>
      </c>
      <c r="O5" s="56">
        <f>'Purchased Power Model'!O264</f>
        <v>1237576506.9836352</v>
      </c>
      <c r="P5" s="56">
        <f>'Purchased Power Model'!O265</f>
        <v>1238461756.4547868</v>
      </c>
      <c r="Q5" s="56">
        <f>'Purchased Power Model'!O266</f>
        <v>1245167213.1371078</v>
      </c>
    </row>
    <row r="6" spans="1:20" x14ac:dyDescent="0.2">
      <c r="A6" s="19" t="s">
        <v>10</v>
      </c>
      <c r="B6" s="43"/>
      <c r="C6" s="43"/>
      <c r="D6" s="43">
        <f t="shared" ref="D6:O6" si="0">(D5-D4)/D4</f>
        <v>-3.8872583331418362E-5</v>
      </c>
      <c r="E6" s="43">
        <f t="shared" si="0"/>
        <v>1.3547717819512204E-2</v>
      </c>
      <c r="F6" s="43">
        <f t="shared" si="0"/>
        <v>-1.8747467188027434E-2</v>
      </c>
      <c r="G6" s="43">
        <f t="shared" si="0"/>
        <v>-3.6829442098943225E-4</v>
      </c>
      <c r="H6" s="43">
        <f t="shared" si="0"/>
        <v>1.1020502292258111E-3</v>
      </c>
      <c r="I6" s="43">
        <f t="shared" si="0"/>
        <v>-1.0544697802796647E-2</v>
      </c>
      <c r="J6" s="43">
        <f t="shared" si="0"/>
        <v>6.8042308449536223E-3</v>
      </c>
      <c r="K6" s="43">
        <f t="shared" si="0"/>
        <v>7.0604952379974715E-3</v>
      </c>
      <c r="L6" s="43">
        <f t="shared" si="0"/>
        <v>-6.5340940202010013E-3</v>
      </c>
      <c r="M6" s="43">
        <f t="shared" si="0"/>
        <v>-8.7086706905813811E-4</v>
      </c>
      <c r="N6" s="43">
        <f t="shared" si="0"/>
        <v>1.1382474905746886E-2</v>
      </c>
      <c r="O6" s="43">
        <f t="shared" si="0"/>
        <v>-9.9388573994159436E-3</v>
      </c>
      <c r="P6" s="43"/>
      <c r="Q6" s="43"/>
      <c r="R6" s="47"/>
      <c r="S6" s="33"/>
      <c r="T6" s="33"/>
    </row>
    <row r="7" spans="1:20" x14ac:dyDescent="0.2">
      <c r="A7" s="19" t="s">
        <v>280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6"/>
      <c r="N7" s="56"/>
      <c r="O7" s="56"/>
      <c r="P7" s="56">
        <f>P5-P8</f>
        <v>1187175763.4727635</v>
      </c>
      <c r="Q7" s="56">
        <f>Q5-Q8</f>
        <v>1193603540.2004485</v>
      </c>
      <c r="R7" s="47"/>
      <c r="S7" s="33"/>
      <c r="T7" s="33"/>
    </row>
    <row r="8" spans="1:20" x14ac:dyDescent="0.2">
      <c r="A8" s="19" t="s">
        <v>279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56"/>
      <c r="N8" s="56"/>
      <c r="O8" s="56"/>
      <c r="P8" s="56">
        <f>P5-(P5/(1+P9))</f>
        <v>51285992.982023239</v>
      </c>
      <c r="Q8" s="56">
        <f>Q5-(Q5/(1+Q9))</f>
        <v>51563672.936659336</v>
      </c>
      <c r="R8" s="47"/>
      <c r="S8" s="33"/>
      <c r="T8" s="33"/>
    </row>
    <row r="9" spans="1:20" x14ac:dyDescent="0.2">
      <c r="A9" s="19" t="s">
        <v>282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55"/>
      <c r="O9" s="33">
        <v>1250965044.3832755</v>
      </c>
      <c r="P9" s="320">
        <f>P13-1</f>
        <v>4.3199999999999905E-2</v>
      </c>
      <c r="Q9" s="320">
        <f>Q13-1</f>
        <v>4.3199999999999905E-2</v>
      </c>
    </row>
    <row r="10" spans="1:20" x14ac:dyDescent="0.2">
      <c r="A10" s="1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55"/>
      <c r="O10" s="71">
        <f>O4-O9</f>
        <v>-964964.8599998951</v>
      </c>
      <c r="P10" s="71"/>
    </row>
    <row r="11" spans="1:20" x14ac:dyDescent="0.2">
      <c r="A11" s="1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55"/>
      <c r="Q11" s="71"/>
    </row>
    <row r="12" spans="1:20" x14ac:dyDescent="0.2">
      <c r="A12" s="19" t="s">
        <v>277</v>
      </c>
      <c r="B12" s="28">
        <f>'Rate Class Energy Model'!G11</f>
        <v>0</v>
      </c>
      <c r="C12" s="28">
        <f>'Rate Class Energy Model'!G12</f>
        <v>0</v>
      </c>
      <c r="D12" s="28">
        <f>'Rate Class Energy Model'!G13</f>
        <v>0</v>
      </c>
      <c r="E12" s="28">
        <f>'Rate Class Energy Model'!G14</f>
        <v>1108347420.2106147</v>
      </c>
      <c r="F12" s="28">
        <f>'Rate Class Energy Model'!G15</f>
        <v>1135405804.1076436</v>
      </c>
      <c r="G12" s="28">
        <f>'Rate Class Energy Model'!G16</f>
        <v>1208894249.4505701</v>
      </c>
      <c r="H12" s="28">
        <f>'Rate Class Energy Model'!G17</f>
        <v>1184184646.7743611</v>
      </c>
      <c r="I12" s="28">
        <f>'Rate Class Energy Model'!G18</f>
        <v>1220452819.8678427</v>
      </c>
      <c r="J12" s="28">
        <f>'Rate Class Energy Model'!G19</f>
        <v>1188897732</v>
      </c>
      <c r="K12" s="28">
        <f>'Rate Class Energy Model'!G20</f>
        <v>1161778118</v>
      </c>
      <c r="L12" s="56">
        <f>'Rate Class Energy Model'!G21</f>
        <v>1193712076.182653</v>
      </c>
      <c r="M12" s="56">
        <f>'Rate Class Energy Model'!G22</f>
        <v>1232998827</v>
      </c>
      <c r="N12" s="56">
        <f>'Rate Class Energy Model'!G23</f>
        <v>1214015314.2602541</v>
      </c>
      <c r="O12" s="56">
        <f>'Rate Class Energy Model'!G24</f>
        <v>1202305265</v>
      </c>
      <c r="P12" s="56">
        <f>'Rate Class Energy Model'!O100</f>
        <v>1184453504.0765128</v>
      </c>
      <c r="Q12" s="56">
        <f>'Rate Class Energy Model'!O101</f>
        <v>1185817111.8637812</v>
      </c>
      <c r="R12" s="33"/>
      <c r="S12" s="101"/>
    </row>
    <row r="13" spans="1:20" x14ac:dyDescent="0.2">
      <c r="A13" s="19" t="s">
        <v>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56"/>
      <c r="M13" s="321"/>
      <c r="N13" s="321"/>
      <c r="O13" s="321"/>
      <c r="P13" s="321">
        <v>1.0431999999999999</v>
      </c>
      <c r="Q13" s="321">
        <v>1.0431999999999999</v>
      </c>
      <c r="R13" s="33"/>
      <c r="S13" s="101"/>
    </row>
    <row r="14" spans="1:20" x14ac:dyDescent="0.2">
      <c r="A14" s="19" t="s">
        <v>279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56"/>
      <c r="M14" s="56"/>
      <c r="N14" s="56"/>
      <c r="O14" s="56"/>
      <c r="P14" s="56">
        <f>P8</f>
        <v>51285992.982023239</v>
      </c>
      <c r="Q14" s="56">
        <f>Q8</f>
        <v>51563672.936659336</v>
      </c>
      <c r="R14" s="33"/>
      <c r="S14" s="101"/>
    </row>
    <row r="15" spans="1:20" x14ac:dyDescent="0.2">
      <c r="A15" s="19" t="s">
        <v>278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56"/>
      <c r="M15" s="56"/>
      <c r="N15" s="56"/>
      <c r="O15" s="56"/>
      <c r="P15" s="56">
        <f>P5-P12-P14</f>
        <v>2722259.3962507248</v>
      </c>
      <c r="Q15" s="56">
        <f>Q5-Q12-Q14</f>
        <v>7786428.3366672993</v>
      </c>
      <c r="R15" s="33"/>
      <c r="S15" s="101"/>
    </row>
    <row r="16" spans="1:20" x14ac:dyDescent="0.2">
      <c r="A16" s="19"/>
      <c r="B16" s="40"/>
      <c r="C16" s="40"/>
      <c r="D16" s="40"/>
      <c r="E16" s="40"/>
      <c r="F16" s="40"/>
      <c r="G16" s="40"/>
      <c r="H16" s="40"/>
      <c r="I16" s="40"/>
      <c r="K16" s="22"/>
      <c r="R16" s="33"/>
      <c r="S16" s="33"/>
    </row>
    <row r="17" spans="1:19" ht="15.75" x14ac:dyDescent="0.25">
      <c r="A17" s="42" t="s">
        <v>65</v>
      </c>
      <c r="L17" s="22" t="s">
        <v>86</v>
      </c>
      <c r="R17" s="33"/>
      <c r="S17" s="33"/>
    </row>
    <row r="18" spans="1:19" x14ac:dyDescent="0.2">
      <c r="A18" s="41" t="str">
        <f>'Rate Class Energy Model'!H2</f>
        <v>Residential</v>
      </c>
      <c r="R18" s="33"/>
      <c r="S18" s="33"/>
    </row>
    <row r="19" spans="1:19" x14ac:dyDescent="0.2">
      <c r="A19" t="s">
        <v>51</v>
      </c>
      <c r="B19" s="5">
        <f>'Rate Class Customer Model'!B6</f>
        <v>0</v>
      </c>
      <c r="C19" s="5">
        <f>'Rate Class Customer Model'!B7</f>
        <v>0</v>
      </c>
      <c r="D19" s="5">
        <f>'Rate Class Customer Model'!B8</f>
        <v>40624</v>
      </c>
      <c r="E19" s="5">
        <f>'Rate Class Customer Model'!B9</f>
        <v>42507</v>
      </c>
      <c r="F19" s="5">
        <f>'Rate Class Customer Model'!B10</f>
        <v>42859</v>
      </c>
      <c r="G19" s="5">
        <f>'Rate Class Customer Model'!B11</f>
        <v>43068</v>
      </c>
      <c r="H19" s="5">
        <f>'Rate Class Customer Model'!B12</f>
        <v>43724</v>
      </c>
      <c r="I19" s="5">
        <f>'Rate Class Customer Model'!B13</f>
        <v>44325</v>
      </c>
      <c r="J19" s="5">
        <f>'Rate Class Customer Model'!B14</f>
        <v>44955</v>
      </c>
      <c r="K19" s="5">
        <f>'Rate Class Customer Model'!B15</f>
        <v>45760.797073380672</v>
      </c>
      <c r="L19" s="26">
        <f>'Rate Class Customer Model'!B16</f>
        <v>45839.797073380672</v>
      </c>
      <c r="M19" s="26">
        <f>'Rate Class Customer Model'!B17</f>
        <v>45996.462014511322</v>
      </c>
      <c r="N19" s="26">
        <f>'Rate Class Customer Model'!B18</f>
        <v>45871.000740270734</v>
      </c>
      <c r="O19" s="26">
        <f>'Rate Class Customer Model'!B19</f>
        <v>46274.01146885522</v>
      </c>
      <c r="P19" s="26">
        <f>'Rate Class Customer Model'!B20</f>
        <v>46668.605005945043</v>
      </c>
      <c r="Q19" s="26">
        <f>'Rate Class Customer Model'!B21</f>
        <v>47066.563370387645</v>
      </c>
      <c r="R19" s="33"/>
      <c r="S19" s="33"/>
    </row>
    <row r="20" spans="1:19" x14ac:dyDescent="0.2">
      <c r="A20" t="s">
        <v>52</v>
      </c>
      <c r="B20" s="5">
        <f>'Rate Class Energy Model'!H11</f>
        <v>0</v>
      </c>
      <c r="C20" s="5">
        <f>'Rate Class Energy Model'!H12</f>
        <v>0</v>
      </c>
      <c r="D20" s="5">
        <f>'Rate Class Energy Model'!H13</f>
        <v>0</v>
      </c>
      <c r="E20" s="5">
        <f>'Rate Class Energy Model'!H14</f>
        <v>418838011.97364974</v>
      </c>
      <c r="F20" s="5">
        <f>'Rate Class Energy Model'!H15</f>
        <v>404285804.09904695</v>
      </c>
      <c r="G20" s="5">
        <f>'Rate Class Energy Model'!H16</f>
        <v>463562202.48701179</v>
      </c>
      <c r="H20" s="5">
        <f>'Rate Class Energy Model'!H17</f>
        <v>450017939.32666731</v>
      </c>
      <c r="I20" s="5">
        <f>'Rate Class Energy Model'!H18</f>
        <v>462721167.95736253</v>
      </c>
      <c r="J20" s="5">
        <f>'Rate Class Energy Model'!H19</f>
        <v>450470689.5</v>
      </c>
      <c r="K20" s="5">
        <f>'Rate Class Energy Model'!H20</f>
        <v>438952917.5</v>
      </c>
      <c r="L20" s="26">
        <f>'Rate Class Energy Model'!H21</f>
        <v>451343387.28237766</v>
      </c>
      <c r="M20" s="26">
        <f>'Rate Class Energy Model'!H22</f>
        <v>418849931</v>
      </c>
      <c r="N20" s="26">
        <f>'Rate Class Energy Model'!H23</f>
        <v>414592237</v>
      </c>
      <c r="O20" s="26">
        <f>'Rate Class Energy Model'!H24</f>
        <v>412298278</v>
      </c>
      <c r="P20" s="26">
        <f>'Rate Class Energy Model'!H100</f>
        <v>402178820.57628191</v>
      </c>
      <c r="Q20" s="26">
        <f>'Rate Class Energy Model'!H101</f>
        <v>399166843.44033277</v>
      </c>
      <c r="R20" s="33"/>
      <c r="S20" s="102"/>
    </row>
    <row r="21" spans="1:19" x14ac:dyDescent="0.2">
      <c r="G21" s="65"/>
      <c r="H21" s="65"/>
      <c r="I21" s="65"/>
      <c r="J21" s="65"/>
      <c r="K21" s="65"/>
      <c r="L21" s="65"/>
      <c r="M21" s="69"/>
      <c r="N21" s="69"/>
      <c r="O21" s="69"/>
      <c r="P21" s="69"/>
      <c r="Q21" s="69"/>
    </row>
    <row r="22" spans="1:19" x14ac:dyDescent="0.2">
      <c r="A22" s="41" t="str">
        <f>'Rate Class Energy Model'!I2</f>
        <v>GS&lt;50</v>
      </c>
    </row>
    <row r="23" spans="1:19" x14ac:dyDescent="0.2">
      <c r="A23" t="s">
        <v>51</v>
      </c>
      <c r="B23" s="5">
        <f>'Rate Class Customer Model'!C6</f>
        <v>0</v>
      </c>
      <c r="C23" s="5">
        <f>'Rate Class Customer Model'!C7</f>
        <v>0</v>
      </c>
      <c r="D23" s="5">
        <f>'Rate Class Customer Model'!C8</f>
        <v>4171</v>
      </c>
      <c r="E23" s="5">
        <f>'Rate Class Customer Model'!C9</f>
        <v>3982</v>
      </c>
      <c r="F23" s="5">
        <f>'Rate Class Customer Model'!C10</f>
        <v>4033</v>
      </c>
      <c r="G23" s="5">
        <f>'Rate Class Customer Model'!C11</f>
        <v>4437</v>
      </c>
      <c r="H23" s="5">
        <f>'Rate Class Customer Model'!C12</f>
        <v>4438</v>
      </c>
      <c r="I23" s="5">
        <f>'Rate Class Customer Model'!C13</f>
        <v>4339</v>
      </c>
      <c r="J23" s="5">
        <f>'Rate Class Customer Model'!C14</f>
        <v>4260</v>
      </c>
      <c r="K23" s="5">
        <f>'Rate Class Customer Model'!C15</f>
        <v>4256.6229739252994</v>
      </c>
      <c r="L23" s="26">
        <f>'Rate Class Customer Model'!C16</f>
        <v>4356.7856227759103</v>
      </c>
      <c r="M23" s="26">
        <f>'Rate Class Customer Model'!C17</f>
        <v>4306.7266340313654</v>
      </c>
      <c r="N23" s="26">
        <f>'Rate Class Customer Model'!C18</f>
        <v>4259.8898175608874</v>
      </c>
      <c r="O23" s="26">
        <f>'Rate Class Customer Model'!C19</f>
        <v>4315.4554601556201</v>
      </c>
      <c r="P23" s="26">
        <f>'Rate Class Customer Model'!C20</f>
        <v>4350.2996958819085</v>
      </c>
      <c r="Q23" s="26">
        <f>'Rate Class Customer Model'!C21</f>
        <v>4385.4252740469174</v>
      </c>
      <c r="R23" s="49"/>
    </row>
    <row r="24" spans="1:19" x14ac:dyDescent="0.2">
      <c r="A24" t="s">
        <v>52</v>
      </c>
      <c r="B24" s="5">
        <f>'Rate Class Energy Model'!I11</f>
        <v>0</v>
      </c>
      <c r="C24" s="5">
        <f>'Rate Class Energy Model'!I12</f>
        <v>0</v>
      </c>
      <c r="D24" s="5">
        <f>'Rate Class Energy Model'!I13</f>
        <v>0</v>
      </c>
      <c r="E24" s="5">
        <f>'Rate Class Energy Model'!I14</f>
        <v>126366945.1775369</v>
      </c>
      <c r="F24" s="5">
        <f>'Rate Class Energy Model'!I15</f>
        <v>122937632.96654831</v>
      </c>
      <c r="G24" s="5">
        <f>'Rate Class Energy Model'!I16</f>
        <v>125194926.23883386</v>
      </c>
      <c r="H24" s="5">
        <f>'Rate Class Energy Model'!I17</f>
        <v>122020708.4166588</v>
      </c>
      <c r="I24" s="5">
        <f>'Rate Class Energy Model'!I18</f>
        <v>125994115.17781341</v>
      </c>
      <c r="J24" s="5">
        <f>'Rate Class Energy Model'!I19</f>
        <v>122663803.5</v>
      </c>
      <c r="K24" s="5">
        <f>'Rate Class Energy Model'!I20</f>
        <v>119930975.5</v>
      </c>
      <c r="L24" s="26">
        <f>'Rate Class Energy Model'!I21</f>
        <v>121294613.50873116</v>
      </c>
      <c r="M24" s="26">
        <f>'Rate Class Energy Model'!I22</f>
        <v>129680926</v>
      </c>
      <c r="N24" s="26">
        <f>'Rate Class Energy Model'!I23</f>
        <v>125465897</v>
      </c>
      <c r="O24" s="26">
        <f>'Rate Class Energy Model'!I24</f>
        <v>124179905</v>
      </c>
      <c r="P24" s="26">
        <f>'Rate Class Energy Model'!I100</f>
        <v>120510242.02491087</v>
      </c>
      <c r="Q24" s="26">
        <f>'Rate Class Energy Model'!I101</f>
        <v>118740733.01474681</v>
      </c>
    </row>
    <row r="25" spans="1:19" x14ac:dyDescent="0.2">
      <c r="G25" s="65"/>
      <c r="H25" s="65"/>
      <c r="I25" s="65"/>
      <c r="J25" s="65"/>
      <c r="K25" s="65"/>
      <c r="L25" s="65"/>
      <c r="M25" s="69"/>
      <c r="N25" s="69"/>
      <c r="O25" s="69"/>
      <c r="P25" s="69"/>
      <c r="Q25" s="69"/>
    </row>
    <row r="26" spans="1:19" x14ac:dyDescent="0.2">
      <c r="A26" s="41" t="str">
        <f>'Rate Class Energy Model'!J2</f>
        <v>GS&gt;50</v>
      </c>
      <c r="M26" s="26"/>
      <c r="N26" s="26"/>
      <c r="O26" s="26"/>
      <c r="P26" s="26"/>
      <c r="Q26" s="26"/>
    </row>
    <row r="27" spans="1:19" x14ac:dyDescent="0.2">
      <c r="A27" t="s">
        <v>51</v>
      </c>
      <c r="B27" s="5">
        <f>'Rate Class Customer Model'!D6</f>
        <v>0</v>
      </c>
      <c r="C27" s="5">
        <f>'Rate Class Customer Model'!D7</f>
        <v>0</v>
      </c>
      <c r="D27" s="5">
        <f>'Rate Class Customer Model'!D8</f>
        <v>796</v>
      </c>
      <c r="E27" s="5">
        <f>'Rate Class Customer Model'!D9</f>
        <v>864</v>
      </c>
      <c r="F27" s="5">
        <f>'Rate Class Customer Model'!D10</f>
        <v>819</v>
      </c>
      <c r="G27" s="5">
        <f>'Rate Class Customer Model'!D11</f>
        <v>802</v>
      </c>
      <c r="H27" s="5">
        <f>'Rate Class Customer Model'!D12</f>
        <v>871</v>
      </c>
      <c r="I27" s="5">
        <f>'Rate Class Customer Model'!D13</f>
        <v>853</v>
      </c>
      <c r="J27" s="5">
        <f>'Rate Class Customer Model'!D14</f>
        <v>847</v>
      </c>
      <c r="K27" s="5">
        <f>'Rate Class Customer Model'!D15</f>
        <v>852.22489521327179</v>
      </c>
      <c r="L27" s="26">
        <f>'Rate Class Customer Model'!D16</f>
        <v>851</v>
      </c>
      <c r="M27" s="26">
        <f>'Rate Class Customer Model'!D17</f>
        <v>858.51226930320161</v>
      </c>
      <c r="N27" s="26">
        <f>'Rate Class Customer Model'!D18</f>
        <v>855.18447951897781</v>
      </c>
      <c r="O27" s="26">
        <f>'Rate Class Customer Model'!D19</f>
        <v>862.7339356295879</v>
      </c>
      <c r="P27" s="26">
        <f>'Rate Class Customer Model'!D20</f>
        <v>862.60743127510148</v>
      </c>
      <c r="Q27" s="26">
        <f>'Rate Class Customer Model'!D21</f>
        <v>862.48094547019457</v>
      </c>
    </row>
    <row r="28" spans="1:19" x14ac:dyDescent="0.2">
      <c r="A28" t="s">
        <v>52</v>
      </c>
      <c r="B28" s="5">
        <f>'Rate Class Energy Model'!J11</f>
        <v>0</v>
      </c>
      <c r="C28" s="5">
        <f>'Rate Class Energy Model'!J12</f>
        <v>0</v>
      </c>
      <c r="D28" s="5">
        <f>'Rate Class Energy Model'!J13</f>
        <v>0</v>
      </c>
      <c r="E28" s="5">
        <f>'Rate Class Energy Model'!J14</f>
        <v>553710684.70883942</v>
      </c>
      <c r="F28" s="5">
        <f>'Rate Class Energy Model'!J15</f>
        <v>598431000.79872918</v>
      </c>
      <c r="G28" s="5">
        <f>'Rate Class Energy Model'!J16</f>
        <v>609950002.12689221</v>
      </c>
      <c r="H28" s="5">
        <f>'Rate Class Energy Model'!J17</f>
        <v>601216533.34628808</v>
      </c>
      <c r="I28" s="5">
        <f>'Rate Class Energy Model'!J18</f>
        <v>622092059.27695501</v>
      </c>
      <c r="J28" s="5">
        <f>'Rate Class Energy Model'!J19</f>
        <v>605669659</v>
      </c>
      <c r="K28" s="5">
        <f>'Rate Class Energy Model'!J20</f>
        <v>592972281</v>
      </c>
      <c r="L28" s="26">
        <f>'Rate Class Energy Model'!J21</f>
        <v>611065861.60869288</v>
      </c>
      <c r="M28" s="26">
        <f>'Rate Class Energy Model'!J22</f>
        <v>675128624</v>
      </c>
      <c r="N28" s="26">
        <f>'Rate Class Energy Model'!J23</f>
        <v>664095955</v>
      </c>
      <c r="O28" s="26">
        <f>'Rate Class Energy Model'!J24</f>
        <v>655968805</v>
      </c>
      <c r="P28" s="26">
        <f>'Rate Class Energy Model'!J100</f>
        <v>651859446.78527617</v>
      </c>
      <c r="Q28" s="26">
        <f>'Rate Class Energy Model'!J101</f>
        <v>657957067.81947422</v>
      </c>
    </row>
    <row r="29" spans="1:19" x14ac:dyDescent="0.2">
      <c r="A29" t="s">
        <v>53</v>
      </c>
      <c r="B29" s="5">
        <f>'Rate Class Load Model'!B6</f>
        <v>0</v>
      </c>
      <c r="C29" s="5">
        <f>'Rate Class Load Model'!B7</f>
        <v>0</v>
      </c>
      <c r="D29" s="5">
        <f>'Rate Class Load Model'!B8</f>
        <v>1529263</v>
      </c>
      <c r="E29" s="5">
        <f>'Rate Class Load Model'!B9</f>
        <v>1573551</v>
      </c>
      <c r="F29" s="5">
        <f>'Rate Class Load Model'!B10</f>
        <v>1673046</v>
      </c>
      <c r="G29" s="5">
        <f>'Rate Class Load Model'!B11</f>
        <v>1719941</v>
      </c>
      <c r="H29" s="5">
        <f>'Rate Class Load Model'!B12</f>
        <v>1777691</v>
      </c>
      <c r="I29" s="5">
        <f>'Rate Class Load Model'!B13</f>
        <v>1884479</v>
      </c>
      <c r="J29" s="5">
        <f>'Rate Class Load Model'!B14</f>
        <v>1735816</v>
      </c>
      <c r="K29" s="5">
        <f>'Rate Class Load Model'!B15</f>
        <v>1753191</v>
      </c>
      <c r="L29" s="26">
        <f>'Rate Class Load Model'!B16</f>
        <v>1769836</v>
      </c>
      <c r="M29" s="26">
        <f>'Rate Class Load Model'!B17</f>
        <v>1793543.4187587439</v>
      </c>
      <c r="N29" s="26">
        <f>'Rate Class Load Model'!B18</f>
        <v>1761221.4536881603</v>
      </c>
      <c r="O29" s="26">
        <f>'Rate Class Load Model'!B19</f>
        <v>1721553.9692533722</v>
      </c>
      <c r="P29" s="26">
        <f>'Rate Class Load Model'!B20</f>
        <v>1723755.1121789298</v>
      </c>
      <c r="Q29" s="26">
        <f>'Rate Class Load Model'!B21</f>
        <v>1739879.455366198</v>
      </c>
    </row>
    <row r="30" spans="1:19" x14ac:dyDescent="0.2">
      <c r="G30" s="65"/>
      <c r="H30" s="65"/>
      <c r="I30" s="65"/>
      <c r="J30" s="65"/>
      <c r="K30" s="65"/>
      <c r="L30" s="65"/>
      <c r="M30" s="69"/>
      <c r="N30" s="69"/>
      <c r="O30" s="69"/>
      <c r="P30" s="69"/>
      <c r="Q30" s="69"/>
    </row>
    <row r="31" spans="1:19" x14ac:dyDescent="0.2">
      <c r="A31" s="41" t="str">
        <f>'Rate Class Energy Model'!K2</f>
        <v>Large User</v>
      </c>
      <c r="M31" s="26"/>
      <c r="N31" s="26"/>
      <c r="O31" s="26"/>
      <c r="P31" s="26"/>
      <c r="Q31" s="26"/>
    </row>
    <row r="32" spans="1:19" x14ac:dyDescent="0.2">
      <c r="A32" t="s">
        <v>51</v>
      </c>
      <c r="B32" s="5">
        <f>'Rate Class Customer Model'!E6</f>
        <v>0</v>
      </c>
      <c r="C32" s="5">
        <f>'Rate Class Customer Model'!E7</f>
        <v>0</v>
      </c>
      <c r="D32" s="5">
        <f>'Rate Class Customer Model'!E8</f>
        <v>0</v>
      </c>
      <c r="E32" s="5">
        <f>'Rate Class Customer Model'!E9</f>
        <v>1.9999999999999999E-7</v>
      </c>
      <c r="F32" s="5">
        <f>'Rate Class Customer Model'!E10</f>
        <v>1.9999999999999999E-7</v>
      </c>
      <c r="G32" s="5">
        <f>'Rate Class Customer Model'!E11</f>
        <v>1.9999999999999999E-7</v>
      </c>
      <c r="H32" s="5">
        <f>'Rate Class Customer Model'!E12</f>
        <v>1.9999999999999999E-7</v>
      </c>
      <c r="I32" s="5">
        <f>'Rate Class Customer Model'!E13</f>
        <v>1.9999999999999999E-7</v>
      </c>
      <c r="J32" s="5">
        <f>'Rate Class Customer Model'!E14</f>
        <v>0</v>
      </c>
      <c r="K32" s="5">
        <f>'Rate Class Customer Model'!E15</f>
        <v>0</v>
      </c>
      <c r="L32" s="26">
        <f>'Rate Class Customer Model'!E16</f>
        <v>0</v>
      </c>
      <c r="M32" s="26">
        <f>'Rate Class Customer Model'!E17</f>
        <v>0</v>
      </c>
      <c r="N32" s="26">
        <f>'Rate Class Customer Model'!E18</f>
        <v>0</v>
      </c>
      <c r="O32" s="26">
        <f>'Rate Class Customer Model'!E19</f>
        <v>0</v>
      </c>
      <c r="P32" s="26">
        <f>'Rate Class Customer Model'!E20</f>
        <v>0</v>
      </c>
      <c r="Q32" s="26">
        <f>'Rate Class Customer Model'!E21</f>
        <v>0</v>
      </c>
    </row>
    <row r="33" spans="1:17" x14ac:dyDescent="0.2">
      <c r="A33" t="s">
        <v>52</v>
      </c>
      <c r="B33" s="5">
        <f>'Rate Class Energy Model'!K11</f>
        <v>0</v>
      </c>
      <c r="C33" s="5">
        <f>'Rate Class Energy Model'!K12</f>
        <v>0</v>
      </c>
      <c r="D33" s="5">
        <f>'Rate Class Energy Model'!K13</f>
        <v>0</v>
      </c>
      <c r="E33" s="5">
        <f>'Rate Class Energy Model'!K14</f>
        <v>0</v>
      </c>
      <c r="F33" s="5">
        <f>'Rate Class Energy Model'!K15</f>
        <v>0</v>
      </c>
      <c r="G33" s="5">
        <f>'Rate Class Energy Model'!K16</f>
        <v>0</v>
      </c>
      <c r="H33" s="5">
        <f>'Rate Class Energy Model'!K17</f>
        <v>0</v>
      </c>
      <c r="I33" s="5">
        <f>'Rate Class Energy Model'!K18</f>
        <v>0</v>
      </c>
      <c r="J33" s="5">
        <f>'Rate Class Energy Model'!K19</f>
        <v>0</v>
      </c>
      <c r="K33" s="5">
        <f>'Rate Class Energy Model'!K20</f>
        <v>0</v>
      </c>
      <c r="L33" s="26">
        <f>'Rate Class Energy Model'!K21</f>
        <v>0</v>
      </c>
      <c r="M33" s="26">
        <f>'Rate Class Energy Model'!K22</f>
        <v>0</v>
      </c>
      <c r="N33" s="26">
        <f>'Rate Class Energy Model'!K85</f>
        <v>0</v>
      </c>
      <c r="O33" s="26">
        <f>'Rate Class Energy Model'!K86</f>
        <v>0</v>
      </c>
      <c r="P33" s="26">
        <f>'Rate Class Energy Model'!K85</f>
        <v>0</v>
      </c>
      <c r="Q33" s="26">
        <f>'Rate Class Energy Model'!K86</f>
        <v>0</v>
      </c>
    </row>
    <row r="34" spans="1:17" x14ac:dyDescent="0.2">
      <c r="A34" t="s">
        <v>53</v>
      </c>
      <c r="B34" s="5">
        <f>'Rate Class Load Model'!C6</f>
        <v>0</v>
      </c>
      <c r="C34" s="5">
        <f>'Rate Class Load Model'!C7</f>
        <v>0</v>
      </c>
      <c r="D34" s="5">
        <f>'Rate Class Load Model'!C8</f>
        <v>0</v>
      </c>
      <c r="E34" s="5">
        <f>'Rate Class Load Model'!C9</f>
        <v>0</v>
      </c>
      <c r="F34" s="5">
        <f>'Rate Class Load Model'!C10</f>
        <v>0</v>
      </c>
      <c r="G34" s="5">
        <f>'Rate Class Load Model'!C11</f>
        <v>0</v>
      </c>
      <c r="H34" s="5">
        <f>'Rate Class Load Model'!C12</f>
        <v>0</v>
      </c>
      <c r="I34" s="5">
        <f>'Rate Class Load Model'!C13</f>
        <v>0</v>
      </c>
      <c r="J34" s="5">
        <f>'Rate Class Load Model'!C14</f>
        <v>0</v>
      </c>
      <c r="K34" s="5">
        <f>'Rate Class Load Model'!C15</f>
        <v>0</v>
      </c>
      <c r="L34" s="26">
        <f>'Rate Class Load Model'!C16</f>
        <v>0</v>
      </c>
      <c r="M34" s="26">
        <f>'Rate Class Load Model'!C17</f>
        <v>0</v>
      </c>
      <c r="N34" s="26">
        <f>'Rate Class Load Model'!C18</f>
        <v>0</v>
      </c>
      <c r="O34" s="26">
        <f>'Rate Class Load Model'!C19</f>
        <v>0</v>
      </c>
      <c r="P34" s="26">
        <f>'Rate Class Load Model'!C20</f>
        <v>0</v>
      </c>
      <c r="Q34" s="26">
        <f>'Rate Class Load Model'!C21</f>
        <v>0</v>
      </c>
    </row>
    <row r="35" spans="1:17" x14ac:dyDescent="0.2">
      <c r="J35" s="47"/>
      <c r="K35" s="22"/>
      <c r="M35" s="70"/>
      <c r="N35" s="70"/>
      <c r="O35" s="70"/>
      <c r="P35" s="70"/>
      <c r="Q35" s="70"/>
    </row>
    <row r="36" spans="1:17" x14ac:dyDescent="0.2">
      <c r="A36" s="41" t="str">
        <f>'Rate Class Energy Model'!L2</f>
        <v>Sentinels</v>
      </c>
      <c r="M36" s="26"/>
      <c r="N36" s="26"/>
      <c r="O36" s="26"/>
      <c r="P36" s="26"/>
      <c r="Q36" s="26"/>
    </row>
    <row r="37" spans="1:17" x14ac:dyDescent="0.2">
      <c r="A37" t="s">
        <v>77</v>
      </c>
      <c r="B37" s="5">
        <f>'Rate Class Customer Model'!F6</f>
        <v>0</v>
      </c>
      <c r="C37" s="5">
        <f>'Rate Class Customer Model'!F7</f>
        <v>0</v>
      </c>
      <c r="D37" s="5">
        <f>'Rate Class Customer Model'!F8</f>
        <v>582</v>
      </c>
      <c r="E37" s="5">
        <f>'Rate Class Customer Model'!F9</f>
        <v>582</v>
      </c>
      <c r="F37" s="5">
        <f>'Rate Class Customer Model'!F10</f>
        <v>602</v>
      </c>
      <c r="G37" s="5">
        <f>'Rate Class Customer Model'!F11</f>
        <v>522</v>
      </c>
      <c r="H37" s="5">
        <f>'Rate Class Customer Model'!F12</f>
        <v>594</v>
      </c>
      <c r="I37" s="5">
        <f>'Rate Class Customer Model'!F13</f>
        <v>569</v>
      </c>
      <c r="J37" s="5">
        <f>'Rate Class Customer Model'!F14</f>
        <v>564.25735297165068</v>
      </c>
      <c r="K37" s="5">
        <f>'Rate Class Customer Model'!F15</f>
        <v>565.51766096478786</v>
      </c>
      <c r="L37" s="26">
        <f>'Rate Class Customer Model'!F16</f>
        <v>417</v>
      </c>
      <c r="M37" s="26">
        <f>'Rate Class Customer Model'!F17</f>
        <v>369.070802919708</v>
      </c>
      <c r="N37" s="26">
        <f>'Rate Class Customer Model'!F18</f>
        <v>343.21635928961746</v>
      </c>
      <c r="O37" s="26">
        <f>'Rate Class Customer Model'!F19</f>
        <v>337.45847123719466</v>
      </c>
      <c r="P37" s="26">
        <f>'Rate Class Customer Model'!F20</f>
        <v>319.55827617785656</v>
      </c>
      <c r="Q37" s="26">
        <f>'Rate Class Customer Model'!F21</f>
        <v>302.60758160664557</v>
      </c>
    </row>
    <row r="38" spans="1:17" x14ac:dyDescent="0.2">
      <c r="A38" t="s">
        <v>52</v>
      </c>
      <c r="B38" s="5">
        <f>'Rate Class Energy Model'!L11</f>
        <v>0</v>
      </c>
      <c r="C38" s="5">
        <f>'Rate Class Energy Model'!L12</f>
        <v>0</v>
      </c>
      <c r="D38" s="5">
        <f>'Rate Class Energy Model'!L13</f>
        <v>0</v>
      </c>
      <c r="E38" s="5">
        <f>'Rate Class Energy Model'!L14</f>
        <v>298684.57708839467</v>
      </c>
      <c r="F38" s="5">
        <f>'Rate Class Energy Model'!L15</f>
        <v>299221.74210427958</v>
      </c>
      <c r="G38" s="5">
        <f>'Rate Class Energy Model'!L16</f>
        <v>336742.55354139413</v>
      </c>
      <c r="H38" s="5">
        <f>'Rate Class Energy Model'!L17</f>
        <v>317191.45703235542</v>
      </c>
      <c r="I38" s="5">
        <f>'Rate Class Energy Model'!L18</f>
        <v>295242.58428450144</v>
      </c>
      <c r="J38" s="5">
        <f>'Rate Class Energy Model'!L19</f>
        <v>286832</v>
      </c>
      <c r="K38" s="5">
        <f>'Rate Class Energy Model'!L20</f>
        <v>294273</v>
      </c>
      <c r="L38" s="26">
        <f>'Rate Class Energy Model'!L21</f>
        <v>293544.09823073843</v>
      </c>
      <c r="M38" s="26">
        <f>'Rate Class Energy Model'!L22</f>
        <v>246192</v>
      </c>
      <c r="N38" s="26">
        <f>'Rate Class Energy Model'!L23</f>
        <v>267435.26025404601</v>
      </c>
      <c r="O38" s="26">
        <f>'Rate Class Energy Model'!L24</f>
        <v>265619</v>
      </c>
      <c r="P38" s="26">
        <f>'Rate Class Energy Model'!L100</f>
        <v>262520.8315748173</v>
      </c>
      <c r="Q38" s="26">
        <f>'Rate Class Energy Model'!L101</f>
        <v>259458.80005095116</v>
      </c>
    </row>
    <row r="39" spans="1:17" x14ac:dyDescent="0.2">
      <c r="A39" t="s">
        <v>53</v>
      </c>
      <c r="B39" s="5">
        <f>'Rate Class Load Model'!D6</f>
        <v>0</v>
      </c>
      <c r="C39" s="5">
        <f>'Rate Class Load Model'!D7</f>
        <v>0</v>
      </c>
      <c r="D39" s="5">
        <f>'Rate Class Load Model'!D8</f>
        <v>956</v>
      </c>
      <c r="E39" s="5">
        <f>'Rate Class Load Model'!D9</f>
        <v>968</v>
      </c>
      <c r="F39" s="5">
        <f>'Rate Class Load Model'!D10</f>
        <v>933</v>
      </c>
      <c r="G39" s="5">
        <f>'Rate Class Load Model'!D11</f>
        <v>892</v>
      </c>
      <c r="H39" s="5">
        <f>'Rate Class Load Model'!D12</f>
        <v>831</v>
      </c>
      <c r="I39" s="5">
        <f>'Rate Class Load Model'!D13</f>
        <v>825</v>
      </c>
      <c r="J39" s="5">
        <f>'Rate Class Load Model'!D14</f>
        <v>733</v>
      </c>
      <c r="K39" s="5">
        <f>'Rate Class Load Model'!D15</f>
        <v>695</v>
      </c>
      <c r="L39" s="26">
        <f>'Rate Class Load Model'!D16</f>
        <v>653</v>
      </c>
      <c r="M39" s="26">
        <f>'Rate Class Load Model'!D17</f>
        <v>679.47908629678989</v>
      </c>
      <c r="N39" s="26">
        <f>'Rate Class Load Model'!D18</f>
        <v>720.86670134477606</v>
      </c>
      <c r="O39" s="26">
        <f>'Rate Class Load Model'!D19</f>
        <v>716.23040649278312</v>
      </c>
      <c r="P39" s="26">
        <f>'Rate Class Load Model'!D20</f>
        <v>713.34740689392868</v>
      </c>
      <c r="Q39" s="26">
        <f>'Rate Class Load Model'!D21</f>
        <v>705.02695386826144</v>
      </c>
    </row>
    <row r="40" spans="1:17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26"/>
      <c r="M40" s="26"/>
      <c r="N40" s="26"/>
      <c r="O40" s="26"/>
      <c r="P40" s="26"/>
      <c r="Q40" s="26"/>
    </row>
    <row r="41" spans="1:17" x14ac:dyDescent="0.2">
      <c r="A41" s="41" t="str">
        <f>'Rate Class Energy Model'!M2</f>
        <v>Streetlights</v>
      </c>
      <c r="M41" s="26"/>
      <c r="N41" s="26"/>
      <c r="O41" s="26"/>
      <c r="P41" s="26"/>
      <c r="Q41" s="26"/>
    </row>
    <row r="42" spans="1:17" x14ac:dyDescent="0.2">
      <c r="A42" t="s">
        <v>77</v>
      </c>
      <c r="B42" s="5">
        <f>'Rate Class Customer Model'!G6</f>
        <v>0</v>
      </c>
      <c r="C42" s="5">
        <f>'Rate Class Customer Model'!G7</f>
        <v>0</v>
      </c>
      <c r="D42" s="5">
        <f>'Rate Class Customer Model'!G8</f>
        <v>11157</v>
      </c>
      <c r="E42" s="5">
        <f>'Rate Class Customer Model'!G9</f>
        <v>11358</v>
      </c>
      <c r="F42" s="5">
        <f>'Rate Class Customer Model'!G10</f>
        <v>11588</v>
      </c>
      <c r="G42" s="5">
        <f>'Rate Class Customer Model'!G11</f>
        <v>11752</v>
      </c>
      <c r="H42" s="5">
        <f>'Rate Class Customer Model'!G12</f>
        <v>11807</v>
      </c>
      <c r="I42" s="5">
        <f>'Rate Class Customer Model'!G13</f>
        <v>11933</v>
      </c>
      <c r="J42" s="5">
        <f>'Rate Class Customer Model'!G14</f>
        <v>11986</v>
      </c>
      <c r="K42" s="5">
        <f>'Rate Class Customer Model'!G15</f>
        <v>12136.499570173561</v>
      </c>
      <c r="L42" s="26">
        <f>'Rate Class Customer Model'!G16</f>
        <v>12334.460385101011</v>
      </c>
      <c r="M42" s="26">
        <f>'Rate Class Customer Model'!G17</f>
        <v>12539.666666666666</v>
      </c>
      <c r="N42" s="26">
        <f>'Rate Class Customer Model'!G18</f>
        <v>12507.166666666666</v>
      </c>
      <c r="O42" s="26">
        <f>'Rate Class Customer Model'!G19</f>
        <v>12702</v>
      </c>
      <c r="P42" s="26">
        <f>'Rate Class Customer Model'!G20</f>
        <v>12844.852833256655</v>
      </c>
      <c r="Q42" s="26">
        <f>'Rate Class Customer Model'!G21</f>
        <v>12989.312258543656</v>
      </c>
    </row>
    <row r="43" spans="1:17" x14ac:dyDescent="0.2">
      <c r="A43" t="s">
        <v>52</v>
      </c>
      <c r="B43" s="5">
        <f>'Rate Class Energy Model'!M11</f>
        <v>0</v>
      </c>
      <c r="C43" s="5">
        <f>'Rate Class Energy Model'!M12</f>
        <v>0</v>
      </c>
      <c r="D43" s="5">
        <f>'Rate Class Energy Model'!M13</f>
        <v>0</v>
      </c>
      <c r="E43" s="5">
        <f>'Rate Class Energy Model'!M14</f>
        <v>6713622.3509624368</v>
      </c>
      <c r="F43" s="5">
        <f>'Rate Class Energy Model'!M15</f>
        <v>7027057.9585124273</v>
      </c>
      <c r="G43" s="5">
        <f>'Rate Class Energy Model'!M16</f>
        <v>7458446.3496542703</v>
      </c>
      <c r="H43" s="5">
        <f>'Rate Class Energy Model'!M17</f>
        <v>8236753.7636072068</v>
      </c>
      <c r="I43" s="5">
        <f>'Rate Class Energy Model'!M18</f>
        <v>7023291.2978020944</v>
      </c>
      <c r="J43" s="5">
        <f>'Rate Class Energy Model'!M19</f>
        <v>7504236</v>
      </c>
      <c r="K43" s="5">
        <f>'Rate Class Energy Model'!M20</f>
        <v>7271510</v>
      </c>
      <c r="L43" s="26">
        <f>'Rate Class Energy Model'!M21</f>
        <v>7368898.1738683414</v>
      </c>
      <c r="M43" s="26">
        <f>'Rate Class Energy Model'!M22</f>
        <v>7294838</v>
      </c>
      <c r="N43" s="26">
        <f>'Rate Class Energy Model'!M23</f>
        <v>7329519</v>
      </c>
      <c r="O43" s="26">
        <f>'Rate Class Energy Model'!M24</f>
        <v>7344781</v>
      </c>
      <c r="P43" s="26">
        <f>'Rate Class Energy Model'!M100</f>
        <v>7411072.2161780158</v>
      </c>
      <c r="Q43" s="26">
        <f>'Rate Class Energy Model'!M101</f>
        <v>7477961.7518079486</v>
      </c>
    </row>
    <row r="44" spans="1:17" x14ac:dyDescent="0.2">
      <c r="A44" t="s">
        <v>53</v>
      </c>
      <c r="B44" s="5">
        <f>'Rate Class Load Model'!E6</f>
        <v>0</v>
      </c>
      <c r="C44" s="5">
        <f>'Rate Class Load Model'!E7</f>
        <v>0</v>
      </c>
      <c r="D44" s="5">
        <f>'Rate Class Load Model'!E8</f>
        <v>17456</v>
      </c>
      <c r="E44" s="5">
        <f>'Rate Class Load Model'!E9</f>
        <v>17588</v>
      </c>
      <c r="F44" s="5">
        <f>'Rate Class Load Model'!E10</f>
        <v>19480</v>
      </c>
      <c r="G44" s="5">
        <f>'Rate Class Load Model'!E11</f>
        <v>19789</v>
      </c>
      <c r="H44" s="5">
        <f>'Rate Class Load Model'!E12</f>
        <v>19932</v>
      </c>
      <c r="I44" s="5">
        <f>'Rate Class Load Model'!E13</f>
        <v>20188</v>
      </c>
      <c r="J44" s="5">
        <f>'Rate Class Load Model'!E14</f>
        <v>20371</v>
      </c>
      <c r="K44" s="5">
        <f>'Rate Class Load Model'!E15</f>
        <v>20319</v>
      </c>
      <c r="L44" s="26">
        <f>'Rate Class Load Model'!E16</f>
        <v>19656</v>
      </c>
      <c r="M44" s="26">
        <f>'Rate Class Load Model'!E17</f>
        <v>20391.457990632443</v>
      </c>
      <c r="N44" s="26">
        <f>'Rate Class Load Model'!E18</f>
        <v>21037.358958435376</v>
      </c>
      <c r="O44" s="26">
        <f>'Rate Class Load Model'!E19</f>
        <v>20808.575811577328</v>
      </c>
      <c r="P44" s="26">
        <f>'Rate Class Load Model'!E20</f>
        <v>20994.730572838995</v>
      </c>
      <c r="Q44" s="26">
        <f>'Rate Class Load Model'!E21</f>
        <v>21184.221072692333</v>
      </c>
    </row>
    <row r="46" spans="1:17" x14ac:dyDescent="0.2">
      <c r="A46" s="41" t="str">
        <f>'Rate Class Energy Model'!N2</f>
        <v>USL</v>
      </c>
    </row>
    <row r="47" spans="1:17" x14ac:dyDescent="0.2">
      <c r="A47" t="s">
        <v>77</v>
      </c>
      <c r="B47" s="5">
        <f>'Rate Class Customer Model'!H6</f>
        <v>0</v>
      </c>
      <c r="C47" s="5">
        <f>'Rate Class Customer Model'!H7</f>
        <v>0</v>
      </c>
      <c r="D47" s="5">
        <f>'Rate Class Customer Model'!H8</f>
        <v>419</v>
      </c>
      <c r="E47" s="5">
        <f>'Rate Class Customer Model'!H9</f>
        <v>422</v>
      </c>
      <c r="F47" s="5">
        <f>'Rate Class Customer Model'!H10</f>
        <v>422</v>
      </c>
      <c r="G47" s="5">
        <f>'Rate Class Customer Model'!H11</f>
        <v>422</v>
      </c>
      <c r="H47" s="5">
        <f>'Rate Class Customer Model'!H12</f>
        <v>422</v>
      </c>
      <c r="I47" s="5">
        <f>'Rate Class Customer Model'!H13</f>
        <v>440</v>
      </c>
      <c r="J47" s="5">
        <f>'Rate Class Customer Model'!H14</f>
        <v>444.95052458080193</v>
      </c>
      <c r="K47" s="5">
        <f>'Rate Class Customer Model'!H15</f>
        <v>454</v>
      </c>
      <c r="L47" s="26">
        <f>'Rate Class Customer Model'!H16</f>
        <v>465</v>
      </c>
      <c r="M47" s="26">
        <f>'Rate Class Customer Model'!H17</f>
        <v>424.05552631578945</v>
      </c>
      <c r="N47" s="26">
        <f>'Rate Class Customer Model'!H18</f>
        <v>383.5414710485133</v>
      </c>
      <c r="O47" s="26">
        <f>'Rate Class Customer Model'!H19</f>
        <v>421.60581516095533</v>
      </c>
      <c r="P47" s="26">
        <f>'Rate Class Customer Model'!H20</f>
        <v>421.56641693389605</v>
      </c>
      <c r="Q47" s="26">
        <f>'Rate Class Customer Model'!H21</f>
        <v>421.52702238852294</v>
      </c>
    </row>
    <row r="48" spans="1:17" x14ac:dyDescent="0.2">
      <c r="A48" t="s">
        <v>52</v>
      </c>
      <c r="B48" s="5">
        <f>'Rate Class Energy Model'!N11</f>
        <v>0</v>
      </c>
      <c r="C48" s="5">
        <f>'Rate Class Energy Model'!N12</f>
        <v>0</v>
      </c>
      <c r="D48" s="5">
        <f>'Rate Class Energy Model'!N13</f>
        <v>0</v>
      </c>
      <c r="E48" s="5">
        <f>'Rate Class Energy Model'!N14</f>
        <v>2419471.4225378432</v>
      </c>
      <c r="F48" s="5">
        <f>'Rate Class Energy Model'!N15</f>
        <v>2425086.5427022986</v>
      </c>
      <c r="G48" s="5">
        <f>'Rate Class Energy Model'!N16</f>
        <v>2391929.6946365163</v>
      </c>
      <c r="H48" s="5">
        <f>'Rate Class Energy Model'!N17</f>
        <v>2375520.4641071595</v>
      </c>
      <c r="I48" s="5">
        <f>'Rate Class Energy Model'!N18</f>
        <v>2326943.5736251296</v>
      </c>
      <c r="J48" s="5">
        <f>'Rate Class Energy Model'!N19</f>
        <v>2302512</v>
      </c>
      <c r="K48" s="5">
        <f>'Rate Class Energy Model'!N20</f>
        <v>2356161</v>
      </c>
      <c r="L48" s="26">
        <f>'Rate Class Energy Model'!N21</f>
        <v>2345771.5107520283</v>
      </c>
      <c r="M48" s="26">
        <f>'Rate Class Energy Model'!N22</f>
        <v>1798316</v>
      </c>
      <c r="N48" s="26">
        <f>'Rate Class Energy Model'!N23</f>
        <v>2264271</v>
      </c>
      <c r="O48" s="26">
        <f>'Rate Class Energy Model'!N24</f>
        <v>2247877</v>
      </c>
      <c r="P48" s="26">
        <f>'Rate Class Energy Model'!N100</f>
        <v>2231401.6422909871</v>
      </c>
      <c r="Q48" s="26">
        <f>'Rate Class Energy Model'!N101</f>
        <v>2215047.0373685542</v>
      </c>
    </row>
    <row r="49" spans="1:17" x14ac:dyDescent="0.2">
      <c r="M49" s="26"/>
      <c r="N49" s="26"/>
      <c r="O49" s="26"/>
      <c r="P49" s="26"/>
      <c r="Q49" s="26"/>
    </row>
    <row r="50" spans="1:17" x14ac:dyDescent="0.2">
      <c r="A50" s="41" t="s">
        <v>78</v>
      </c>
      <c r="B50" s="5"/>
      <c r="C50" s="5"/>
      <c r="D50" s="5"/>
      <c r="E50" s="5"/>
      <c r="F50" s="5"/>
      <c r="G50" s="5"/>
      <c r="H50" s="5"/>
      <c r="J50" s="5"/>
      <c r="K50" s="5"/>
      <c r="L50" s="26"/>
    </row>
    <row r="51" spans="1:17" x14ac:dyDescent="0.2">
      <c r="A51" t="s">
        <v>63</v>
      </c>
      <c r="B51" s="5">
        <f>'Rate Class Customer Model'!I6</f>
        <v>0</v>
      </c>
      <c r="C51" s="5">
        <f>'Rate Class Customer Model'!I7</f>
        <v>0</v>
      </c>
      <c r="D51" s="5">
        <f>'Rate Class Customer Model'!I8</f>
        <v>57749</v>
      </c>
      <c r="E51" s="5">
        <f>E19+E23+E27+E32+E37+E42+E47</f>
        <v>59715.000000200002</v>
      </c>
      <c r="F51" s="5">
        <f t="shared" ref="F51:Q51" si="1">F19+F23+F27+F32+F37+F42+F47</f>
        <v>60323.000000200002</v>
      </c>
      <c r="G51" s="5">
        <f t="shared" si="1"/>
        <v>61003.000000200002</v>
      </c>
      <c r="H51" s="5">
        <f t="shared" si="1"/>
        <v>61856.000000200002</v>
      </c>
      <c r="I51" s="5">
        <f t="shared" si="1"/>
        <v>62459.000000200002</v>
      </c>
      <c r="J51" s="5">
        <f t="shared" si="1"/>
        <v>63057.207877552457</v>
      </c>
      <c r="K51" s="5">
        <f t="shared" si="1"/>
        <v>64025.662173657598</v>
      </c>
      <c r="L51" s="5">
        <f t="shared" si="1"/>
        <v>64264.043081257594</v>
      </c>
      <c r="M51" s="26">
        <f t="shared" si="1"/>
        <v>64494.493913748047</v>
      </c>
      <c r="N51" s="26">
        <f t="shared" si="1"/>
        <v>64219.999534355389</v>
      </c>
      <c r="O51" s="26">
        <f t="shared" si="1"/>
        <v>64913.265151038577</v>
      </c>
      <c r="P51" s="26">
        <f t="shared" si="1"/>
        <v>65467.489659470455</v>
      </c>
      <c r="Q51" s="26">
        <f t="shared" si="1"/>
        <v>66027.916452443576</v>
      </c>
    </row>
    <row r="52" spans="1:17" x14ac:dyDescent="0.2">
      <c r="A52" t="s">
        <v>52</v>
      </c>
      <c r="B52" s="5">
        <f>'Rate Class Energy Model'!G11</f>
        <v>0</v>
      </c>
      <c r="C52" s="5">
        <f>'Rate Class Energy Model'!G12</f>
        <v>0</v>
      </c>
      <c r="D52" s="5">
        <f>'Rate Class Energy Model'!G13</f>
        <v>0</v>
      </c>
      <c r="E52" s="5">
        <f>E20+E24+E28+E33+E38+E43+E48</f>
        <v>1108347420.2106147</v>
      </c>
      <c r="F52" s="5">
        <f t="shared" ref="F52:Q52" si="2">F20+F24+F28+F33+F38+F43+F48</f>
        <v>1135405804.1076436</v>
      </c>
      <c r="G52" s="5">
        <f t="shared" si="2"/>
        <v>1208894249.4505701</v>
      </c>
      <c r="H52" s="5">
        <f t="shared" si="2"/>
        <v>1184184646.7743611</v>
      </c>
      <c r="I52" s="5">
        <f t="shared" si="2"/>
        <v>1220452819.8678427</v>
      </c>
      <c r="J52" s="5">
        <f t="shared" si="2"/>
        <v>1188897732</v>
      </c>
      <c r="K52" s="5">
        <f t="shared" si="2"/>
        <v>1161778118</v>
      </c>
      <c r="L52" s="5">
        <f t="shared" si="2"/>
        <v>1193712076.182653</v>
      </c>
      <c r="M52" s="26">
        <f t="shared" si="2"/>
        <v>1232998827</v>
      </c>
      <c r="N52" s="26">
        <f t="shared" si="2"/>
        <v>1214015314.2602541</v>
      </c>
      <c r="O52" s="26">
        <f t="shared" si="2"/>
        <v>1202305265</v>
      </c>
      <c r="P52" s="26">
        <f t="shared" si="2"/>
        <v>1184453504.0765128</v>
      </c>
      <c r="Q52" s="26">
        <f t="shared" si="2"/>
        <v>1185817111.8637812</v>
      </c>
    </row>
    <row r="53" spans="1:17" x14ac:dyDescent="0.2">
      <c r="A53" t="s">
        <v>62</v>
      </c>
      <c r="B53" s="5">
        <f>'Rate Class Load Model'!F6</f>
        <v>0</v>
      </c>
      <c r="C53" s="5">
        <f>'Rate Class Load Model'!F7</f>
        <v>0</v>
      </c>
      <c r="D53" s="5">
        <f>'Rate Class Load Model'!F8</f>
        <v>1547675</v>
      </c>
      <c r="E53" s="5">
        <f>E29+E34+E39+E44</f>
        <v>1592107</v>
      </c>
      <c r="F53" s="5">
        <f t="shared" ref="F53:Q53" si="3">F29+F34+F39+F44</f>
        <v>1693459</v>
      </c>
      <c r="G53" s="5">
        <f t="shared" si="3"/>
        <v>1740622</v>
      </c>
      <c r="H53" s="5">
        <f t="shared" si="3"/>
        <v>1798454</v>
      </c>
      <c r="I53" s="5">
        <f t="shared" si="3"/>
        <v>1905492</v>
      </c>
      <c r="J53" s="5">
        <f t="shared" si="3"/>
        <v>1756920</v>
      </c>
      <c r="K53" s="5">
        <f t="shared" si="3"/>
        <v>1774205</v>
      </c>
      <c r="L53" s="5">
        <f t="shared" si="3"/>
        <v>1790145</v>
      </c>
      <c r="M53" s="26">
        <f t="shared" si="3"/>
        <v>1814614.3558356732</v>
      </c>
      <c r="N53" s="26">
        <f t="shared" si="3"/>
        <v>1782979.6793479405</v>
      </c>
      <c r="O53" s="26">
        <f t="shared" si="3"/>
        <v>1743078.7754714421</v>
      </c>
      <c r="P53" s="26">
        <f t="shared" si="3"/>
        <v>1745463.1901586629</v>
      </c>
      <c r="Q53" s="26">
        <f t="shared" si="3"/>
        <v>1761768.7033927587</v>
      </c>
    </row>
    <row r="55" spans="1:17" x14ac:dyDescent="0.2">
      <c r="A55" s="41" t="s">
        <v>79</v>
      </c>
      <c r="M55" s="71"/>
      <c r="N55" s="71"/>
      <c r="O55" s="71"/>
      <c r="P55" s="71"/>
      <c r="Q55" s="71"/>
    </row>
    <row r="56" spans="1:17" x14ac:dyDescent="0.2">
      <c r="A56" t="s">
        <v>63</v>
      </c>
      <c r="B56" s="5"/>
      <c r="C56" s="5"/>
      <c r="D56" s="5"/>
      <c r="E56" s="5">
        <f>'Rate Class Customer Model'!I9</f>
        <v>59715.000000200002</v>
      </c>
      <c r="F56" s="5">
        <f>'Rate Class Customer Model'!I10</f>
        <v>60323.000000200002</v>
      </c>
      <c r="G56" s="5">
        <f>'Rate Class Customer Model'!I11</f>
        <v>61003.000000200002</v>
      </c>
      <c r="H56" s="5">
        <f>'Rate Class Customer Model'!I12</f>
        <v>61856.000000200002</v>
      </c>
      <c r="I56" s="5">
        <f>'Rate Class Customer Model'!I13</f>
        <v>62459.000000200002</v>
      </c>
      <c r="J56" s="5">
        <f>'Rate Class Customer Model'!I14</f>
        <v>63057.207877552457</v>
      </c>
      <c r="K56" s="5">
        <f>'Rate Class Customer Model'!I15</f>
        <v>64025.662173657591</v>
      </c>
      <c r="L56" s="5">
        <f>'Rate Class Customer Model'!I16</f>
        <v>64264.043081257594</v>
      </c>
      <c r="M56" s="26">
        <f>'Rate Class Customer Model'!I17</f>
        <v>64494.493913748047</v>
      </c>
      <c r="N56" s="26">
        <f>'Rate Class Customer Model'!I18</f>
        <v>64219.999534355389</v>
      </c>
      <c r="O56" s="26">
        <f>'Rate Class Customer Model'!I19</f>
        <v>64913.265151038577</v>
      </c>
      <c r="P56" s="26">
        <f>'Rate Class Customer Model'!I20</f>
        <v>65467.489659470455</v>
      </c>
      <c r="Q56" s="26">
        <f>'Rate Class Customer Model'!I21</f>
        <v>66027.916452443576</v>
      </c>
    </row>
    <row r="57" spans="1:17" x14ac:dyDescent="0.2">
      <c r="A57" t="s">
        <v>52</v>
      </c>
      <c r="B57" s="5"/>
      <c r="C57" s="5"/>
      <c r="D57" s="5"/>
      <c r="E57" s="5">
        <f>'Rate Class Energy Model'!G14</f>
        <v>1108347420.2106147</v>
      </c>
      <c r="F57" s="5">
        <f>'Rate Class Energy Model'!G15</f>
        <v>1135405804.1076436</v>
      </c>
      <c r="G57" s="5">
        <f>'Rate Class Energy Model'!G16</f>
        <v>1208894249.4505701</v>
      </c>
      <c r="H57" s="5">
        <f>'Rate Class Energy Model'!G17</f>
        <v>1184184646.7743611</v>
      </c>
      <c r="I57" s="5">
        <f>'Rate Class Energy Model'!G18</f>
        <v>1220452819.8678427</v>
      </c>
      <c r="J57" s="5">
        <f>'Rate Class Energy Model'!G19</f>
        <v>1188897732</v>
      </c>
      <c r="K57" s="5">
        <f>'Rate Class Energy Model'!G20</f>
        <v>1161778118</v>
      </c>
      <c r="L57" s="26">
        <f>'Rate Class Energy Model'!G21</f>
        <v>1193712076.182653</v>
      </c>
      <c r="M57" s="26">
        <f>'Rate Class Energy Model'!G22</f>
        <v>1232998827</v>
      </c>
      <c r="N57" s="26">
        <f>'Rate Class Energy Model'!G23</f>
        <v>1214015314.2602541</v>
      </c>
      <c r="O57" s="26">
        <f>'Rate Class Energy Model'!G24</f>
        <v>1202305265</v>
      </c>
      <c r="P57" s="26">
        <f>'Rate Class Energy Model'!O100</f>
        <v>1184453504.0765128</v>
      </c>
      <c r="Q57" s="26">
        <f>'Rate Class Energy Model'!O101</f>
        <v>1185817111.8637812</v>
      </c>
    </row>
    <row r="58" spans="1:17" x14ac:dyDescent="0.2">
      <c r="A58" t="s">
        <v>62</v>
      </c>
      <c r="B58" s="5"/>
      <c r="C58" s="5"/>
      <c r="D58" s="5"/>
      <c r="E58" s="5">
        <f>'Rate Class Load Model'!F9</f>
        <v>1592107</v>
      </c>
      <c r="F58" s="5">
        <f>'Rate Class Load Model'!F10</f>
        <v>1693459</v>
      </c>
      <c r="G58" s="5">
        <f>'Rate Class Load Model'!F11</f>
        <v>1740622</v>
      </c>
      <c r="H58" s="5">
        <f>'Rate Class Load Model'!F12</f>
        <v>1798454</v>
      </c>
      <c r="I58" s="5">
        <f>'Rate Class Load Model'!F13</f>
        <v>1905492</v>
      </c>
      <c r="J58" s="5">
        <f>'Rate Class Load Model'!F14</f>
        <v>1756920</v>
      </c>
      <c r="K58" s="5">
        <f>'Rate Class Load Model'!F15</f>
        <v>1774205</v>
      </c>
      <c r="L58" s="26">
        <f>'Rate Class Load Model'!F16</f>
        <v>1790145</v>
      </c>
      <c r="M58" s="26">
        <f>'Rate Class Load Model'!F17</f>
        <v>1814614.3558356732</v>
      </c>
      <c r="N58" s="26">
        <f>'Rate Class Load Model'!F18</f>
        <v>1782979.6793479405</v>
      </c>
      <c r="O58" s="26">
        <f>'Rate Class Load Model'!F19</f>
        <v>1743078.7754714421</v>
      </c>
      <c r="P58" s="26">
        <f>'Rate Class Load Model'!F20</f>
        <v>1745463.1901586629</v>
      </c>
      <c r="Q58" s="26">
        <f>'Rate Class Load Model'!F21</f>
        <v>1761768.7033927587</v>
      </c>
    </row>
    <row r="60" spans="1:17" x14ac:dyDescent="0.2">
      <c r="A60" s="41" t="s">
        <v>80</v>
      </c>
      <c r="E60" s="5"/>
      <c r="F60" s="5"/>
      <c r="G60" s="5"/>
      <c r="H60" s="5"/>
      <c r="I60" s="5"/>
      <c r="J60" s="5"/>
      <c r="K60" s="5"/>
      <c r="L60" s="5"/>
      <c r="M60" s="26"/>
      <c r="N60" s="26"/>
      <c r="O60" s="26"/>
      <c r="P60" s="26"/>
      <c r="Q60" s="26"/>
    </row>
    <row r="61" spans="1:17" x14ac:dyDescent="0.2">
      <c r="A61" t="s">
        <v>63</v>
      </c>
      <c r="B61" s="5">
        <f t="shared" ref="B61:C63" si="4">B51-B56</f>
        <v>0</v>
      </c>
      <c r="C61" s="5">
        <f t="shared" si="4"/>
        <v>0</v>
      </c>
      <c r="D61" s="5"/>
      <c r="E61" s="5">
        <f>E51-E56</f>
        <v>0</v>
      </c>
      <c r="F61" s="5">
        <f t="shared" ref="F61:M61" si="5">F51-F56</f>
        <v>0</v>
      </c>
      <c r="G61" s="5">
        <f t="shared" si="5"/>
        <v>0</v>
      </c>
      <c r="H61" s="5">
        <f t="shared" si="5"/>
        <v>0</v>
      </c>
      <c r="I61" s="5">
        <f t="shared" si="5"/>
        <v>0</v>
      </c>
      <c r="J61" s="5">
        <f t="shared" si="5"/>
        <v>0</v>
      </c>
      <c r="K61" s="5">
        <f t="shared" si="5"/>
        <v>0</v>
      </c>
      <c r="L61" s="5">
        <f t="shared" si="5"/>
        <v>0</v>
      </c>
      <c r="M61" s="26">
        <f t="shared" si="5"/>
        <v>0</v>
      </c>
      <c r="N61" s="26">
        <f t="shared" ref="N61:Q63" si="6">N51-N56</f>
        <v>0</v>
      </c>
      <c r="O61" s="26">
        <f t="shared" si="6"/>
        <v>0</v>
      </c>
      <c r="P61" s="26">
        <f t="shared" si="6"/>
        <v>0</v>
      </c>
      <c r="Q61" s="26">
        <f t="shared" si="6"/>
        <v>0</v>
      </c>
    </row>
    <row r="62" spans="1:17" x14ac:dyDescent="0.2">
      <c r="A62" t="s">
        <v>52</v>
      </c>
      <c r="B62" s="5">
        <f t="shared" si="4"/>
        <v>0</v>
      </c>
      <c r="C62" s="5">
        <f t="shared" si="4"/>
        <v>0</v>
      </c>
      <c r="D62" s="5"/>
      <c r="E62" s="5">
        <f t="shared" ref="E62:M63" si="7">E52-E57</f>
        <v>0</v>
      </c>
      <c r="F62" s="5">
        <f t="shared" si="7"/>
        <v>0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0</v>
      </c>
      <c r="M62" s="26">
        <f t="shared" si="7"/>
        <v>0</v>
      </c>
      <c r="N62" s="26">
        <f t="shared" si="6"/>
        <v>0</v>
      </c>
      <c r="O62" s="26">
        <f t="shared" si="6"/>
        <v>0</v>
      </c>
      <c r="P62" s="26">
        <f t="shared" si="6"/>
        <v>0</v>
      </c>
      <c r="Q62" s="26">
        <f t="shared" si="6"/>
        <v>0</v>
      </c>
    </row>
    <row r="63" spans="1:17" x14ac:dyDescent="0.2">
      <c r="A63" t="s">
        <v>62</v>
      </c>
      <c r="B63" s="5">
        <f t="shared" si="4"/>
        <v>0</v>
      </c>
      <c r="C63" s="5">
        <f t="shared" si="4"/>
        <v>0</v>
      </c>
      <c r="D63" s="5"/>
      <c r="E63" s="5">
        <f t="shared" si="7"/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0</v>
      </c>
      <c r="K63" s="5">
        <f t="shared" si="7"/>
        <v>0</v>
      </c>
      <c r="L63" s="5">
        <f t="shared" si="7"/>
        <v>0</v>
      </c>
      <c r="M63" s="26">
        <f t="shared" si="7"/>
        <v>0</v>
      </c>
      <c r="N63" s="26">
        <f t="shared" si="6"/>
        <v>0</v>
      </c>
      <c r="O63" s="26">
        <f t="shared" si="6"/>
        <v>0</v>
      </c>
      <c r="P63" s="26">
        <f t="shared" si="6"/>
        <v>0</v>
      </c>
      <c r="Q63" s="26">
        <f t="shared" si="6"/>
        <v>0</v>
      </c>
    </row>
    <row r="66" spans="1:15" x14ac:dyDescent="0.2">
      <c r="D66" s="1">
        <v>2002</v>
      </c>
      <c r="E66" s="1">
        <v>2003</v>
      </c>
      <c r="F66" s="1">
        <v>2004</v>
      </c>
      <c r="G66" s="1">
        <v>2005</v>
      </c>
      <c r="H66" s="1">
        <v>2006</v>
      </c>
      <c r="I66" s="1">
        <v>2007</v>
      </c>
      <c r="J66" s="1">
        <v>2008</v>
      </c>
      <c r="K66" s="1">
        <v>2009</v>
      </c>
      <c r="L66" s="22">
        <v>2010</v>
      </c>
      <c r="M66" s="22">
        <v>2011</v>
      </c>
      <c r="N66" s="22">
        <v>2012</v>
      </c>
      <c r="O66" s="22">
        <v>2013</v>
      </c>
    </row>
    <row r="67" spans="1:15" x14ac:dyDescent="0.2">
      <c r="A67" s="319" t="s">
        <v>308</v>
      </c>
      <c r="D67" s="344">
        <f>D4/1000000</f>
        <v>1162.7106737803967</v>
      </c>
      <c r="E67" s="344">
        <f t="shared" ref="E67:O67" si="8">E4/1000000</f>
        <v>1152.0431601684204</v>
      </c>
      <c r="F67" s="344">
        <f t="shared" si="8"/>
        <v>1205.2410738281756</v>
      </c>
      <c r="G67" s="344">
        <f t="shared" si="8"/>
        <v>1272.1913389746144</v>
      </c>
      <c r="H67" s="344">
        <f t="shared" si="8"/>
        <v>1248.0578397212546</v>
      </c>
      <c r="I67" s="344">
        <f t="shared" si="8"/>
        <v>1283.9163663514184</v>
      </c>
      <c r="J67" s="344">
        <f t="shared" si="8"/>
        <v>1247.356069218019</v>
      </c>
      <c r="K67" s="344">
        <f t="shared" si="8"/>
        <v>1216.8078194732932</v>
      </c>
      <c r="L67" s="344">
        <f t="shared" si="8"/>
        <v>1264.7146369492391</v>
      </c>
      <c r="M67" s="344">
        <f t="shared" si="8"/>
        <v>1266.3116624232737</v>
      </c>
      <c r="N67" s="344">
        <f t="shared" si="8"/>
        <v>1260.7894508992722</v>
      </c>
      <c r="O67" s="344">
        <f t="shared" si="8"/>
        <v>1250.0000795232756</v>
      </c>
    </row>
    <row r="68" spans="1:15" x14ac:dyDescent="0.2">
      <c r="A68" s="319" t="s">
        <v>309</v>
      </c>
      <c r="D68" s="344">
        <f>D5/1000000</f>
        <v>1162.6654762128398</v>
      </c>
      <c r="E68" s="344">
        <f t="shared" ref="E68:O68" si="9">E5/1000000</f>
        <v>1167.6507158182812</v>
      </c>
      <c r="F68" s="344">
        <f t="shared" si="9"/>
        <v>1182.6458563429189</v>
      </c>
      <c r="G68" s="344">
        <f t="shared" si="9"/>
        <v>1271.7227980020389</v>
      </c>
      <c r="H68" s="344">
        <f t="shared" si="9"/>
        <v>1249.4332621496064</v>
      </c>
      <c r="I68" s="344">
        <f t="shared" si="9"/>
        <v>1270.377856264178</v>
      </c>
      <c r="J68" s="344">
        <f t="shared" si="9"/>
        <v>1255.8433678588324</v>
      </c>
      <c r="K68" s="344">
        <f t="shared" si="9"/>
        <v>1225.3990852882425</v>
      </c>
      <c r="L68" s="344">
        <f t="shared" si="9"/>
        <v>1256.4508726026884</v>
      </c>
      <c r="M68" s="344">
        <f t="shared" si="9"/>
        <v>1265.2088732973048</v>
      </c>
      <c r="N68" s="344">
        <f t="shared" si="9"/>
        <v>1275.1403551855635</v>
      </c>
      <c r="O68" s="344">
        <f t="shared" si="9"/>
        <v>1237.5765069836352</v>
      </c>
    </row>
  </sheetData>
  <phoneticPr fontId="0" type="noConversion"/>
  <pageMargins left="0.38" right="0.75" top="0.73" bottom="0.74" header="0.5" footer="0.5"/>
  <pageSetup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9"/>
  <sheetViews>
    <sheetView topLeftCell="E25" zoomScale="75" zoomScaleNormal="75" workbookViewId="0">
      <selection activeCell="R67" sqref="R67"/>
    </sheetView>
  </sheetViews>
  <sheetFormatPr defaultRowHeight="12.75" x14ac:dyDescent="0.2"/>
  <cols>
    <col min="4" max="11" width="9.28515625" bestFit="1" customWidth="1"/>
    <col min="12" max="12" width="10.42578125" bestFit="1" customWidth="1"/>
    <col min="13" max="13" width="10.85546875" customWidth="1"/>
    <col min="14" max="14" width="11.5703125" customWidth="1"/>
    <col min="15" max="16" width="9.28515625" bestFit="1" customWidth="1"/>
    <col min="17" max="17" width="13.28515625" customWidth="1"/>
    <col min="18" max="18" width="11.85546875" customWidth="1"/>
    <col min="19" max="19" width="11.140625" customWidth="1"/>
    <col min="20" max="20" width="11.85546875" customWidth="1"/>
    <col min="21" max="21" width="21.28515625" customWidth="1"/>
  </cols>
  <sheetData>
    <row r="2" spans="2:21" ht="13.5" thickBot="1" x14ac:dyDescent="0.25"/>
    <row r="3" spans="2:21" x14ac:dyDescent="0.2">
      <c r="B3" s="370" t="s">
        <v>174</v>
      </c>
      <c r="C3" s="370" t="s">
        <v>175</v>
      </c>
      <c r="D3" s="372" t="s">
        <v>176</v>
      </c>
      <c r="E3" s="373"/>
      <c r="F3" s="373"/>
      <c r="G3" s="374"/>
      <c r="H3" s="378" t="s">
        <v>177</v>
      </c>
      <c r="I3" s="379"/>
      <c r="J3" s="379"/>
      <c r="K3" s="380"/>
      <c r="L3" s="372" t="s">
        <v>178</v>
      </c>
      <c r="M3" s="373"/>
      <c r="N3" s="373"/>
      <c r="O3" s="374"/>
      <c r="P3" s="362" t="s">
        <v>179</v>
      </c>
      <c r="Q3" s="362" t="s">
        <v>180</v>
      </c>
    </row>
    <row r="4" spans="2:21" ht="24.75" customHeight="1" thickBot="1" x14ac:dyDescent="0.25">
      <c r="B4" s="371"/>
      <c r="C4" s="371"/>
      <c r="D4" s="375"/>
      <c r="E4" s="376"/>
      <c r="F4" s="376"/>
      <c r="G4" s="377"/>
      <c r="H4" s="381"/>
      <c r="I4" s="382"/>
      <c r="J4" s="382"/>
      <c r="K4" s="383"/>
      <c r="L4" s="375"/>
      <c r="M4" s="376"/>
      <c r="N4" s="376"/>
      <c r="O4" s="377"/>
      <c r="P4" s="363"/>
      <c r="Q4" s="363"/>
      <c r="R4" s="1"/>
      <c r="S4" s="1"/>
      <c r="T4" s="1"/>
      <c r="U4" s="1"/>
    </row>
    <row r="5" spans="2:21" ht="16.5" thickBot="1" x14ac:dyDescent="0.3">
      <c r="B5" s="371"/>
      <c r="C5" s="371"/>
      <c r="D5" s="183">
        <v>2011</v>
      </c>
      <c r="E5" s="184">
        <v>2012</v>
      </c>
      <c r="F5" s="184">
        <v>2013</v>
      </c>
      <c r="G5" s="185">
        <v>2014</v>
      </c>
      <c r="H5" s="183">
        <v>2011</v>
      </c>
      <c r="I5" s="184">
        <v>2012</v>
      </c>
      <c r="J5" s="184">
        <v>2013</v>
      </c>
      <c r="K5" s="185">
        <v>2014</v>
      </c>
      <c r="L5" s="183">
        <v>2011</v>
      </c>
      <c r="M5" s="184">
        <v>2012</v>
      </c>
      <c r="N5" s="184">
        <v>2013</v>
      </c>
      <c r="O5" s="185">
        <v>2014</v>
      </c>
      <c r="P5" s="186">
        <v>2014</v>
      </c>
      <c r="Q5" s="186">
        <v>2014</v>
      </c>
      <c r="R5" s="1"/>
      <c r="S5" s="1"/>
      <c r="T5" s="1"/>
      <c r="U5" s="1"/>
    </row>
    <row r="6" spans="2:21" ht="15.75" thickBot="1" x14ac:dyDescent="0.3">
      <c r="B6" s="187"/>
      <c r="C6" s="187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"/>
      <c r="S6" s="1"/>
      <c r="T6" s="1"/>
      <c r="U6" s="1"/>
    </row>
    <row r="7" spans="2:21" ht="16.5" thickBot="1" x14ac:dyDescent="0.3">
      <c r="B7" s="364" t="s">
        <v>181</v>
      </c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142" t="s">
        <v>182</v>
      </c>
      <c r="S7" s="142" t="s">
        <v>183</v>
      </c>
      <c r="T7" s="142" t="s">
        <v>184</v>
      </c>
      <c r="U7" s="72"/>
    </row>
    <row r="8" spans="2:21" ht="15" x14ac:dyDescent="0.25">
      <c r="B8" s="189" t="s">
        <v>185</v>
      </c>
      <c r="C8" s="190" t="s">
        <v>186</v>
      </c>
      <c r="D8" s="191">
        <v>512</v>
      </c>
      <c r="E8" s="21">
        <v>339</v>
      </c>
      <c r="F8" s="21">
        <v>158</v>
      </c>
      <c r="G8" s="192"/>
      <c r="H8" s="191">
        <v>30</v>
      </c>
      <c r="I8" s="21">
        <v>20</v>
      </c>
      <c r="J8" s="21">
        <v>9</v>
      </c>
      <c r="K8" s="192"/>
      <c r="L8" s="191">
        <v>214685</v>
      </c>
      <c r="M8" s="21">
        <v>135814</v>
      </c>
      <c r="N8" s="193">
        <v>63786</v>
      </c>
      <c r="O8" s="194">
        <v>0</v>
      </c>
      <c r="P8" s="195">
        <v>59</v>
      </c>
      <c r="Q8" s="196">
        <v>1393046</v>
      </c>
      <c r="R8" s="197">
        <f>Q8</f>
        <v>1393046</v>
      </c>
      <c r="S8" s="198"/>
      <c r="T8" s="198"/>
      <c r="U8" s="72" t="s">
        <v>70</v>
      </c>
    </row>
    <row r="9" spans="2:21" ht="15" x14ac:dyDescent="0.25">
      <c r="B9" s="189" t="s">
        <v>187</v>
      </c>
      <c r="C9" s="190" t="s">
        <v>186</v>
      </c>
      <c r="D9" s="191">
        <v>44</v>
      </c>
      <c r="E9" s="21">
        <v>56</v>
      </c>
      <c r="F9" s="21">
        <v>32</v>
      </c>
      <c r="G9" s="192"/>
      <c r="H9" s="191">
        <v>4</v>
      </c>
      <c r="I9" s="21">
        <v>8</v>
      </c>
      <c r="J9" s="21">
        <v>5</v>
      </c>
      <c r="K9" s="192"/>
      <c r="L9" s="191">
        <v>4714</v>
      </c>
      <c r="M9" s="21">
        <v>14737</v>
      </c>
      <c r="N9" s="193">
        <v>8368</v>
      </c>
      <c r="O9" s="194"/>
      <c r="P9" s="195">
        <v>14</v>
      </c>
      <c r="Q9" s="196">
        <v>76976</v>
      </c>
      <c r="R9" s="197">
        <f>Q9</f>
        <v>76976</v>
      </c>
      <c r="S9" s="198"/>
      <c r="T9" s="198"/>
      <c r="U9" s="72" t="s">
        <v>70</v>
      </c>
    </row>
    <row r="10" spans="2:21" ht="15" x14ac:dyDescent="0.25">
      <c r="B10" s="189" t="s">
        <v>188</v>
      </c>
      <c r="C10" s="190" t="s">
        <v>189</v>
      </c>
      <c r="D10" s="191">
        <v>880</v>
      </c>
      <c r="E10" s="21">
        <v>712</v>
      </c>
      <c r="F10" s="21">
        <v>622</v>
      </c>
      <c r="G10" s="192"/>
      <c r="H10" s="191">
        <v>282</v>
      </c>
      <c r="I10" s="21">
        <v>151</v>
      </c>
      <c r="J10" s="21">
        <v>134</v>
      </c>
      <c r="K10" s="192"/>
      <c r="L10" s="191">
        <v>504642</v>
      </c>
      <c r="M10" s="21">
        <v>253365</v>
      </c>
      <c r="N10" s="193">
        <v>226291</v>
      </c>
      <c r="O10" s="194"/>
      <c r="P10" s="195">
        <v>568</v>
      </c>
      <c r="Q10" s="196">
        <v>3231245</v>
      </c>
      <c r="R10" s="197">
        <f>+Q10*90%</f>
        <v>2908120.5</v>
      </c>
      <c r="S10" s="250">
        <f>+Q10*10%</f>
        <v>323124.5</v>
      </c>
      <c r="T10" s="250"/>
      <c r="U10" s="251" t="s">
        <v>190</v>
      </c>
    </row>
    <row r="11" spans="2:21" ht="15" x14ac:dyDescent="0.25">
      <c r="B11" s="189" t="s">
        <v>191</v>
      </c>
      <c r="C11" s="190" t="s">
        <v>192</v>
      </c>
      <c r="D11" s="191">
        <v>7729</v>
      </c>
      <c r="E11" s="21">
        <v>307</v>
      </c>
      <c r="F11" s="21">
        <v>1040</v>
      </c>
      <c r="G11" s="192"/>
      <c r="H11" s="191">
        <v>15</v>
      </c>
      <c r="I11" s="21">
        <v>2</v>
      </c>
      <c r="J11" s="21">
        <v>2</v>
      </c>
      <c r="K11" s="192"/>
      <c r="L11" s="191">
        <v>272325</v>
      </c>
      <c r="M11" s="21">
        <v>13904</v>
      </c>
      <c r="N11" s="193">
        <v>31226</v>
      </c>
      <c r="O11" s="194"/>
      <c r="P11" s="195">
        <v>19</v>
      </c>
      <c r="Q11" s="196">
        <v>1193463</v>
      </c>
      <c r="R11" s="197">
        <f>Q11</f>
        <v>1193463</v>
      </c>
      <c r="S11" s="250"/>
      <c r="T11" s="250"/>
      <c r="U11" s="251" t="s">
        <v>70</v>
      </c>
    </row>
    <row r="12" spans="2:21" ht="15" x14ac:dyDescent="0.25">
      <c r="B12" s="189" t="s">
        <v>193</v>
      </c>
      <c r="C12" s="190" t="s">
        <v>192</v>
      </c>
      <c r="D12" s="191">
        <v>9469</v>
      </c>
      <c r="E12" s="21">
        <v>10550</v>
      </c>
      <c r="F12" s="21">
        <v>10472</v>
      </c>
      <c r="G12" s="192"/>
      <c r="H12" s="191">
        <v>17</v>
      </c>
      <c r="I12" s="21">
        <v>15</v>
      </c>
      <c r="J12" s="21">
        <v>16</v>
      </c>
      <c r="K12" s="192"/>
      <c r="L12" s="191">
        <v>292245</v>
      </c>
      <c r="M12" s="21">
        <v>266332</v>
      </c>
      <c r="N12" s="193">
        <v>302178</v>
      </c>
      <c r="O12" s="194"/>
      <c r="P12" s="195">
        <v>47</v>
      </c>
      <c r="Q12" s="196">
        <v>2572330</v>
      </c>
      <c r="R12" s="197">
        <f>Q12</f>
        <v>2572330</v>
      </c>
      <c r="S12" s="250"/>
      <c r="T12" s="250"/>
      <c r="U12" s="251" t="s">
        <v>70</v>
      </c>
    </row>
    <row r="13" spans="2:21" ht="15" x14ac:dyDescent="0.25">
      <c r="B13" s="189" t="s">
        <v>194</v>
      </c>
      <c r="C13" s="190" t="s">
        <v>195</v>
      </c>
      <c r="D13" s="191">
        <v>0</v>
      </c>
      <c r="E13" s="21">
        <v>0</v>
      </c>
      <c r="F13" s="21">
        <v>0</v>
      </c>
      <c r="G13" s="192"/>
      <c r="H13" s="191">
        <v>0</v>
      </c>
      <c r="I13" s="21">
        <v>0</v>
      </c>
      <c r="J13" s="21">
        <v>0</v>
      </c>
      <c r="K13" s="192"/>
      <c r="L13" s="191">
        <v>0</v>
      </c>
      <c r="M13" s="21">
        <v>0</v>
      </c>
      <c r="N13" s="193">
        <v>0</v>
      </c>
      <c r="O13" s="194"/>
      <c r="P13" s="199">
        <v>0</v>
      </c>
      <c r="Q13" s="196">
        <v>0</v>
      </c>
      <c r="R13" s="197">
        <f>Q13</f>
        <v>0</v>
      </c>
      <c r="S13" s="198"/>
      <c r="T13" s="198"/>
      <c r="U13" s="72"/>
    </row>
    <row r="14" spans="2:21" ht="15" x14ac:dyDescent="0.25">
      <c r="B14" s="189" t="s">
        <v>196</v>
      </c>
      <c r="C14" s="191" t="s">
        <v>197</v>
      </c>
      <c r="D14" s="191">
        <v>47</v>
      </c>
      <c r="E14" s="191">
        <v>0</v>
      </c>
      <c r="F14" s="191">
        <v>283</v>
      </c>
      <c r="G14" s="191"/>
      <c r="H14" s="191">
        <v>26</v>
      </c>
      <c r="I14" s="191">
        <v>0</v>
      </c>
      <c r="J14" s="191">
        <v>164</v>
      </c>
      <c r="K14" s="191"/>
      <c r="L14" s="191">
        <v>0</v>
      </c>
      <c r="M14" s="191">
        <v>0</v>
      </c>
      <c r="N14" s="200">
        <v>1313</v>
      </c>
      <c r="O14" s="200"/>
      <c r="P14" s="191">
        <v>0</v>
      </c>
      <c r="Q14" s="191">
        <v>1313</v>
      </c>
      <c r="R14" s="198">
        <f>Q14</f>
        <v>1313</v>
      </c>
      <c r="S14" s="198"/>
      <c r="T14" s="198"/>
      <c r="U14" s="72"/>
    </row>
    <row r="15" spans="2:21" ht="15" x14ac:dyDescent="0.25">
      <c r="B15" s="189" t="s">
        <v>198</v>
      </c>
      <c r="C15" s="191" t="s">
        <v>197</v>
      </c>
      <c r="D15" s="191">
        <v>0</v>
      </c>
      <c r="E15" s="191">
        <v>0</v>
      </c>
      <c r="F15" s="191">
        <v>275</v>
      </c>
      <c r="G15" s="191"/>
      <c r="H15" s="191">
        <v>0</v>
      </c>
      <c r="I15" s="191"/>
      <c r="J15" s="191"/>
      <c r="K15" s="191"/>
      <c r="L15" s="191">
        <v>0</v>
      </c>
      <c r="M15" s="191">
        <v>0</v>
      </c>
      <c r="N15" s="200"/>
      <c r="O15" s="200"/>
      <c r="P15" s="191">
        <v>0</v>
      </c>
      <c r="Q15" s="191">
        <v>0</v>
      </c>
      <c r="R15" s="198"/>
      <c r="S15" s="198"/>
      <c r="T15" s="198"/>
      <c r="U15" s="72"/>
    </row>
    <row r="16" spans="2:21" ht="15" x14ac:dyDescent="0.25">
      <c r="B16" s="189" t="s">
        <v>199</v>
      </c>
      <c r="C16" s="191" t="s">
        <v>200</v>
      </c>
      <c r="D16" s="191">
        <v>0</v>
      </c>
      <c r="E16" s="191">
        <v>0</v>
      </c>
      <c r="F16" s="191"/>
      <c r="G16" s="191"/>
      <c r="H16" s="191">
        <v>0</v>
      </c>
      <c r="I16" s="191"/>
      <c r="J16" s="191"/>
      <c r="K16" s="191"/>
      <c r="L16" s="191">
        <v>0</v>
      </c>
      <c r="M16" s="191">
        <v>0</v>
      </c>
      <c r="N16" s="200"/>
      <c r="O16" s="200"/>
      <c r="P16" s="191">
        <v>0</v>
      </c>
      <c r="Q16" s="191">
        <v>0</v>
      </c>
      <c r="R16" s="198"/>
      <c r="S16" s="198"/>
      <c r="T16" s="198"/>
      <c r="U16" s="72"/>
    </row>
    <row r="17" spans="2:23" ht="15.75" thickBot="1" x14ac:dyDescent="0.3">
      <c r="B17" s="201" t="s">
        <v>201</v>
      </c>
      <c r="C17" s="202"/>
      <c r="D17" s="203"/>
      <c r="E17" s="204"/>
      <c r="F17" s="204"/>
      <c r="G17" s="205"/>
      <c r="H17" s="203">
        <f>SUM(H8:H16)</f>
        <v>374</v>
      </c>
      <c r="I17" s="203">
        <f t="shared" ref="I17:T17" si="0">SUM(I8:I16)</f>
        <v>196</v>
      </c>
      <c r="J17" s="203">
        <f t="shared" si="0"/>
        <v>330</v>
      </c>
      <c r="K17" s="203">
        <f t="shared" si="0"/>
        <v>0</v>
      </c>
      <c r="L17" s="203">
        <f t="shared" si="0"/>
        <v>1288611</v>
      </c>
      <c r="M17" s="203">
        <f t="shared" si="0"/>
        <v>684152</v>
      </c>
      <c r="N17" s="203">
        <f t="shared" si="0"/>
        <v>633162</v>
      </c>
      <c r="O17" s="203">
        <f t="shared" si="0"/>
        <v>0</v>
      </c>
      <c r="P17" s="203">
        <f t="shared" si="0"/>
        <v>707</v>
      </c>
      <c r="Q17" s="203">
        <f t="shared" si="0"/>
        <v>8468373</v>
      </c>
      <c r="R17" s="203">
        <f t="shared" si="0"/>
        <v>8145248.5</v>
      </c>
      <c r="S17" s="203">
        <f t="shared" si="0"/>
        <v>323124.5</v>
      </c>
      <c r="T17" s="203">
        <f t="shared" si="0"/>
        <v>0</v>
      </c>
      <c r="U17" s="72"/>
      <c r="W17" s="206"/>
    </row>
    <row r="18" spans="2:23" ht="13.5" thickBot="1" x14ac:dyDescent="0.25">
      <c r="B18" s="207"/>
      <c r="C18" s="207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9"/>
      <c r="O18" s="209"/>
      <c r="P18" s="209"/>
      <c r="R18" s="198"/>
      <c r="S18" s="198"/>
      <c r="T18" s="198"/>
      <c r="U18" s="72"/>
    </row>
    <row r="19" spans="2:23" ht="16.5" thickBot="1" x14ac:dyDescent="0.3">
      <c r="B19" s="364" t="s">
        <v>202</v>
      </c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198"/>
      <c r="S19" s="250"/>
      <c r="T19" s="250"/>
      <c r="U19" s="251"/>
    </row>
    <row r="20" spans="2:23" ht="15" x14ac:dyDescent="0.25">
      <c r="B20" s="189" t="s">
        <v>203</v>
      </c>
      <c r="C20" s="190" t="s">
        <v>204</v>
      </c>
      <c r="D20" s="191">
        <v>36</v>
      </c>
      <c r="E20" s="21">
        <v>80</v>
      </c>
      <c r="F20" s="21">
        <v>102</v>
      </c>
      <c r="G20" s="192"/>
      <c r="H20" s="210">
        <v>168</v>
      </c>
      <c r="I20" s="21">
        <v>767</v>
      </c>
      <c r="J20" s="21">
        <v>426</v>
      </c>
      <c r="K20" s="211"/>
      <c r="L20" s="191">
        <v>927120</v>
      </c>
      <c r="M20" s="21">
        <v>3486336</v>
      </c>
      <c r="N20" s="193">
        <v>1879279</v>
      </c>
      <c r="O20" s="194"/>
      <c r="P20" s="210">
        <v>1336</v>
      </c>
      <c r="Q20" s="211">
        <v>17797457</v>
      </c>
      <c r="R20" s="198"/>
      <c r="S20" s="252">
        <v>1705340.7062334416</v>
      </c>
      <c r="T20" s="252">
        <v>16092116.293766558</v>
      </c>
      <c r="U20" s="251" t="s">
        <v>205</v>
      </c>
    </row>
    <row r="21" spans="2:23" ht="15" x14ac:dyDescent="0.25">
      <c r="B21" s="189" t="s">
        <v>206</v>
      </c>
      <c r="C21" s="190" t="s">
        <v>204</v>
      </c>
      <c r="D21" s="191">
        <v>347</v>
      </c>
      <c r="E21" s="21">
        <v>217</v>
      </c>
      <c r="F21" s="21">
        <v>140</v>
      </c>
      <c r="G21" s="192"/>
      <c r="H21" s="210">
        <v>333</v>
      </c>
      <c r="I21" s="21">
        <v>177</v>
      </c>
      <c r="J21" s="21">
        <v>162</v>
      </c>
      <c r="K21" s="211"/>
      <c r="L21" s="191">
        <v>903623</v>
      </c>
      <c r="M21" s="21">
        <v>712848</v>
      </c>
      <c r="N21" s="193">
        <v>700564</v>
      </c>
      <c r="O21" s="193"/>
      <c r="P21" s="210">
        <v>533</v>
      </c>
      <c r="Q21" s="211">
        <v>6675457</v>
      </c>
      <c r="R21" s="198"/>
      <c r="S21" s="252">
        <f>Q21</f>
        <v>6675457</v>
      </c>
      <c r="T21" s="250"/>
      <c r="U21" s="251" t="s">
        <v>183</v>
      </c>
    </row>
    <row r="22" spans="2:23" ht="15" x14ac:dyDescent="0.25">
      <c r="B22" s="189" t="s">
        <v>207</v>
      </c>
      <c r="C22" s="190" t="s">
        <v>208</v>
      </c>
      <c r="D22" s="191">
        <v>0</v>
      </c>
      <c r="E22" s="21">
        <v>0</v>
      </c>
      <c r="F22" s="21">
        <v>0</v>
      </c>
      <c r="G22" s="192"/>
      <c r="H22" s="210">
        <v>0</v>
      </c>
      <c r="I22" s="21">
        <v>0</v>
      </c>
      <c r="J22" s="21">
        <v>0</v>
      </c>
      <c r="K22" s="211"/>
      <c r="L22" s="191">
        <v>0</v>
      </c>
      <c r="M22" s="21">
        <v>0</v>
      </c>
      <c r="N22" s="193">
        <v>0</v>
      </c>
      <c r="O22" s="193"/>
      <c r="P22" s="210">
        <v>0</v>
      </c>
      <c r="Q22" s="211">
        <v>0</v>
      </c>
      <c r="R22" s="198"/>
      <c r="S22" s="252"/>
      <c r="T22" s="250"/>
      <c r="U22" s="251"/>
    </row>
    <row r="23" spans="2:23" ht="15" x14ac:dyDescent="0.25">
      <c r="B23" s="189" t="s">
        <v>209</v>
      </c>
      <c r="C23" s="190" t="s">
        <v>208</v>
      </c>
      <c r="D23" s="191">
        <v>0</v>
      </c>
      <c r="E23" s="21">
        <v>0</v>
      </c>
      <c r="F23" s="21">
        <v>0</v>
      </c>
      <c r="G23" s="192"/>
      <c r="H23" s="210">
        <v>0</v>
      </c>
      <c r="I23" s="21">
        <v>0</v>
      </c>
      <c r="J23" s="21">
        <v>0</v>
      </c>
      <c r="K23" s="211"/>
      <c r="L23" s="191">
        <v>0</v>
      </c>
      <c r="M23" s="21">
        <v>0</v>
      </c>
      <c r="N23" s="193">
        <v>0</v>
      </c>
      <c r="O23" s="193"/>
      <c r="P23" s="210">
        <v>0</v>
      </c>
      <c r="Q23" s="211">
        <v>0</v>
      </c>
      <c r="R23" s="198"/>
      <c r="S23" s="252"/>
      <c r="T23" s="250"/>
      <c r="U23" s="251"/>
    </row>
    <row r="24" spans="2:23" ht="15" x14ac:dyDescent="0.25">
      <c r="B24" s="189" t="s">
        <v>210</v>
      </c>
      <c r="C24" s="190" t="s">
        <v>211</v>
      </c>
      <c r="D24" s="191">
        <v>3</v>
      </c>
      <c r="E24" s="21">
        <v>8</v>
      </c>
      <c r="F24" s="21">
        <v>1</v>
      </c>
      <c r="G24" s="192"/>
      <c r="H24" s="210">
        <v>0</v>
      </c>
      <c r="I24" s="21">
        <v>41</v>
      </c>
      <c r="J24" s="21">
        <v>5</v>
      </c>
      <c r="K24" s="211"/>
      <c r="L24" s="191">
        <v>0</v>
      </c>
      <c r="M24" s="21">
        <v>201410</v>
      </c>
      <c r="N24" s="193">
        <v>25175</v>
      </c>
      <c r="O24" s="193"/>
      <c r="P24" s="210">
        <v>47</v>
      </c>
      <c r="Q24" s="211">
        <v>654583</v>
      </c>
      <c r="R24" s="198"/>
      <c r="S24" s="252"/>
      <c r="T24" s="250">
        <f>Q24</f>
        <v>654583</v>
      </c>
      <c r="U24" s="251"/>
    </row>
    <row r="25" spans="2:23" ht="15" x14ac:dyDescent="0.25">
      <c r="B25" s="189" t="s">
        <v>212</v>
      </c>
      <c r="C25" s="189" t="s">
        <v>197</v>
      </c>
      <c r="D25" s="191">
        <v>4</v>
      </c>
      <c r="E25" s="191">
        <v>0</v>
      </c>
      <c r="F25" s="191">
        <v>1</v>
      </c>
      <c r="G25" s="189"/>
      <c r="H25" s="191">
        <v>3</v>
      </c>
      <c r="I25" s="191">
        <v>0</v>
      </c>
      <c r="J25" s="191">
        <v>1</v>
      </c>
      <c r="K25" s="191"/>
      <c r="L25" s="191">
        <v>0</v>
      </c>
      <c r="M25" s="191">
        <v>0</v>
      </c>
      <c r="N25" s="200">
        <v>5</v>
      </c>
      <c r="O25" s="200"/>
      <c r="P25" s="191">
        <v>0</v>
      </c>
      <c r="Q25" s="191">
        <v>5</v>
      </c>
      <c r="R25" s="198"/>
      <c r="S25" s="198"/>
      <c r="T25" s="198">
        <v>5</v>
      </c>
      <c r="U25" s="72"/>
    </row>
    <row r="26" spans="2:23" ht="15" x14ac:dyDescent="0.25">
      <c r="B26" s="189" t="s">
        <v>213</v>
      </c>
      <c r="C26" s="189" t="s">
        <v>197</v>
      </c>
      <c r="D26" s="191">
        <v>0</v>
      </c>
      <c r="E26" s="191">
        <v>0</v>
      </c>
      <c r="F26" s="191">
        <v>1</v>
      </c>
      <c r="G26" s="189"/>
      <c r="H26" s="191">
        <v>0</v>
      </c>
      <c r="I26" s="191">
        <v>0</v>
      </c>
      <c r="J26" s="191">
        <v>0</v>
      </c>
      <c r="K26" s="191"/>
      <c r="L26" s="191">
        <v>0</v>
      </c>
      <c r="M26" s="191">
        <v>0</v>
      </c>
      <c r="N26" s="200">
        <v>0</v>
      </c>
      <c r="O26" s="200"/>
      <c r="P26" s="191">
        <v>0</v>
      </c>
      <c r="Q26" s="191">
        <v>0</v>
      </c>
      <c r="R26" s="198"/>
      <c r="S26" s="198"/>
      <c r="T26" s="198"/>
      <c r="U26" s="72"/>
    </row>
    <row r="27" spans="2:23" ht="15" x14ac:dyDescent="0.25">
      <c r="B27" s="189" t="s">
        <v>214</v>
      </c>
      <c r="C27" s="189" t="s">
        <v>215</v>
      </c>
      <c r="D27" s="191">
        <v>3</v>
      </c>
      <c r="E27" s="191">
        <v>3</v>
      </c>
      <c r="F27" s="191">
        <v>2</v>
      </c>
      <c r="G27" s="189"/>
      <c r="H27" s="191">
        <v>106</v>
      </c>
      <c r="I27" s="191">
        <v>106</v>
      </c>
      <c r="J27" s="191">
        <v>106</v>
      </c>
      <c r="K27" s="191"/>
      <c r="L27" s="191">
        <v>4146</v>
      </c>
      <c r="M27" s="191">
        <v>1548</v>
      </c>
      <c r="N27" s="200">
        <v>1548</v>
      </c>
      <c r="O27" s="200"/>
      <c r="P27" s="191">
        <v>0</v>
      </c>
      <c r="Q27" s="191">
        <v>7242</v>
      </c>
      <c r="R27" s="198"/>
      <c r="S27" s="250"/>
      <c r="T27" s="252">
        <f>Q27</f>
        <v>7242</v>
      </c>
      <c r="U27" s="251" t="s">
        <v>184</v>
      </c>
    </row>
    <row r="28" spans="2:23" ht="15.75" thickBot="1" x14ac:dyDescent="0.3">
      <c r="B28" s="212" t="s">
        <v>216</v>
      </c>
      <c r="C28" s="213"/>
      <c r="D28" s="214"/>
      <c r="E28" s="215"/>
      <c r="F28" s="215"/>
      <c r="G28" s="216"/>
      <c r="H28" s="217">
        <f>SUM(H20:H27)</f>
        <v>610</v>
      </c>
      <c r="I28" s="217">
        <f t="shared" ref="I28:T28" si="1">SUM(I20:I27)</f>
        <v>1091</v>
      </c>
      <c r="J28" s="217">
        <f t="shared" si="1"/>
        <v>700</v>
      </c>
      <c r="K28" s="217">
        <f t="shared" si="1"/>
        <v>0</v>
      </c>
      <c r="L28" s="217">
        <f t="shared" si="1"/>
        <v>1834889</v>
      </c>
      <c r="M28" s="217">
        <f t="shared" si="1"/>
        <v>4402142</v>
      </c>
      <c r="N28" s="217">
        <f t="shared" si="1"/>
        <v>2606571</v>
      </c>
      <c r="O28" s="217">
        <f t="shared" si="1"/>
        <v>0</v>
      </c>
      <c r="P28" s="217">
        <f t="shared" si="1"/>
        <v>1916</v>
      </c>
      <c r="Q28" s="217">
        <f t="shared" si="1"/>
        <v>25134744</v>
      </c>
      <c r="R28" s="217">
        <f t="shared" si="1"/>
        <v>0</v>
      </c>
      <c r="S28" s="253">
        <f t="shared" si="1"/>
        <v>8380797.7062334418</v>
      </c>
      <c r="T28" s="253">
        <f t="shared" si="1"/>
        <v>16753946.293766558</v>
      </c>
      <c r="U28" s="251"/>
    </row>
    <row r="29" spans="2:23" ht="13.5" thickBot="1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R29" s="198"/>
      <c r="S29" s="198"/>
      <c r="T29" s="198"/>
      <c r="U29" s="72"/>
    </row>
    <row r="30" spans="2:23" ht="16.5" thickBot="1" x14ac:dyDescent="0.3">
      <c r="B30" s="367" t="s">
        <v>217</v>
      </c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198"/>
      <c r="S30" s="198"/>
      <c r="T30" s="198"/>
      <c r="U30" s="72"/>
    </row>
    <row r="31" spans="2:23" ht="15" x14ac:dyDescent="0.25">
      <c r="B31" s="189" t="s">
        <v>218</v>
      </c>
      <c r="C31" s="190" t="s">
        <v>204</v>
      </c>
      <c r="D31" s="191">
        <v>0</v>
      </c>
      <c r="E31" s="21">
        <v>0</v>
      </c>
      <c r="F31" s="21">
        <v>0</v>
      </c>
      <c r="G31" s="192"/>
      <c r="H31" s="191">
        <v>0</v>
      </c>
      <c r="I31" s="21">
        <v>0</v>
      </c>
      <c r="J31" s="21">
        <v>0</v>
      </c>
      <c r="K31" s="192"/>
      <c r="L31" s="191">
        <v>0</v>
      </c>
      <c r="M31" s="21">
        <v>0</v>
      </c>
      <c r="N31" s="193"/>
      <c r="O31" s="194"/>
      <c r="P31" s="210"/>
      <c r="Q31" s="211"/>
      <c r="R31" s="198"/>
      <c r="S31" s="198"/>
      <c r="T31" s="198"/>
      <c r="U31" s="72"/>
    </row>
    <row r="32" spans="2:23" ht="15" x14ac:dyDescent="0.25">
      <c r="B32" s="189" t="s">
        <v>219</v>
      </c>
      <c r="C32" s="190" t="s">
        <v>204</v>
      </c>
      <c r="D32" s="191">
        <v>0</v>
      </c>
      <c r="E32" s="21">
        <v>0</v>
      </c>
      <c r="F32" s="21">
        <v>0</v>
      </c>
      <c r="G32" s="192"/>
      <c r="H32" s="191">
        <v>0</v>
      </c>
      <c r="I32" s="21">
        <v>0</v>
      </c>
      <c r="J32" s="21">
        <v>0</v>
      </c>
      <c r="K32" s="192"/>
      <c r="L32" s="191">
        <v>0</v>
      </c>
      <c r="M32" s="21">
        <v>0</v>
      </c>
      <c r="N32" s="193"/>
      <c r="O32" s="194"/>
      <c r="P32" s="210"/>
      <c r="Q32" s="211"/>
      <c r="R32" s="198"/>
      <c r="S32" s="198"/>
      <c r="T32" s="198"/>
      <c r="U32" s="72"/>
    </row>
    <row r="33" spans="2:21" ht="15" x14ac:dyDescent="0.25">
      <c r="B33" s="189" t="s">
        <v>220</v>
      </c>
      <c r="C33" s="190" t="s">
        <v>204</v>
      </c>
      <c r="D33" s="191">
        <v>0</v>
      </c>
      <c r="E33" s="21">
        <v>0</v>
      </c>
      <c r="F33" s="21">
        <v>0</v>
      </c>
      <c r="G33" s="192"/>
      <c r="H33" s="191">
        <v>0</v>
      </c>
      <c r="I33" s="21">
        <v>0</v>
      </c>
      <c r="J33" s="21">
        <v>0</v>
      </c>
      <c r="K33" s="192"/>
      <c r="L33" s="191">
        <v>0</v>
      </c>
      <c r="M33" s="21">
        <v>0</v>
      </c>
      <c r="N33" s="193"/>
      <c r="O33" s="194"/>
      <c r="P33" s="210"/>
      <c r="Q33" s="211"/>
      <c r="R33" s="198"/>
      <c r="S33" s="250"/>
      <c r="T33" s="250"/>
      <c r="U33" s="251"/>
    </row>
    <row r="34" spans="2:21" ht="15" x14ac:dyDescent="0.25">
      <c r="B34" s="189" t="s">
        <v>203</v>
      </c>
      <c r="C34" s="190" t="s">
        <v>204</v>
      </c>
      <c r="D34" s="191">
        <v>1</v>
      </c>
      <c r="E34" s="21">
        <v>0</v>
      </c>
      <c r="F34" s="21">
        <v>0</v>
      </c>
      <c r="G34" s="192"/>
      <c r="H34" s="191">
        <v>2</v>
      </c>
      <c r="I34" s="21">
        <v>0</v>
      </c>
      <c r="J34" s="21">
        <v>0</v>
      </c>
      <c r="K34" s="192"/>
      <c r="L34" s="191">
        <v>13815</v>
      </c>
      <c r="M34" s="21">
        <v>0</v>
      </c>
      <c r="N34" s="193">
        <v>0</v>
      </c>
      <c r="O34" s="194">
        <v>0</v>
      </c>
      <c r="P34" s="210">
        <f>SUM(H34:K34)</f>
        <v>2</v>
      </c>
      <c r="Q34" s="211">
        <v>55261.5</v>
      </c>
      <c r="R34" s="198"/>
      <c r="S34" s="250"/>
      <c r="T34" s="250">
        <f>Q34</f>
        <v>55261.5</v>
      </c>
      <c r="U34" s="251" t="s">
        <v>184</v>
      </c>
    </row>
    <row r="35" spans="2:21" ht="15" x14ac:dyDescent="0.25">
      <c r="B35" s="189" t="s">
        <v>214</v>
      </c>
      <c r="C35" s="190" t="s">
        <v>215</v>
      </c>
      <c r="D35" s="191">
        <v>1</v>
      </c>
      <c r="E35" s="21">
        <v>1</v>
      </c>
      <c r="F35" s="21">
        <v>5</v>
      </c>
      <c r="G35" s="192"/>
      <c r="H35" s="191">
        <v>63</v>
      </c>
      <c r="I35" s="21">
        <v>65</v>
      </c>
      <c r="J35" s="21">
        <v>506</v>
      </c>
      <c r="K35" s="192"/>
      <c r="L35" s="191">
        <v>3710</v>
      </c>
      <c r="M35" s="21">
        <v>1578</v>
      </c>
      <c r="N35" s="193">
        <v>12203</v>
      </c>
      <c r="O35" s="194">
        <v>0</v>
      </c>
      <c r="P35" s="210">
        <f>K35</f>
        <v>0</v>
      </c>
      <c r="Q35" s="211">
        <v>17491</v>
      </c>
      <c r="R35" s="198"/>
      <c r="S35" s="250"/>
      <c r="T35" s="250">
        <f>Q35</f>
        <v>17491</v>
      </c>
      <c r="U35" s="251" t="s">
        <v>184</v>
      </c>
    </row>
    <row r="36" spans="2:21" ht="15.75" thickBot="1" x14ac:dyDescent="0.3">
      <c r="B36" s="212" t="s">
        <v>217</v>
      </c>
      <c r="C36" s="218"/>
      <c r="D36" s="219"/>
      <c r="E36" s="220"/>
      <c r="F36" s="220"/>
      <c r="G36" s="221"/>
      <c r="H36" s="219">
        <f>SUM(H31:H35)</f>
        <v>65</v>
      </c>
      <c r="I36" s="219">
        <f t="shared" ref="I36:T36" si="2">SUM(I31:I35)</f>
        <v>65</v>
      </c>
      <c r="J36" s="219">
        <f t="shared" si="2"/>
        <v>506</v>
      </c>
      <c r="K36" s="219">
        <f t="shared" si="2"/>
        <v>0</v>
      </c>
      <c r="L36" s="219">
        <f t="shared" si="2"/>
        <v>17525</v>
      </c>
      <c r="M36" s="219">
        <f t="shared" si="2"/>
        <v>1578</v>
      </c>
      <c r="N36" s="219">
        <f t="shared" si="2"/>
        <v>12203</v>
      </c>
      <c r="O36" s="219">
        <f t="shared" si="2"/>
        <v>0</v>
      </c>
      <c r="P36" s="219">
        <f t="shared" si="2"/>
        <v>2</v>
      </c>
      <c r="Q36" s="219">
        <f t="shared" si="2"/>
        <v>72752.5</v>
      </c>
      <c r="R36" s="219">
        <f t="shared" si="2"/>
        <v>0</v>
      </c>
      <c r="S36" s="254">
        <f t="shared" si="2"/>
        <v>0</v>
      </c>
      <c r="T36" s="254">
        <f t="shared" si="2"/>
        <v>72752.5</v>
      </c>
      <c r="U36" s="251"/>
    </row>
    <row r="37" spans="2:21" ht="13.5" thickBot="1" x14ac:dyDescent="0.25">
      <c r="B37" s="207"/>
      <c r="C37" s="207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/>
      <c r="Q37" s="209"/>
      <c r="R37" s="198"/>
      <c r="S37" s="250"/>
      <c r="T37" s="250"/>
      <c r="U37" s="251"/>
    </row>
    <row r="38" spans="2:21" ht="16.5" thickBot="1" x14ac:dyDescent="0.3">
      <c r="B38" s="367" t="s">
        <v>221</v>
      </c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198"/>
      <c r="S38" s="250"/>
      <c r="T38" s="250"/>
      <c r="U38" s="251"/>
    </row>
    <row r="39" spans="2:21" ht="15" x14ac:dyDescent="0.25">
      <c r="B39" s="189" t="s">
        <v>221</v>
      </c>
      <c r="C39" s="190" t="s">
        <v>200</v>
      </c>
      <c r="D39" s="191">
        <v>10</v>
      </c>
      <c r="E39" s="21">
        <v>44</v>
      </c>
      <c r="F39" s="21">
        <v>178</v>
      </c>
      <c r="G39" s="192"/>
      <c r="H39" s="191">
        <v>0</v>
      </c>
      <c r="I39" s="21">
        <v>5</v>
      </c>
      <c r="J39" s="21">
        <v>10</v>
      </c>
      <c r="K39" s="192"/>
      <c r="L39" s="191">
        <v>9137</v>
      </c>
      <c r="M39" s="21">
        <v>54743</v>
      </c>
      <c r="N39" s="193">
        <v>123348</v>
      </c>
      <c r="O39" s="194">
        <v>0</v>
      </c>
      <c r="P39" s="210">
        <v>15</v>
      </c>
      <c r="Q39" s="211">
        <v>447473</v>
      </c>
      <c r="R39" s="198">
        <f>Q39</f>
        <v>447473</v>
      </c>
      <c r="S39" s="250"/>
      <c r="T39" s="250"/>
      <c r="U39" s="251"/>
    </row>
    <row r="40" spans="2:21" ht="15.75" thickBot="1" x14ac:dyDescent="0.3">
      <c r="B40" s="212" t="s">
        <v>217</v>
      </c>
      <c r="C40" s="218"/>
      <c r="D40" s="219"/>
      <c r="E40" s="220"/>
      <c r="F40" s="220"/>
      <c r="G40" s="221"/>
      <c r="H40" s="219">
        <f t="shared" ref="H40:T40" si="3">SUM(H39:H39)</f>
        <v>0</v>
      </c>
      <c r="I40" s="219">
        <f t="shared" si="3"/>
        <v>5</v>
      </c>
      <c r="J40" s="219">
        <f t="shared" si="3"/>
        <v>10</v>
      </c>
      <c r="K40" s="219">
        <f t="shared" si="3"/>
        <v>0</v>
      </c>
      <c r="L40" s="219">
        <f t="shared" si="3"/>
        <v>9137</v>
      </c>
      <c r="M40" s="219">
        <f t="shared" si="3"/>
        <v>54743</v>
      </c>
      <c r="N40" s="219">
        <f t="shared" si="3"/>
        <v>123348</v>
      </c>
      <c r="O40" s="219">
        <f t="shared" si="3"/>
        <v>0</v>
      </c>
      <c r="P40" s="219">
        <f t="shared" si="3"/>
        <v>15</v>
      </c>
      <c r="Q40" s="219">
        <f t="shared" si="3"/>
        <v>447473</v>
      </c>
      <c r="R40" s="219">
        <f t="shared" si="3"/>
        <v>447473</v>
      </c>
      <c r="S40" s="254">
        <f t="shared" si="3"/>
        <v>0</v>
      </c>
      <c r="T40" s="254">
        <f t="shared" si="3"/>
        <v>0</v>
      </c>
      <c r="U40" s="251"/>
    </row>
    <row r="41" spans="2:21" ht="13.5" thickBot="1" x14ac:dyDescent="0.25">
      <c r="B41" s="207"/>
      <c r="C41" s="207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9"/>
      <c r="Q41" s="209"/>
      <c r="R41" s="198"/>
      <c r="S41" s="198"/>
      <c r="T41" s="198"/>
      <c r="U41" s="72"/>
    </row>
    <row r="42" spans="2:21" ht="15.75" thickBot="1" x14ac:dyDescent="0.3">
      <c r="B42" s="368" t="s">
        <v>222</v>
      </c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198"/>
      <c r="S42" s="198"/>
      <c r="T42" s="198"/>
      <c r="U42" s="72"/>
    </row>
    <row r="43" spans="2:21" ht="15" x14ac:dyDescent="0.25">
      <c r="B43" s="189" t="s">
        <v>223</v>
      </c>
      <c r="C43" s="190" t="s">
        <v>204</v>
      </c>
      <c r="D43" s="191">
        <v>23</v>
      </c>
      <c r="E43" s="21">
        <v>0</v>
      </c>
      <c r="F43" s="21"/>
      <c r="G43" s="192"/>
      <c r="H43" s="191">
        <v>263</v>
      </c>
      <c r="I43" s="21">
        <v>0</v>
      </c>
      <c r="J43" s="21"/>
      <c r="K43" s="192"/>
      <c r="L43" s="191">
        <v>1480972</v>
      </c>
      <c r="M43" s="21">
        <v>0</v>
      </c>
      <c r="N43" s="193">
        <v>0</v>
      </c>
      <c r="O43" s="194">
        <v>0</v>
      </c>
      <c r="P43" s="210">
        <f>SUM(H43:K43)</f>
        <v>263</v>
      </c>
      <c r="Q43" s="211">
        <f>(L43*4)+(M43*3)+(N43*2)+(O43)</f>
        <v>5923888</v>
      </c>
      <c r="R43" s="198"/>
      <c r="S43" s="197">
        <v>567623.0792729439</v>
      </c>
      <c r="T43" s="197">
        <v>5356264.9207270555</v>
      </c>
      <c r="U43" s="251" t="s">
        <v>205</v>
      </c>
    </row>
    <row r="44" spans="2:21" ht="15" x14ac:dyDescent="0.25">
      <c r="B44" s="189" t="s">
        <v>224</v>
      </c>
      <c r="C44" s="190" t="s">
        <v>204</v>
      </c>
      <c r="D44" s="191">
        <v>3</v>
      </c>
      <c r="E44" s="21">
        <v>2</v>
      </c>
      <c r="F44" s="21"/>
      <c r="G44" s="192"/>
      <c r="H44" s="191">
        <v>77</v>
      </c>
      <c r="I44" s="21">
        <v>136</v>
      </c>
      <c r="J44" s="21"/>
      <c r="K44" s="192"/>
      <c r="L44" s="191">
        <v>395844</v>
      </c>
      <c r="M44" s="21">
        <v>643518</v>
      </c>
      <c r="N44" s="193">
        <v>0</v>
      </c>
      <c r="O44" s="194">
        <v>0</v>
      </c>
      <c r="P44" s="210">
        <f>SUM(H44:K44)</f>
        <v>213</v>
      </c>
      <c r="Q44" s="211">
        <f>(L44*4)+(M44*3)+(N44*2)+(O44)+3</f>
        <v>3513933</v>
      </c>
      <c r="R44" s="198"/>
      <c r="S44" s="198"/>
      <c r="T44" s="197">
        <f>Q44</f>
        <v>3513933</v>
      </c>
      <c r="U44" s="72" t="s">
        <v>184</v>
      </c>
    </row>
    <row r="45" spans="2:21" ht="15" x14ac:dyDescent="0.25">
      <c r="B45" s="201" t="s">
        <v>225</v>
      </c>
      <c r="C45" s="222" t="s">
        <v>204</v>
      </c>
      <c r="D45" s="223">
        <v>0</v>
      </c>
      <c r="E45" s="224">
        <v>0</v>
      </c>
      <c r="F45" s="224"/>
      <c r="G45" s="225"/>
      <c r="H45" s="226">
        <v>0</v>
      </c>
      <c r="I45" s="224">
        <v>0</v>
      </c>
      <c r="J45" s="224"/>
      <c r="K45" s="225"/>
      <c r="L45" s="223">
        <v>0</v>
      </c>
      <c r="M45" s="224">
        <v>0</v>
      </c>
      <c r="N45" s="227"/>
      <c r="O45" s="228"/>
      <c r="P45" s="229"/>
      <c r="Q45" s="230"/>
      <c r="R45" s="198"/>
      <c r="S45" s="198"/>
      <c r="T45" s="197"/>
      <c r="U45" s="72"/>
    </row>
    <row r="46" spans="2:21" ht="15" x14ac:dyDescent="0.25">
      <c r="B46" s="201" t="s">
        <v>226</v>
      </c>
      <c r="C46" s="222" t="s">
        <v>204</v>
      </c>
      <c r="D46" s="223">
        <v>0</v>
      </c>
      <c r="E46" s="224">
        <v>0</v>
      </c>
      <c r="F46" s="224"/>
      <c r="G46" s="225"/>
      <c r="H46" s="226">
        <v>0</v>
      </c>
      <c r="I46" s="224">
        <v>0</v>
      </c>
      <c r="J46" s="224"/>
      <c r="K46" s="225"/>
      <c r="L46" s="223">
        <v>0</v>
      </c>
      <c r="M46" s="224">
        <v>0</v>
      </c>
      <c r="N46" s="227"/>
      <c r="O46" s="228"/>
      <c r="P46" s="229"/>
      <c r="Q46" s="230"/>
      <c r="R46" s="198"/>
      <c r="S46" s="198"/>
      <c r="T46" s="197"/>
      <c r="U46" s="72"/>
    </row>
    <row r="47" spans="2:21" ht="15" x14ac:dyDescent="0.25">
      <c r="B47" s="201" t="s">
        <v>227</v>
      </c>
      <c r="C47" s="222" t="s">
        <v>204</v>
      </c>
      <c r="D47" s="223">
        <v>0</v>
      </c>
      <c r="E47" s="224">
        <v>0</v>
      </c>
      <c r="F47" s="224"/>
      <c r="G47" s="225"/>
      <c r="H47" s="226">
        <v>0</v>
      </c>
      <c r="I47" s="224">
        <v>0</v>
      </c>
      <c r="J47" s="224"/>
      <c r="K47" s="225"/>
      <c r="L47" s="223">
        <v>0</v>
      </c>
      <c r="M47" s="224">
        <v>0</v>
      </c>
      <c r="N47" s="227"/>
      <c r="O47" s="228"/>
      <c r="P47" s="229"/>
      <c r="Q47" s="230"/>
      <c r="R47" s="198"/>
      <c r="S47" s="198"/>
      <c r="T47" s="197"/>
      <c r="U47" s="72"/>
    </row>
    <row r="48" spans="2:21" ht="15.75" thickBot="1" x14ac:dyDescent="0.3">
      <c r="B48" s="212" t="s">
        <v>228</v>
      </c>
      <c r="C48" s="218"/>
      <c r="D48" s="219"/>
      <c r="E48" s="220"/>
      <c r="F48" s="220"/>
      <c r="G48" s="221"/>
      <c r="H48" s="231">
        <f>SUM(H43:H47)</f>
        <v>340</v>
      </c>
      <c r="I48" s="231">
        <f t="shared" ref="I48:T48" si="4">SUM(I43:I47)</f>
        <v>136</v>
      </c>
      <c r="J48" s="231">
        <f t="shared" si="4"/>
        <v>0</v>
      </c>
      <c r="K48" s="231">
        <f t="shared" si="4"/>
        <v>0</v>
      </c>
      <c r="L48" s="231">
        <f t="shared" si="4"/>
        <v>1876816</v>
      </c>
      <c r="M48" s="231">
        <f t="shared" si="4"/>
        <v>643518</v>
      </c>
      <c r="N48" s="231">
        <f t="shared" si="4"/>
        <v>0</v>
      </c>
      <c r="O48" s="231">
        <f t="shared" si="4"/>
        <v>0</v>
      </c>
      <c r="P48" s="231">
        <f t="shared" si="4"/>
        <v>476</v>
      </c>
      <c r="Q48" s="231">
        <f t="shared" si="4"/>
        <v>9437821</v>
      </c>
      <c r="R48" s="231">
        <f t="shared" si="4"/>
        <v>0</v>
      </c>
      <c r="S48" s="231">
        <f t="shared" si="4"/>
        <v>567623.0792729439</v>
      </c>
      <c r="T48" s="231">
        <f t="shared" si="4"/>
        <v>8870197.9207270555</v>
      </c>
      <c r="U48" s="72"/>
    </row>
    <row r="49" spans="2:21" ht="15.75" thickBot="1" x14ac:dyDescent="0.3">
      <c r="B49" s="232"/>
      <c r="C49" s="233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198"/>
      <c r="S49" s="198"/>
      <c r="T49" s="198"/>
      <c r="U49" s="72"/>
    </row>
    <row r="50" spans="2:21" ht="15.75" thickBot="1" x14ac:dyDescent="0.3">
      <c r="B50" s="368" t="s">
        <v>229</v>
      </c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198"/>
      <c r="S50" s="198"/>
      <c r="T50" s="198"/>
      <c r="U50" s="72"/>
    </row>
    <row r="51" spans="2:21" ht="15" x14ac:dyDescent="0.25">
      <c r="B51" s="189" t="s">
        <v>230</v>
      </c>
      <c r="C51" s="190" t="s">
        <v>204</v>
      </c>
      <c r="D51" s="191">
        <v>0</v>
      </c>
      <c r="E51" s="21">
        <v>0</v>
      </c>
      <c r="F51" s="21"/>
      <c r="G51" s="192"/>
      <c r="H51" s="191">
        <v>0</v>
      </c>
      <c r="I51" s="21">
        <v>0</v>
      </c>
      <c r="J51" s="21"/>
      <c r="K51" s="192"/>
      <c r="L51" s="191">
        <v>0</v>
      </c>
      <c r="M51" s="21">
        <v>0</v>
      </c>
      <c r="N51" s="193">
        <v>0</v>
      </c>
      <c r="O51" s="194">
        <v>0</v>
      </c>
      <c r="P51" s="210">
        <f>SUM(H51:K51)</f>
        <v>0</v>
      </c>
      <c r="Q51" s="211">
        <f>(L51*4)+(M51*3)+(N51*2)+(O51)</f>
        <v>0</v>
      </c>
      <c r="R51" s="198"/>
      <c r="S51" s="197"/>
      <c r="T51" s="197"/>
      <c r="U51" s="72"/>
    </row>
    <row r="52" spans="2:21" ht="15" x14ac:dyDescent="0.25">
      <c r="B52" s="189" t="s">
        <v>231</v>
      </c>
      <c r="C52" s="190" t="s">
        <v>200</v>
      </c>
      <c r="D52" s="191">
        <v>0</v>
      </c>
      <c r="E52" s="21">
        <v>0</v>
      </c>
      <c r="F52" s="21"/>
      <c r="G52" s="192"/>
      <c r="H52" s="191">
        <v>0</v>
      </c>
      <c r="I52" s="21">
        <v>0</v>
      </c>
      <c r="J52" s="21"/>
      <c r="K52" s="192"/>
      <c r="L52" s="191">
        <v>0</v>
      </c>
      <c r="M52" s="21">
        <v>0</v>
      </c>
      <c r="N52" s="193">
        <v>0</v>
      </c>
      <c r="O52" s="194">
        <v>0</v>
      </c>
      <c r="P52" s="210">
        <f>SUM(H52:K52)</f>
        <v>0</v>
      </c>
      <c r="Q52" s="211">
        <f>(L52*4)+(M52*3)+(N52*2)+(O52)</f>
        <v>0</v>
      </c>
      <c r="R52" s="198"/>
      <c r="S52" s="198"/>
      <c r="T52" s="197"/>
      <c r="U52" s="72"/>
    </row>
    <row r="53" spans="2:21" ht="15" x14ac:dyDescent="0.25">
      <c r="B53" s="201" t="s">
        <v>232</v>
      </c>
      <c r="C53" s="222"/>
      <c r="D53" s="223"/>
      <c r="E53" s="224"/>
      <c r="F53" s="224"/>
      <c r="G53" s="225"/>
      <c r="H53" s="226">
        <f>SUM(H51:H52)</f>
        <v>0</v>
      </c>
      <c r="I53" s="226">
        <f t="shared" ref="I53:Q53" si="5">SUM(I51:I52)</f>
        <v>0</v>
      </c>
      <c r="J53" s="226">
        <f t="shared" si="5"/>
        <v>0</v>
      </c>
      <c r="K53" s="226">
        <f t="shared" si="5"/>
        <v>0</v>
      </c>
      <c r="L53" s="226">
        <f t="shared" si="5"/>
        <v>0</v>
      </c>
      <c r="M53" s="226">
        <f t="shared" si="5"/>
        <v>0</v>
      </c>
      <c r="N53" s="226">
        <f t="shared" si="5"/>
        <v>0</v>
      </c>
      <c r="O53" s="226">
        <f t="shared" si="5"/>
        <v>0</v>
      </c>
      <c r="P53" s="226">
        <f t="shared" si="5"/>
        <v>0</v>
      </c>
      <c r="Q53" s="226">
        <f t="shared" si="5"/>
        <v>0</v>
      </c>
      <c r="R53" s="198"/>
      <c r="S53" s="198"/>
      <c r="T53" s="197"/>
      <c r="U53" s="72"/>
    </row>
    <row r="54" spans="2:21" ht="15" x14ac:dyDescent="0.25">
      <c r="B54" s="235"/>
      <c r="C54" s="222"/>
      <c r="D54" s="229"/>
      <c r="E54" s="224"/>
      <c r="F54" s="224"/>
      <c r="G54" s="230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7"/>
      <c r="S54" s="198"/>
      <c r="T54" s="197"/>
      <c r="U54" s="72"/>
    </row>
    <row r="55" spans="2:21" ht="15" x14ac:dyDescent="0.25">
      <c r="B55" s="238" t="s">
        <v>233</v>
      </c>
      <c r="C55" s="72"/>
      <c r="D55" s="21"/>
      <c r="E55" s="21"/>
      <c r="F55" s="21"/>
      <c r="G55" s="21"/>
      <c r="H55" s="239">
        <v>0</v>
      </c>
      <c r="I55" s="239">
        <v>-7</v>
      </c>
      <c r="J55" s="239"/>
      <c r="K55" s="239"/>
      <c r="L55" s="239"/>
      <c r="M55" s="239">
        <v>-170184</v>
      </c>
      <c r="N55" s="239"/>
      <c r="O55" s="239"/>
      <c r="P55" s="239">
        <v>-16</v>
      </c>
      <c r="Q55" s="239">
        <v>-716260</v>
      </c>
      <c r="R55" s="237">
        <v>-246785</v>
      </c>
      <c r="S55" s="198">
        <v>356126</v>
      </c>
      <c r="T55" s="197">
        <f>-1020267+194666</f>
        <v>-825601</v>
      </c>
      <c r="U55" s="72"/>
    </row>
    <row r="56" spans="2:21" ht="13.5" thickBot="1" x14ac:dyDescent="0.25">
      <c r="N56" s="49"/>
      <c r="O56" s="49"/>
      <c r="R56" s="198"/>
      <c r="S56" s="198"/>
      <c r="T56" s="198"/>
      <c r="U56" s="72"/>
    </row>
    <row r="57" spans="2:21" ht="15.75" thickBot="1" x14ac:dyDescent="0.3">
      <c r="B57" s="240" t="s">
        <v>234</v>
      </c>
      <c r="C57" s="241"/>
      <c r="D57" s="242"/>
      <c r="E57" s="242"/>
      <c r="F57" s="242"/>
      <c r="G57" s="242"/>
      <c r="H57" s="243">
        <f>H17+H28+H36+H40+H48+H53+H55-H14-H15-H25-H26-H27-H35</f>
        <v>1191</v>
      </c>
      <c r="I57" s="243">
        <f>I17+I28+I36+I40+I48+I53-I14-I15-I25-I26-I27-I35</f>
        <v>1322</v>
      </c>
      <c r="J57" s="243">
        <f>J17+J28+J36+J40+J48+J53+J55-J14-J15-J25-J26-J27-J35</f>
        <v>769</v>
      </c>
      <c r="K57" s="243">
        <f>K17+K28+K36+K40+K48+K53+K55-K14-K15-K25-K26-K27-K35</f>
        <v>0</v>
      </c>
      <c r="L57" s="243">
        <f>L17+L28+L36+L40+L48+L53+L55-L14-L15-L25-L26-L27-L35</f>
        <v>5019122</v>
      </c>
      <c r="M57" s="243">
        <f>M17+M28+M36+M40+M48+M53-M14-M15-M25-M26-M27-M35</f>
        <v>5783007</v>
      </c>
      <c r="N57" s="243">
        <f t="shared" ref="N57:T57" si="6">N17+N28+N36+N40+N48+N53-N14-N15-N25-N26-N27-N35</f>
        <v>3360215</v>
      </c>
      <c r="O57" s="243">
        <f t="shared" si="6"/>
        <v>0</v>
      </c>
      <c r="P57" s="243">
        <f t="shared" si="6"/>
        <v>3116</v>
      </c>
      <c r="Q57" s="243">
        <f t="shared" si="6"/>
        <v>43535112.5</v>
      </c>
      <c r="R57" s="243">
        <f t="shared" si="6"/>
        <v>8591408.5</v>
      </c>
      <c r="S57" s="243">
        <f t="shared" si="6"/>
        <v>9271545.2855063863</v>
      </c>
      <c r="T57" s="243">
        <f t="shared" si="6"/>
        <v>25672158.714493614</v>
      </c>
      <c r="U57" s="72"/>
    </row>
    <row r="58" spans="2:21" ht="15" x14ac:dyDescent="0.25">
      <c r="B58" s="244" t="s">
        <v>235</v>
      </c>
      <c r="C58" s="245"/>
      <c r="D58" s="246"/>
      <c r="E58" s="246"/>
      <c r="F58" s="246"/>
      <c r="G58" s="246"/>
      <c r="H58" s="247">
        <f>H14+H15+H25+H26+H27+H35</f>
        <v>198</v>
      </c>
      <c r="I58" s="247">
        <f t="shared" ref="I58:T58" si="7">I14+I15+I25+I26+I27+I35</f>
        <v>171</v>
      </c>
      <c r="J58" s="247">
        <f t="shared" si="7"/>
        <v>777</v>
      </c>
      <c r="K58" s="247">
        <f t="shared" si="7"/>
        <v>0</v>
      </c>
      <c r="L58" s="247">
        <f t="shared" si="7"/>
        <v>7856</v>
      </c>
      <c r="M58" s="247">
        <f t="shared" si="7"/>
        <v>3126</v>
      </c>
      <c r="N58" s="247">
        <f t="shared" si="7"/>
        <v>15069</v>
      </c>
      <c r="O58" s="247">
        <f t="shared" si="7"/>
        <v>0</v>
      </c>
      <c r="P58" s="247">
        <f t="shared" si="7"/>
        <v>0</v>
      </c>
      <c r="Q58" s="247">
        <f>Q14+Q15+Q25+Q26+Q27+Q35</f>
        <v>26051</v>
      </c>
      <c r="R58" s="247">
        <f t="shared" si="7"/>
        <v>1313</v>
      </c>
      <c r="S58" s="247">
        <f t="shared" si="7"/>
        <v>0</v>
      </c>
      <c r="T58" s="247">
        <f t="shared" si="7"/>
        <v>24738</v>
      </c>
      <c r="U58" s="245"/>
    </row>
    <row r="59" spans="2:21" ht="15" x14ac:dyDescent="0.25">
      <c r="B59" s="244" t="s">
        <v>236</v>
      </c>
      <c r="C59" s="245"/>
      <c r="D59" s="246"/>
      <c r="E59" s="246"/>
      <c r="F59" s="246"/>
      <c r="G59" s="246"/>
      <c r="H59" s="247">
        <f>SUM(H57:H58)</f>
        <v>1389</v>
      </c>
      <c r="I59" s="247">
        <f>SUM(I57:I58)+I55</f>
        <v>1486</v>
      </c>
      <c r="J59" s="247">
        <f>SUM(J57:J58)</f>
        <v>1546</v>
      </c>
      <c r="K59" s="247">
        <f>SUM(K57:K58)</f>
        <v>0</v>
      </c>
      <c r="L59" s="247">
        <f>SUM(L57:L58)</f>
        <v>5026978</v>
      </c>
      <c r="M59" s="247">
        <f t="shared" ref="M59:T59" si="8">SUM(M57:M58)+M55</f>
        <v>5615949</v>
      </c>
      <c r="N59" s="247">
        <f t="shared" si="8"/>
        <v>3375284</v>
      </c>
      <c r="O59" s="247">
        <f t="shared" si="8"/>
        <v>0</v>
      </c>
      <c r="P59" s="247">
        <f t="shared" si="8"/>
        <v>3100</v>
      </c>
      <c r="Q59" s="247">
        <f t="shared" si="8"/>
        <v>42844903.5</v>
      </c>
      <c r="R59" s="247">
        <f t="shared" si="8"/>
        <v>8345936.5</v>
      </c>
      <c r="S59" s="247">
        <f t="shared" si="8"/>
        <v>9627671.2855063863</v>
      </c>
      <c r="T59" s="247">
        <f t="shared" si="8"/>
        <v>24871295.714493614</v>
      </c>
      <c r="U59" s="245"/>
    </row>
    <row r="60" spans="2:21" ht="13.5" thickBot="1" x14ac:dyDescent="0.25">
      <c r="L60" s="49" t="s">
        <v>86</v>
      </c>
      <c r="Q60" t="s">
        <v>86</v>
      </c>
      <c r="R60" s="265">
        <f>+R59/Q59</f>
        <v>0.19479414862026706</v>
      </c>
      <c r="S60" s="265">
        <f>+S59/Q59</f>
        <v>0.22470983708730694</v>
      </c>
      <c r="T60" s="265">
        <f>+T59/Q59</f>
        <v>0.58049601429242603</v>
      </c>
    </row>
    <row r="61" spans="2:21" ht="15.75" thickBot="1" x14ac:dyDescent="0.3">
      <c r="M61" s="360" t="s">
        <v>237</v>
      </c>
      <c r="N61" s="360"/>
      <c r="O61" s="360"/>
      <c r="P61" s="248">
        <v>15500</v>
      </c>
      <c r="Q61" s="248">
        <v>58000000</v>
      </c>
      <c r="U61" s="49" t="s">
        <v>86</v>
      </c>
    </row>
    <row r="62" spans="2:21" ht="13.5" thickBot="1" x14ac:dyDescent="0.25">
      <c r="M62" s="33"/>
      <c r="N62" s="33"/>
      <c r="O62" s="33"/>
      <c r="P62" s="33"/>
      <c r="Q62" s="33"/>
      <c r="R62" s="33"/>
    </row>
    <row r="63" spans="2:21" ht="15.75" thickBot="1" x14ac:dyDescent="0.3">
      <c r="B63" s="249"/>
      <c r="M63" s="361" t="s">
        <v>238</v>
      </c>
      <c r="N63" s="361"/>
      <c r="O63" s="361"/>
      <c r="P63" s="255">
        <f>P57/P61</f>
        <v>0.20103225806451613</v>
      </c>
      <c r="Q63" s="255">
        <f>Q59/Q61</f>
        <v>0.73870523275862066</v>
      </c>
      <c r="R63" s="33"/>
    </row>
    <row r="64" spans="2:21" x14ac:dyDescent="0.2">
      <c r="B64" s="249"/>
      <c r="M64" s="33"/>
      <c r="N64" s="33"/>
      <c r="O64" s="33"/>
      <c r="P64" s="33"/>
      <c r="Q64" s="33"/>
      <c r="R64" s="33"/>
    </row>
    <row r="65" spans="2:18" x14ac:dyDescent="0.2">
      <c r="M65" s="33"/>
      <c r="N65" s="33"/>
      <c r="O65" s="33"/>
      <c r="P65" s="33"/>
      <c r="Q65" s="33"/>
      <c r="R65" s="33"/>
    </row>
    <row r="66" spans="2:18" x14ac:dyDescent="0.2">
      <c r="M66" s="33"/>
      <c r="N66" s="33"/>
      <c r="O66" s="33"/>
      <c r="P66" s="33"/>
      <c r="Q66" s="33"/>
      <c r="R66" s="33"/>
    </row>
    <row r="78" spans="2:18" x14ac:dyDescent="0.2">
      <c r="B78" s="249"/>
    </row>
    <row r="79" spans="2:18" x14ac:dyDescent="0.2">
      <c r="B79" s="249"/>
    </row>
  </sheetData>
  <mergeCells count="15">
    <mergeCell ref="M61:O61"/>
    <mergeCell ref="M63:O63"/>
    <mergeCell ref="Q3:Q4"/>
    <mergeCell ref="B7:Q7"/>
    <mergeCell ref="B19:Q19"/>
    <mergeCell ref="B30:Q30"/>
    <mergeCell ref="B38:Q38"/>
    <mergeCell ref="B42:Q42"/>
    <mergeCell ref="B3:B5"/>
    <mergeCell ref="C3:C5"/>
    <mergeCell ref="D3:G4"/>
    <mergeCell ref="H3:K4"/>
    <mergeCell ref="L3:O4"/>
    <mergeCell ref="P3:P4"/>
    <mergeCell ref="B50:Q50"/>
  </mergeCells>
  <pageMargins left="0.37" right="0.2" top="0.45" bottom="0.45" header="0.3" footer="0.3"/>
  <pageSetup scale="58" fitToHeight="2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9"/>
  <sheetViews>
    <sheetView workbookViewId="0">
      <selection activeCell="B73" sqref="B1:B65536"/>
    </sheetView>
  </sheetViews>
  <sheetFormatPr defaultRowHeight="12.75" x14ac:dyDescent="0.2"/>
  <cols>
    <col min="1" max="1" width="31.42578125" bestFit="1" customWidth="1"/>
    <col min="2" max="2" width="29.7109375" bestFit="1" customWidth="1"/>
    <col min="3" max="3" width="16.5703125" bestFit="1" customWidth="1"/>
    <col min="4" max="4" width="13.42578125" bestFit="1" customWidth="1"/>
    <col min="6" max="6" width="11.7109375" bestFit="1" customWidth="1"/>
  </cols>
  <sheetData>
    <row r="1" spans="1:6" x14ac:dyDescent="0.2">
      <c r="A1" s="266" t="s">
        <v>269</v>
      </c>
      <c r="B1" s="267" t="s">
        <v>164</v>
      </c>
      <c r="C1" s="267" t="s">
        <v>251</v>
      </c>
      <c r="D1" s="262" t="s">
        <v>273</v>
      </c>
      <c r="F1" s="268"/>
    </row>
    <row r="2" spans="1:6" x14ac:dyDescent="0.2">
      <c r="A2" s="269" t="str">
        <f>'Rate Class Energy Model'!H2</f>
        <v>Residential</v>
      </c>
      <c r="B2" s="270">
        <f>Summary!P20</f>
        <v>402178820.57628191</v>
      </c>
      <c r="C2" s="271"/>
      <c r="D2" s="272">
        <v>0.92228141776739037</v>
      </c>
    </row>
    <row r="3" spans="1:6" x14ac:dyDescent="0.2">
      <c r="A3" s="269" t="str">
        <f>'Rate Class Energy Model'!I2</f>
        <v>GS&lt;50</v>
      </c>
      <c r="B3" s="270">
        <f>Summary!P24</f>
        <v>120510242.02491087</v>
      </c>
      <c r="C3" s="271"/>
      <c r="D3" s="272">
        <v>0.85893494016470162</v>
      </c>
      <c r="F3" s="268"/>
    </row>
    <row r="4" spans="1:6" x14ac:dyDescent="0.2">
      <c r="A4" s="269" t="str">
        <f>'Rate Class Energy Model'!J2</f>
        <v>GS&gt;50</v>
      </c>
      <c r="B4" s="270">
        <f>Summary!P28</f>
        <v>651859446.78527617</v>
      </c>
      <c r="C4" s="273">
        <f>Summary!P29</f>
        <v>1723755.1121789298</v>
      </c>
      <c r="D4" s="272">
        <v>5.322862776699594E-2</v>
      </c>
      <c r="F4" s="38"/>
    </row>
    <row r="5" spans="1:6" x14ac:dyDescent="0.2">
      <c r="A5" s="269" t="str">
        <f>'Rate Class Energy Model'!K2</f>
        <v>Large User</v>
      </c>
      <c r="B5" s="270">
        <f>Summary!P33</f>
        <v>0</v>
      </c>
      <c r="C5" s="273">
        <f>Summary!P34</f>
        <v>0</v>
      </c>
      <c r="D5" s="272">
        <v>0</v>
      </c>
    </row>
    <row r="6" spans="1:6" x14ac:dyDescent="0.2">
      <c r="A6" s="269" t="str">
        <f>'Rate Class Energy Model'!L2</f>
        <v>Sentinels</v>
      </c>
      <c r="B6" s="270">
        <f>Summary!P38</f>
        <v>262520.8315748173</v>
      </c>
      <c r="C6" s="273">
        <f>Summary!P39</f>
        <v>713.34740689392868</v>
      </c>
      <c r="D6" s="272">
        <v>0.80920521498838582</v>
      </c>
      <c r="F6" s="267"/>
    </row>
    <row r="7" spans="1:6" x14ac:dyDescent="0.2">
      <c r="A7" s="269" t="str">
        <f>'Rate Class Energy Model'!M2</f>
        <v>Streetlights</v>
      </c>
      <c r="B7" s="270">
        <f>Summary!P43</f>
        <v>7411072.2161780158</v>
      </c>
      <c r="C7" s="273">
        <f>Summary!P44</f>
        <v>20994.730572838995</v>
      </c>
      <c r="D7" s="272">
        <v>1.0617883637374783E-2</v>
      </c>
      <c r="F7" s="38"/>
    </row>
    <row r="8" spans="1:6" x14ac:dyDescent="0.2">
      <c r="A8" s="274" t="str">
        <f>'Rate Class Energy Model'!N2</f>
        <v>USL</v>
      </c>
      <c r="B8" s="270">
        <f>Summary!P48</f>
        <v>2231401.6422909871</v>
      </c>
      <c r="C8" s="271"/>
      <c r="D8" s="272">
        <v>1</v>
      </c>
    </row>
    <row r="9" spans="1:6" x14ac:dyDescent="0.2">
      <c r="A9" s="275" t="s">
        <v>252</v>
      </c>
      <c r="B9" s="276">
        <f>SUM(B2:B8)</f>
        <v>1184453504.0765128</v>
      </c>
      <c r="C9" s="276">
        <f>SUM(C2:C8)</f>
        <v>1745463.1901586629</v>
      </c>
      <c r="D9" s="276"/>
    </row>
    <row r="10" spans="1:6" x14ac:dyDescent="0.2">
      <c r="B10" s="49"/>
      <c r="C10" s="49"/>
    </row>
    <row r="12" spans="1:6" x14ac:dyDescent="0.2">
      <c r="A12" s="266" t="s">
        <v>253</v>
      </c>
      <c r="B12" s="384" t="s">
        <v>270</v>
      </c>
      <c r="C12" s="386" t="s">
        <v>271</v>
      </c>
      <c r="D12" s="277"/>
      <c r="E12" s="278"/>
      <c r="F12" s="279"/>
    </row>
    <row r="13" spans="1:6" x14ac:dyDescent="0.2">
      <c r="A13" s="280" t="s">
        <v>254</v>
      </c>
      <c r="B13" s="385"/>
      <c r="C13" s="387"/>
      <c r="D13" s="388">
        <v>2014</v>
      </c>
      <c r="E13" s="389"/>
      <c r="F13" s="390"/>
    </row>
    <row r="14" spans="1:6" x14ac:dyDescent="0.2">
      <c r="A14" s="269" t="str">
        <f t="shared" ref="A14:A20" si="0">A2</f>
        <v>Residential</v>
      </c>
      <c r="B14" s="270">
        <f t="shared" ref="B14:B20" si="1">B2*D2</f>
        <v>370922052.83711016</v>
      </c>
      <c r="C14" s="281">
        <v>1.0479240714689326</v>
      </c>
      <c r="D14" s="282">
        <f t="shared" ref="D14:D20" si="2">B14*C14</f>
        <v>388698147.80667901</v>
      </c>
      <c r="E14" s="283">
        <v>9.2499999999999999E-2</v>
      </c>
      <c r="F14" s="284">
        <f t="shared" ref="F14:F20" si="3">D14*E14</f>
        <v>35954578.672117807</v>
      </c>
    </row>
    <row r="15" spans="1:6" x14ac:dyDescent="0.2">
      <c r="A15" s="269" t="str">
        <f t="shared" si="0"/>
        <v>GS&lt;50</v>
      </c>
      <c r="B15" s="270">
        <f t="shared" si="1"/>
        <v>103510457.52290052</v>
      </c>
      <c r="C15" s="281">
        <f t="shared" ref="C15:C20" si="4">$C$14</f>
        <v>1.0479240714689326</v>
      </c>
      <c r="D15" s="282">
        <f t="shared" si="2"/>
        <v>108471100.08700992</v>
      </c>
      <c r="E15" s="283">
        <f t="shared" ref="E15:E20" si="5">E14</f>
        <v>9.2499999999999999E-2</v>
      </c>
      <c r="F15" s="284">
        <f t="shared" si="3"/>
        <v>10033576.758048417</v>
      </c>
    </row>
    <row r="16" spans="1:6" x14ac:dyDescent="0.2">
      <c r="A16" s="269" t="str">
        <f t="shared" si="0"/>
        <v>GS&gt;50</v>
      </c>
      <c r="B16" s="270">
        <f t="shared" si="1"/>
        <v>34697583.849333361</v>
      </c>
      <c r="C16" s="281">
        <f t="shared" si="4"/>
        <v>1.0479240714689326</v>
      </c>
      <c r="D16" s="282">
        <f t="shared" si="2"/>
        <v>36360433.337528095</v>
      </c>
      <c r="E16" s="283">
        <f t="shared" si="5"/>
        <v>9.2499999999999999E-2</v>
      </c>
      <c r="F16" s="284">
        <f t="shared" si="3"/>
        <v>3363340.0837213486</v>
      </c>
    </row>
    <row r="17" spans="1:6" x14ac:dyDescent="0.2">
      <c r="A17" s="269" t="str">
        <f t="shared" si="0"/>
        <v>Large User</v>
      </c>
      <c r="B17" s="270">
        <f t="shared" si="1"/>
        <v>0</v>
      </c>
      <c r="C17" s="281">
        <f t="shared" si="4"/>
        <v>1.0479240714689326</v>
      </c>
      <c r="D17" s="282">
        <f t="shared" si="2"/>
        <v>0</v>
      </c>
      <c r="E17" s="283">
        <f t="shared" si="5"/>
        <v>9.2499999999999999E-2</v>
      </c>
      <c r="F17" s="284">
        <f t="shared" si="3"/>
        <v>0</v>
      </c>
    </row>
    <row r="18" spans="1:6" x14ac:dyDescent="0.2">
      <c r="A18" s="269" t="str">
        <f t="shared" si="0"/>
        <v>Sentinels</v>
      </c>
      <c r="B18" s="270">
        <f t="shared" si="1"/>
        <v>212433.22595342985</v>
      </c>
      <c r="C18" s="281">
        <f t="shared" si="4"/>
        <v>1.0479240714689326</v>
      </c>
      <c r="D18" s="282">
        <f t="shared" si="2"/>
        <v>222613.89105639793</v>
      </c>
      <c r="E18" s="283">
        <f t="shared" si="5"/>
        <v>9.2499999999999999E-2</v>
      </c>
      <c r="F18" s="284">
        <f t="shared" si="3"/>
        <v>20591.784922716808</v>
      </c>
    </row>
    <row r="19" spans="1:6" x14ac:dyDescent="0.2">
      <c r="A19" s="269" t="str">
        <f t="shared" si="0"/>
        <v>Streetlights</v>
      </c>
      <c r="B19" s="270">
        <f t="shared" si="1"/>
        <v>78689.902419559425</v>
      </c>
      <c r="C19" s="281">
        <f t="shared" si="4"/>
        <v>1.0479240714689326</v>
      </c>
      <c r="D19" s="282">
        <f t="shared" si="2"/>
        <v>82461.042926997732</v>
      </c>
      <c r="E19" s="283">
        <f t="shared" si="5"/>
        <v>9.2499999999999999E-2</v>
      </c>
      <c r="F19" s="284">
        <f t="shared" si="3"/>
        <v>7627.6464707472906</v>
      </c>
    </row>
    <row r="20" spans="1:6" x14ac:dyDescent="0.2">
      <c r="A20" s="269" t="str">
        <f t="shared" si="0"/>
        <v>USL</v>
      </c>
      <c r="B20" s="270">
        <f t="shared" si="1"/>
        <v>2231401.6422909871</v>
      </c>
      <c r="C20" s="281">
        <f t="shared" si="4"/>
        <v>1.0479240714689326</v>
      </c>
      <c r="D20" s="282">
        <f t="shared" si="2"/>
        <v>2338339.494072034</v>
      </c>
      <c r="E20" s="283">
        <f t="shared" si="5"/>
        <v>9.2499999999999999E-2</v>
      </c>
      <c r="F20" s="284">
        <f t="shared" si="3"/>
        <v>216296.40320166314</v>
      </c>
    </row>
    <row r="21" spans="1:6" x14ac:dyDescent="0.2">
      <c r="A21" s="275" t="s">
        <v>252</v>
      </c>
      <c r="B21" s="276">
        <f>SUM(B14:B20)</f>
        <v>511652618.98000801</v>
      </c>
      <c r="C21" s="280"/>
      <c r="D21" s="276">
        <f>SUM(D14:D20)</f>
        <v>536173095.65927249</v>
      </c>
      <c r="E21" s="285"/>
      <c r="F21" s="286">
        <f>SUM(F14:F20)</f>
        <v>49596011.348482698</v>
      </c>
    </row>
    <row r="22" spans="1:6" x14ac:dyDescent="0.2">
      <c r="A22" s="287"/>
      <c r="B22" s="288"/>
      <c r="C22" s="289"/>
      <c r="D22" s="288"/>
      <c r="E22" s="290"/>
      <c r="F22" s="291"/>
    </row>
    <row r="23" spans="1:6" x14ac:dyDescent="0.2">
      <c r="A23" s="266" t="s">
        <v>255</v>
      </c>
      <c r="B23" s="384" t="s">
        <v>270</v>
      </c>
      <c r="C23" s="386" t="s">
        <v>271</v>
      </c>
      <c r="D23" s="277"/>
      <c r="E23" s="278"/>
      <c r="F23" s="279"/>
    </row>
    <row r="24" spans="1:6" x14ac:dyDescent="0.2">
      <c r="A24" s="280" t="s">
        <v>256</v>
      </c>
      <c r="B24" s="385"/>
      <c r="C24" s="387"/>
      <c r="D24" s="388">
        <v>2014</v>
      </c>
      <c r="E24" s="389"/>
      <c r="F24" s="390"/>
    </row>
    <row r="25" spans="1:6" x14ac:dyDescent="0.2">
      <c r="A25" s="269" t="str">
        <f t="shared" ref="A25:A31" si="6">A14</f>
        <v>Residential</v>
      </c>
      <c r="B25" s="270">
        <f t="shared" ref="B25:B31" si="7">B2-B14</f>
        <v>31256767.739171743</v>
      </c>
      <c r="C25" s="281">
        <f t="shared" ref="C25:C31" si="8">C14</f>
        <v>1.0479240714689326</v>
      </c>
      <c r="D25" s="282">
        <f t="shared" ref="D25:D31" si="9">B25*C25</f>
        <v>32754719.310191639</v>
      </c>
      <c r="E25" s="283">
        <f>0.02628+0.06468</f>
        <v>9.0959999999999999E-2</v>
      </c>
      <c r="F25" s="284">
        <f t="shared" ref="F25:F31" si="10">D25*E25</f>
        <v>2979369.2684550313</v>
      </c>
    </row>
    <row r="26" spans="1:6" x14ac:dyDescent="0.2">
      <c r="A26" s="269" t="str">
        <f t="shared" si="6"/>
        <v>GS&lt;50</v>
      </c>
      <c r="B26" s="270">
        <f t="shared" si="7"/>
        <v>16999784.502010345</v>
      </c>
      <c r="C26" s="281">
        <f t="shared" si="8"/>
        <v>1.0479240714689326</v>
      </c>
      <c r="D26" s="282">
        <f t="shared" si="9"/>
        <v>17814483.389441144</v>
      </c>
      <c r="E26" s="292">
        <f t="shared" ref="E26:E31" si="11">E25</f>
        <v>9.0959999999999999E-2</v>
      </c>
      <c r="F26" s="284">
        <f t="shared" si="10"/>
        <v>1620405.4091035663</v>
      </c>
    </row>
    <row r="27" spans="1:6" x14ac:dyDescent="0.2">
      <c r="A27" s="269" t="str">
        <f t="shared" si="6"/>
        <v>GS&gt;50</v>
      </c>
      <c r="B27" s="270">
        <f>B4-B16</f>
        <v>617161862.93594277</v>
      </c>
      <c r="C27" s="281">
        <f t="shared" si="8"/>
        <v>1.0479240714689326</v>
      </c>
      <c r="D27" s="282">
        <f>B27*C27</f>
        <v>646738772.16318452</v>
      </c>
      <c r="E27" s="292">
        <f t="shared" si="11"/>
        <v>9.0959999999999999E-2</v>
      </c>
      <c r="F27" s="284">
        <f t="shared" si="10"/>
        <v>58827358.715963267</v>
      </c>
    </row>
    <row r="28" spans="1:6" x14ac:dyDescent="0.2">
      <c r="A28" s="269" t="str">
        <f t="shared" si="6"/>
        <v>Large User</v>
      </c>
      <c r="B28" s="270">
        <f t="shared" si="7"/>
        <v>0</v>
      </c>
      <c r="C28" s="281">
        <f t="shared" si="8"/>
        <v>1.0479240714689326</v>
      </c>
      <c r="D28" s="282">
        <f t="shared" si="9"/>
        <v>0</v>
      </c>
      <c r="E28" s="292">
        <f t="shared" si="11"/>
        <v>9.0959999999999999E-2</v>
      </c>
      <c r="F28" s="284">
        <f t="shared" si="10"/>
        <v>0</v>
      </c>
    </row>
    <row r="29" spans="1:6" x14ac:dyDescent="0.2">
      <c r="A29" s="269" t="str">
        <f t="shared" si="6"/>
        <v>Sentinels</v>
      </c>
      <c r="B29" s="270">
        <f t="shared" si="7"/>
        <v>50087.605621387454</v>
      </c>
      <c r="C29" s="281">
        <f t="shared" si="8"/>
        <v>1.0479240714689326</v>
      </c>
      <c r="D29" s="282">
        <f t="shared" si="9"/>
        <v>52488.007612894537</v>
      </c>
      <c r="E29" s="292">
        <f t="shared" si="11"/>
        <v>9.0959999999999999E-2</v>
      </c>
      <c r="F29" s="284">
        <f t="shared" si="10"/>
        <v>4774.3091724688866</v>
      </c>
    </row>
    <row r="30" spans="1:6" x14ac:dyDescent="0.2">
      <c r="A30" s="269" t="str">
        <f t="shared" si="6"/>
        <v>Streetlights</v>
      </c>
      <c r="B30" s="270">
        <f t="shared" si="7"/>
        <v>7332382.3137584561</v>
      </c>
      <c r="C30" s="281">
        <f t="shared" si="8"/>
        <v>1.0479240714689326</v>
      </c>
      <c r="D30" s="282">
        <f t="shared" si="9"/>
        <v>7683779.9278005539</v>
      </c>
      <c r="E30" s="292">
        <f t="shared" si="11"/>
        <v>9.0959999999999999E-2</v>
      </c>
      <c r="F30" s="284">
        <f t="shared" si="10"/>
        <v>698916.62223273842</v>
      </c>
    </row>
    <row r="31" spans="1:6" x14ac:dyDescent="0.2">
      <c r="A31" s="269" t="str">
        <f t="shared" si="6"/>
        <v>USL</v>
      </c>
      <c r="B31" s="270">
        <f t="shared" si="7"/>
        <v>0</v>
      </c>
      <c r="C31" s="281">
        <f t="shared" si="8"/>
        <v>1.0479240714689326</v>
      </c>
      <c r="D31" s="282">
        <f t="shared" si="9"/>
        <v>0</v>
      </c>
      <c r="E31" s="292">
        <f t="shared" si="11"/>
        <v>9.0959999999999999E-2</v>
      </c>
      <c r="F31" s="284">
        <f t="shared" si="10"/>
        <v>0</v>
      </c>
    </row>
    <row r="32" spans="1:6" x14ac:dyDescent="0.2">
      <c r="A32" s="275" t="s">
        <v>252</v>
      </c>
      <c r="B32" s="276">
        <f>SUM(B25:B31)</f>
        <v>672800885.09650469</v>
      </c>
      <c r="C32" s="280"/>
      <c r="D32" s="276">
        <f>SUM(D25:D31)</f>
        <v>705044242.79823077</v>
      </c>
      <c r="E32" s="285"/>
      <c r="F32" s="286">
        <f>SUM(F25:F31)</f>
        <v>64130824.324927062</v>
      </c>
    </row>
    <row r="34" spans="1:6" x14ac:dyDescent="0.2">
      <c r="A34" s="293" t="s">
        <v>257</v>
      </c>
      <c r="B34" s="294"/>
      <c r="C34" s="295" t="s">
        <v>258</v>
      </c>
      <c r="D34" s="296"/>
      <c r="E34" s="297"/>
      <c r="F34" s="294"/>
    </row>
    <row r="35" spans="1:6" x14ac:dyDescent="0.2">
      <c r="A35" s="280" t="s">
        <v>256</v>
      </c>
      <c r="B35" s="298"/>
      <c r="C35" s="299" t="s">
        <v>259</v>
      </c>
      <c r="D35" s="391">
        <v>2014</v>
      </c>
      <c r="E35" s="392"/>
      <c r="F35" s="393"/>
    </row>
    <row r="36" spans="1:6" x14ac:dyDescent="0.2">
      <c r="A36" s="269" t="str">
        <f t="shared" ref="A36:A42" si="12">A25</f>
        <v>Residential</v>
      </c>
      <c r="B36" s="282"/>
      <c r="C36" s="300" t="s">
        <v>164</v>
      </c>
      <c r="D36" s="282">
        <f>D14+D25</f>
        <v>421452867.11687064</v>
      </c>
      <c r="E36" s="301">
        <v>7.3000000000000001E-3</v>
      </c>
      <c r="F36" s="284">
        <f t="shared" ref="F36:F42" si="13">D36*E36</f>
        <v>3076605.9299531556</v>
      </c>
    </row>
    <row r="37" spans="1:6" x14ac:dyDescent="0.2">
      <c r="A37" s="269" t="str">
        <f t="shared" si="12"/>
        <v>GS&lt;50</v>
      </c>
      <c r="B37" s="282"/>
      <c r="C37" s="300" t="s">
        <v>164</v>
      </c>
      <c r="D37" s="282">
        <f>D15+D26</f>
        <v>126285583.47645107</v>
      </c>
      <c r="E37" s="301">
        <v>6.6E-3</v>
      </c>
      <c r="F37" s="284">
        <f t="shared" si="13"/>
        <v>833484.85094457702</v>
      </c>
    </row>
    <row r="38" spans="1:6" x14ac:dyDescent="0.2">
      <c r="A38" s="269" t="str">
        <f t="shared" si="12"/>
        <v>GS&gt;50</v>
      </c>
      <c r="B38" s="282"/>
      <c r="C38" s="300" t="s">
        <v>251</v>
      </c>
      <c r="D38" s="282">
        <f>C4</f>
        <v>1723755.1121789298</v>
      </c>
      <c r="E38" s="301">
        <v>2.7218</v>
      </c>
      <c r="F38" s="284">
        <f t="shared" si="13"/>
        <v>4691716.6643286115</v>
      </c>
    </row>
    <row r="39" spans="1:6" x14ac:dyDescent="0.2">
      <c r="A39" s="269" t="str">
        <f t="shared" si="12"/>
        <v>Large User</v>
      </c>
      <c r="B39" s="282"/>
      <c r="C39" s="300" t="s">
        <v>251</v>
      </c>
      <c r="D39" s="282">
        <f>C5</f>
        <v>0</v>
      </c>
      <c r="E39" s="301">
        <v>0</v>
      </c>
      <c r="F39" s="284">
        <f t="shared" si="13"/>
        <v>0</v>
      </c>
    </row>
    <row r="40" spans="1:6" x14ac:dyDescent="0.2">
      <c r="A40" s="269" t="str">
        <f t="shared" si="12"/>
        <v>Sentinels</v>
      </c>
      <c r="B40" s="282"/>
      <c r="C40" s="300" t="s">
        <v>251</v>
      </c>
      <c r="D40" s="282">
        <f>C6</f>
        <v>713.34740689392868</v>
      </c>
      <c r="E40" s="301">
        <v>2.0152000000000001</v>
      </c>
      <c r="F40" s="284">
        <f t="shared" si="13"/>
        <v>1437.5376943726451</v>
      </c>
    </row>
    <row r="41" spans="1:6" x14ac:dyDescent="0.2">
      <c r="A41" s="269" t="str">
        <f t="shared" si="12"/>
        <v>Streetlights</v>
      </c>
      <c r="B41" s="282"/>
      <c r="C41" s="311" t="s">
        <v>251</v>
      </c>
      <c r="D41" s="282">
        <f>C7</f>
        <v>20994.730572838995</v>
      </c>
      <c r="E41" s="301">
        <v>2.0575999999999999</v>
      </c>
      <c r="F41" s="284">
        <f t="shared" si="13"/>
        <v>43198.757626673512</v>
      </c>
    </row>
    <row r="42" spans="1:6" x14ac:dyDescent="0.2">
      <c r="A42" s="269" t="str">
        <f t="shared" si="12"/>
        <v>USL</v>
      </c>
      <c r="B42" s="270"/>
      <c r="C42" s="312" t="s">
        <v>164</v>
      </c>
      <c r="D42" s="282">
        <f>D20+D31</f>
        <v>2338339.494072034</v>
      </c>
      <c r="E42" s="301">
        <v>6.6E-3</v>
      </c>
      <c r="F42" s="310">
        <f t="shared" si="13"/>
        <v>15433.040660875424</v>
      </c>
    </row>
    <row r="43" spans="1:6" x14ac:dyDescent="0.2">
      <c r="A43" s="275" t="s">
        <v>252</v>
      </c>
      <c r="B43" s="276"/>
      <c r="C43" s="280"/>
      <c r="D43" s="276"/>
      <c r="E43" s="285"/>
      <c r="F43" s="302">
        <f>SUM(F36:F42)</f>
        <v>8661876.7812082656</v>
      </c>
    </row>
    <row r="45" spans="1:6" x14ac:dyDescent="0.2">
      <c r="A45" s="293" t="s">
        <v>260</v>
      </c>
      <c r="B45" s="294"/>
      <c r="C45" s="303" t="s">
        <v>258</v>
      </c>
      <c r="D45" s="296"/>
      <c r="E45" s="297"/>
      <c r="F45" s="294"/>
    </row>
    <row r="46" spans="1:6" x14ac:dyDescent="0.2">
      <c r="A46" s="280" t="s">
        <v>256</v>
      </c>
      <c r="B46" s="298"/>
      <c r="C46" s="304" t="s">
        <v>259</v>
      </c>
      <c r="D46" s="391">
        <v>2014</v>
      </c>
      <c r="E46" s="392"/>
      <c r="F46" s="393"/>
    </row>
    <row r="47" spans="1:6" x14ac:dyDescent="0.2">
      <c r="A47" s="269" t="str">
        <f t="shared" ref="A47:A53" si="14">A36</f>
        <v>Residential</v>
      </c>
      <c r="B47" s="282"/>
      <c r="C47" s="300" t="str">
        <f t="shared" ref="C47:D52" si="15">C36</f>
        <v>kWh</v>
      </c>
      <c r="D47" s="282">
        <f t="shared" si="15"/>
        <v>421452867.11687064</v>
      </c>
      <c r="E47" s="301">
        <v>5.0000000000000001E-3</v>
      </c>
      <c r="F47" s="284">
        <f t="shared" ref="F47:F53" si="16">D47*E47</f>
        <v>2107264.3355843532</v>
      </c>
    </row>
    <row r="48" spans="1:6" x14ac:dyDescent="0.2">
      <c r="A48" s="269" t="str">
        <f t="shared" si="14"/>
        <v>GS&lt;50</v>
      </c>
      <c r="B48" s="282"/>
      <c r="C48" s="300" t="str">
        <f t="shared" si="15"/>
        <v>kWh</v>
      </c>
      <c r="D48" s="282">
        <f t="shared" si="15"/>
        <v>126285583.47645107</v>
      </c>
      <c r="E48" s="301">
        <v>4.4000000000000003E-3</v>
      </c>
      <c r="F48" s="284">
        <f t="shared" si="16"/>
        <v>555656.56729638472</v>
      </c>
    </row>
    <row r="49" spans="1:6" x14ac:dyDescent="0.2">
      <c r="A49" s="269" t="str">
        <f t="shared" si="14"/>
        <v>GS&gt;50</v>
      </c>
      <c r="B49" s="282"/>
      <c r="C49" s="300" t="str">
        <f t="shared" si="15"/>
        <v>kW</v>
      </c>
      <c r="D49" s="282">
        <f t="shared" si="15"/>
        <v>1723755.1121789298</v>
      </c>
      <c r="E49" s="301">
        <v>1.7466999999999999</v>
      </c>
      <c r="F49" s="284">
        <f t="shared" si="16"/>
        <v>3010883.0544429366</v>
      </c>
    </row>
    <row r="50" spans="1:6" x14ac:dyDescent="0.2">
      <c r="A50" s="269" t="str">
        <f t="shared" si="14"/>
        <v>Large User</v>
      </c>
      <c r="B50" s="282"/>
      <c r="C50" s="300" t="str">
        <f t="shared" si="15"/>
        <v>kW</v>
      </c>
      <c r="D50" s="282">
        <f t="shared" si="15"/>
        <v>0</v>
      </c>
      <c r="E50" s="301">
        <v>0</v>
      </c>
      <c r="F50" s="284">
        <f t="shared" si="16"/>
        <v>0</v>
      </c>
    </row>
    <row r="51" spans="1:6" x14ac:dyDescent="0.2">
      <c r="A51" s="269" t="str">
        <f t="shared" si="14"/>
        <v>Sentinels</v>
      </c>
      <c r="B51" s="282"/>
      <c r="C51" s="300" t="str">
        <f t="shared" si="15"/>
        <v>kW</v>
      </c>
      <c r="D51" s="282">
        <f t="shared" si="15"/>
        <v>713.34740689392868</v>
      </c>
      <c r="E51" s="301">
        <v>1.4595</v>
      </c>
      <c r="F51" s="284">
        <f t="shared" si="16"/>
        <v>1041.1305403616889</v>
      </c>
    </row>
    <row r="52" spans="1:6" x14ac:dyDescent="0.2">
      <c r="A52" s="269" t="str">
        <f t="shared" si="14"/>
        <v>Streetlights</v>
      </c>
      <c r="B52" s="282"/>
      <c r="C52" s="300" t="str">
        <f t="shared" si="15"/>
        <v>kW</v>
      </c>
      <c r="D52" s="282">
        <f t="shared" si="15"/>
        <v>20994.730572838995</v>
      </c>
      <c r="E52" s="301">
        <v>1.3420000000000001</v>
      </c>
      <c r="F52" s="284">
        <f t="shared" si="16"/>
        <v>28174.928428749932</v>
      </c>
    </row>
    <row r="53" spans="1:6" x14ac:dyDescent="0.2">
      <c r="A53" s="269" t="str">
        <f t="shared" si="14"/>
        <v>USL</v>
      </c>
      <c r="B53" s="270"/>
      <c r="C53" s="312" t="s">
        <v>164</v>
      </c>
      <c r="D53" s="270">
        <f>D42</f>
        <v>2338339.494072034</v>
      </c>
      <c r="E53" s="301">
        <v>4.4000000000000003E-3</v>
      </c>
      <c r="F53" s="310">
        <f t="shared" si="16"/>
        <v>10288.69377391695</v>
      </c>
    </row>
    <row r="54" spans="1:6" x14ac:dyDescent="0.2">
      <c r="A54" s="275" t="s">
        <v>252</v>
      </c>
      <c r="B54" s="276"/>
      <c r="C54" s="280"/>
      <c r="D54" s="276"/>
      <c r="E54" s="285"/>
      <c r="F54" s="302">
        <f>SUM(F47:F53)</f>
        <v>5713308.7100667022</v>
      </c>
    </row>
    <row r="56" spans="1:6" x14ac:dyDescent="0.2">
      <c r="A56" s="293" t="s">
        <v>261</v>
      </c>
      <c r="B56" s="294"/>
      <c r="C56" s="303"/>
      <c r="D56" s="296"/>
      <c r="E56" s="297"/>
      <c r="F56" s="294"/>
    </row>
    <row r="57" spans="1:6" x14ac:dyDescent="0.2">
      <c r="A57" s="280" t="s">
        <v>256</v>
      </c>
      <c r="B57" s="298"/>
      <c r="C57" s="304"/>
      <c r="D57" s="391">
        <v>2014</v>
      </c>
      <c r="E57" s="392"/>
      <c r="F57" s="394"/>
    </row>
    <row r="58" spans="1:6" x14ac:dyDescent="0.2">
      <c r="A58" s="269" t="str">
        <f t="shared" ref="A58:A64" si="17">A47</f>
        <v>Residential</v>
      </c>
      <c r="B58" s="282"/>
      <c r="C58" s="300"/>
      <c r="D58" s="282">
        <f t="shared" ref="D58:D64" si="18">D14+D25</f>
        <v>421452867.11687064</v>
      </c>
      <c r="E58" s="301">
        <v>4.4000000000000003E-3</v>
      </c>
      <c r="F58" s="284">
        <f t="shared" ref="F58:F63" si="19">((D58*E58)/12*8)+((D58*0.0052)/12*4)</f>
        <v>1966780.0465453966</v>
      </c>
    </row>
    <row r="59" spans="1:6" x14ac:dyDescent="0.2">
      <c r="A59" s="269" t="str">
        <f t="shared" si="17"/>
        <v>GS&lt;50</v>
      </c>
      <c r="B59" s="282"/>
      <c r="C59" s="300"/>
      <c r="D59" s="282">
        <f t="shared" si="18"/>
        <v>126285583.47645107</v>
      </c>
      <c r="E59" s="301">
        <v>4.4000000000000003E-3</v>
      </c>
      <c r="F59" s="284">
        <f t="shared" si="19"/>
        <v>589332.72289010498</v>
      </c>
    </row>
    <row r="60" spans="1:6" x14ac:dyDescent="0.2">
      <c r="A60" s="269" t="str">
        <f t="shared" si="17"/>
        <v>GS&gt;50</v>
      </c>
      <c r="B60" s="282"/>
      <c r="C60" s="300"/>
      <c r="D60" s="282">
        <f t="shared" si="18"/>
        <v>683099205.50071263</v>
      </c>
      <c r="E60" s="301">
        <v>4.4000000000000003E-3</v>
      </c>
      <c r="F60" s="284">
        <f t="shared" si="19"/>
        <v>3187796.2923366586</v>
      </c>
    </row>
    <row r="61" spans="1:6" x14ac:dyDescent="0.2">
      <c r="A61" s="269" t="str">
        <f t="shared" si="17"/>
        <v>Large User</v>
      </c>
      <c r="B61" s="282"/>
      <c r="C61" s="300"/>
      <c r="D61" s="282">
        <f t="shared" si="18"/>
        <v>0</v>
      </c>
      <c r="E61" s="301">
        <v>4.4000000000000003E-3</v>
      </c>
      <c r="F61" s="284">
        <f t="shared" si="19"/>
        <v>0</v>
      </c>
    </row>
    <row r="62" spans="1:6" x14ac:dyDescent="0.2">
      <c r="A62" s="269" t="str">
        <f t="shared" si="17"/>
        <v>Sentinels</v>
      </c>
      <c r="B62" s="282"/>
      <c r="C62" s="300"/>
      <c r="D62" s="282">
        <f t="shared" si="18"/>
        <v>275101.89866929245</v>
      </c>
      <c r="E62" s="301">
        <v>4.4000000000000003E-3</v>
      </c>
      <c r="F62" s="284">
        <f t="shared" si="19"/>
        <v>1283.8088604566981</v>
      </c>
    </row>
    <row r="63" spans="1:6" x14ac:dyDescent="0.2">
      <c r="A63" s="269" t="str">
        <f t="shared" si="17"/>
        <v>Streetlights</v>
      </c>
      <c r="B63" s="282"/>
      <c r="C63" s="300"/>
      <c r="D63" s="282">
        <f t="shared" si="18"/>
        <v>7766240.9707275517</v>
      </c>
      <c r="E63" s="301">
        <v>4.4000000000000003E-3</v>
      </c>
      <c r="F63" s="284">
        <f t="shared" si="19"/>
        <v>36242.457863395241</v>
      </c>
    </row>
    <row r="64" spans="1:6" x14ac:dyDescent="0.2">
      <c r="A64" s="274" t="str">
        <f t="shared" si="17"/>
        <v>USL</v>
      </c>
      <c r="B64" s="282"/>
      <c r="C64" s="300"/>
      <c r="D64" s="282">
        <f t="shared" si="18"/>
        <v>2338339.494072034</v>
      </c>
      <c r="E64" s="301">
        <v>4.4000000000000003E-3</v>
      </c>
      <c r="F64" s="284">
        <f>D64*E64</f>
        <v>10288.69377391695</v>
      </c>
    </row>
    <row r="65" spans="1:6" x14ac:dyDescent="0.2">
      <c r="A65" s="275" t="s">
        <v>252</v>
      </c>
      <c r="B65" s="276"/>
      <c r="C65" s="280"/>
      <c r="D65" s="276">
        <f>SUM(D58:D64)</f>
        <v>1241217338.4575028</v>
      </c>
      <c r="E65" s="285"/>
      <c r="F65" s="302">
        <f>SUM(F58:F64)</f>
        <v>5791724.0222699288</v>
      </c>
    </row>
    <row r="67" spans="1:6" x14ac:dyDescent="0.2">
      <c r="A67" s="293" t="s">
        <v>262</v>
      </c>
      <c r="B67" s="294"/>
      <c r="C67" s="303"/>
      <c r="D67" s="296"/>
      <c r="E67" s="297"/>
      <c r="F67" s="294"/>
    </row>
    <row r="68" spans="1:6" x14ac:dyDescent="0.2">
      <c r="A68" s="280" t="s">
        <v>256</v>
      </c>
      <c r="B68" s="298"/>
      <c r="C68" s="304"/>
      <c r="D68" s="395">
        <v>2014</v>
      </c>
      <c r="E68" s="392"/>
      <c r="F68" s="393"/>
    </row>
    <row r="69" spans="1:6" x14ac:dyDescent="0.2">
      <c r="A69" s="269" t="str">
        <f t="shared" ref="A69:A75" si="20">A58</f>
        <v>Residential</v>
      </c>
      <c r="B69" s="282"/>
      <c r="C69" s="300"/>
      <c r="D69" s="282">
        <f t="shared" ref="D69:D75" si="21">D58</f>
        <v>421452867.11687064</v>
      </c>
      <c r="E69" s="301">
        <v>1.2999999999999999E-3</v>
      </c>
      <c r="F69" s="284">
        <f t="shared" ref="F69:F75" si="22">D69*E69</f>
        <v>547888.72725193179</v>
      </c>
    </row>
    <row r="70" spans="1:6" x14ac:dyDescent="0.2">
      <c r="A70" s="269" t="str">
        <f t="shared" si="20"/>
        <v>GS&lt;50</v>
      </c>
      <c r="B70" s="282"/>
      <c r="C70" s="300"/>
      <c r="D70" s="282">
        <f t="shared" si="21"/>
        <v>126285583.47645107</v>
      </c>
      <c r="E70" s="301">
        <v>1.2999999999999999E-3</v>
      </c>
      <c r="F70" s="284">
        <f t="shared" si="22"/>
        <v>164171.25851938638</v>
      </c>
    </row>
    <row r="71" spans="1:6" x14ac:dyDescent="0.2">
      <c r="A71" s="269" t="str">
        <f t="shared" si="20"/>
        <v>GS&gt;50</v>
      </c>
      <c r="B71" s="282"/>
      <c r="C71" s="300"/>
      <c r="D71" s="282">
        <f t="shared" si="21"/>
        <v>683099205.50071263</v>
      </c>
      <c r="E71" s="301">
        <v>1.2999999999999999E-3</v>
      </c>
      <c r="F71" s="284">
        <f t="shared" si="22"/>
        <v>888028.96715092636</v>
      </c>
    </row>
    <row r="72" spans="1:6" x14ac:dyDescent="0.2">
      <c r="A72" s="269" t="str">
        <f t="shared" si="20"/>
        <v>Large User</v>
      </c>
      <c r="B72" s="282"/>
      <c r="C72" s="300"/>
      <c r="D72" s="282">
        <f t="shared" si="21"/>
        <v>0</v>
      </c>
      <c r="E72" s="301">
        <v>1.2999999999999999E-3</v>
      </c>
      <c r="F72" s="284">
        <f t="shared" si="22"/>
        <v>0</v>
      </c>
    </row>
    <row r="73" spans="1:6" x14ac:dyDescent="0.2">
      <c r="A73" s="269" t="str">
        <f t="shared" si="20"/>
        <v>Sentinels</v>
      </c>
      <c r="B73" s="282"/>
      <c r="C73" s="300"/>
      <c r="D73" s="282">
        <f t="shared" si="21"/>
        <v>275101.89866929245</v>
      </c>
      <c r="E73" s="301">
        <v>1.2999999999999999E-3</v>
      </c>
      <c r="F73" s="284">
        <f t="shared" si="22"/>
        <v>357.63246827008015</v>
      </c>
    </row>
    <row r="74" spans="1:6" x14ac:dyDescent="0.2">
      <c r="A74" s="269" t="str">
        <f t="shared" si="20"/>
        <v>Streetlights</v>
      </c>
      <c r="B74" s="282"/>
      <c r="C74" s="300"/>
      <c r="D74" s="282">
        <f t="shared" si="21"/>
        <v>7766240.9707275517</v>
      </c>
      <c r="E74" s="301">
        <v>1.2999999999999999E-3</v>
      </c>
      <c r="F74" s="284">
        <f t="shared" si="22"/>
        <v>10096.113261945817</v>
      </c>
    </row>
    <row r="75" spans="1:6" x14ac:dyDescent="0.2">
      <c r="A75" s="274" t="str">
        <f t="shared" si="20"/>
        <v>USL</v>
      </c>
      <c r="B75" s="282"/>
      <c r="C75" s="300"/>
      <c r="D75" s="282">
        <f t="shared" si="21"/>
        <v>2338339.494072034</v>
      </c>
      <c r="E75" s="301">
        <v>1.2999999999999999E-3</v>
      </c>
      <c r="F75" s="284">
        <f t="shared" si="22"/>
        <v>3039.8413422936442</v>
      </c>
    </row>
    <row r="76" spans="1:6" x14ac:dyDescent="0.2">
      <c r="A76" s="275" t="s">
        <v>252</v>
      </c>
      <c r="B76" s="276"/>
      <c r="C76" s="280"/>
      <c r="D76" s="276">
        <f>SUM(D69:D75)</f>
        <v>1241217338.4575028</v>
      </c>
      <c r="E76" s="285"/>
      <c r="F76" s="302">
        <f>SUM(F69:F75)</f>
        <v>1613582.5399947541</v>
      </c>
    </row>
    <row r="78" spans="1:6" x14ac:dyDescent="0.2">
      <c r="A78" s="293" t="s">
        <v>263</v>
      </c>
      <c r="B78" s="294"/>
      <c r="C78" s="303"/>
      <c r="D78" s="296"/>
      <c r="E78" s="297"/>
      <c r="F78" s="294"/>
    </row>
    <row r="79" spans="1:6" x14ac:dyDescent="0.2">
      <c r="A79" s="280" t="s">
        <v>256</v>
      </c>
      <c r="B79" s="298"/>
      <c r="C79" s="304"/>
      <c r="D79" s="395">
        <v>2014</v>
      </c>
      <c r="E79" s="392"/>
      <c r="F79" s="393"/>
    </row>
    <row r="80" spans="1:6" x14ac:dyDescent="0.2">
      <c r="A80" s="269" t="str">
        <f>A69</f>
        <v>Residential</v>
      </c>
      <c r="B80" s="282"/>
      <c r="C80" s="300"/>
      <c r="D80" s="282">
        <f>'Rate Class Customer Model'!B20*12</f>
        <v>560023.26007134048</v>
      </c>
      <c r="E80" s="301">
        <v>0.79</v>
      </c>
      <c r="F80" s="284">
        <f>D80*E80</f>
        <v>442418.375456359</v>
      </c>
    </row>
    <row r="81" spans="1:6" x14ac:dyDescent="0.2">
      <c r="A81" s="269" t="str">
        <f>A70</f>
        <v>GS&lt;50</v>
      </c>
      <c r="B81" s="282"/>
      <c r="C81" s="300"/>
      <c r="D81" s="282">
        <f>'Rate Class Customer Model'!C20*12</f>
        <v>52203.596350582899</v>
      </c>
      <c r="E81" s="301">
        <f>+E80</f>
        <v>0.79</v>
      </c>
      <c r="F81" s="284">
        <f>D81*E81</f>
        <v>41240.841116960495</v>
      </c>
    </row>
    <row r="82" spans="1:6" x14ac:dyDescent="0.2">
      <c r="A82" s="275" t="s">
        <v>252</v>
      </c>
      <c r="B82" s="276"/>
      <c r="C82" s="280"/>
      <c r="D82" s="276">
        <f>SUM(D80:D81)</f>
        <v>612226.85642192338</v>
      </c>
      <c r="E82" s="285"/>
      <c r="F82" s="302">
        <f>SUM(F80:F81)</f>
        <v>483659.21657331951</v>
      </c>
    </row>
    <row r="83" spans="1:6" x14ac:dyDescent="0.2">
      <c r="A83" s="190"/>
      <c r="B83" s="305">
        <v>2014</v>
      </c>
    </row>
    <row r="84" spans="1:6" x14ac:dyDescent="0.2">
      <c r="A84" s="306" t="s">
        <v>264</v>
      </c>
      <c r="B84" s="307">
        <f>F21+F32</f>
        <v>113726835.67340976</v>
      </c>
    </row>
    <row r="85" spans="1:6" x14ac:dyDescent="0.2">
      <c r="A85" s="306" t="s">
        <v>265</v>
      </c>
      <c r="B85" s="308">
        <f>F65+F76</f>
        <v>7405306.5622646827</v>
      </c>
    </row>
    <row r="86" spans="1:6" x14ac:dyDescent="0.2">
      <c r="A86" s="306" t="s">
        <v>266</v>
      </c>
      <c r="B86" s="308">
        <f>F43</f>
        <v>8661876.7812082656</v>
      </c>
    </row>
    <row r="87" spans="1:6" x14ac:dyDescent="0.2">
      <c r="A87" s="306" t="s">
        <v>267</v>
      </c>
      <c r="B87" s="308">
        <f>F54</f>
        <v>5713308.7100667022</v>
      </c>
    </row>
    <row r="88" spans="1:6" x14ac:dyDescent="0.2">
      <c r="A88" s="309" t="s">
        <v>268</v>
      </c>
      <c r="B88" s="307">
        <f>+F82</f>
        <v>483659.21657331951</v>
      </c>
    </row>
    <row r="89" spans="1:6" x14ac:dyDescent="0.2">
      <c r="A89" s="277" t="s">
        <v>252</v>
      </c>
      <c r="B89" s="302">
        <f>SUM(B84:B88)</f>
        <v>135990986.94352272</v>
      </c>
    </row>
  </sheetData>
  <mergeCells count="11">
    <mergeCell ref="D35:F35"/>
    <mergeCell ref="D46:F46"/>
    <mergeCell ref="D57:F57"/>
    <mergeCell ref="D68:F68"/>
    <mergeCell ref="D79:F79"/>
    <mergeCell ref="B12:B13"/>
    <mergeCell ref="C12:C13"/>
    <mergeCell ref="D13:F13"/>
    <mergeCell ref="B23:B24"/>
    <mergeCell ref="C23:C24"/>
    <mergeCell ref="D24:F24"/>
  </mergeCells>
  <pageMargins left="0.25" right="0.27" top="0.75" bottom="0.75" header="0.3" footer="0.3"/>
  <pageSetup scale="90" orientation="portrait" horizontalDpi="4294967295" verticalDpi="4294967295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9"/>
  <sheetViews>
    <sheetView topLeftCell="A80" workbookViewId="0">
      <selection activeCell="F80" sqref="F1:F65536"/>
    </sheetView>
  </sheetViews>
  <sheetFormatPr defaultRowHeight="12.75" x14ac:dyDescent="0.2"/>
  <cols>
    <col min="1" max="1" width="31.42578125" bestFit="1" customWidth="1"/>
    <col min="2" max="2" width="29.7109375" bestFit="1" customWidth="1"/>
    <col min="3" max="3" width="16.5703125" bestFit="1" customWidth="1"/>
    <col min="4" max="4" width="13.42578125" bestFit="1" customWidth="1"/>
    <col min="6" max="6" width="11.7109375" bestFit="1" customWidth="1"/>
  </cols>
  <sheetData>
    <row r="1" spans="1:6" x14ac:dyDescent="0.2">
      <c r="A1" s="266" t="s">
        <v>274</v>
      </c>
      <c r="B1" s="267" t="s">
        <v>164</v>
      </c>
      <c r="C1" s="267" t="s">
        <v>251</v>
      </c>
      <c r="D1" s="262" t="s">
        <v>273</v>
      </c>
      <c r="F1" s="268"/>
    </row>
    <row r="2" spans="1:6" x14ac:dyDescent="0.2">
      <c r="A2" s="269" t="str">
        <f>'Rate Class Energy Model'!H2</f>
        <v>Residential</v>
      </c>
      <c r="B2" s="270">
        <f>Summary!Q20</f>
        <v>399166843.44033277</v>
      </c>
      <c r="C2" s="271"/>
      <c r="D2" s="272">
        <v>0.92228141776739037</v>
      </c>
    </row>
    <row r="3" spans="1:6" x14ac:dyDescent="0.2">
      <c r="A3" s="269" t="str">
        <f>'Rate Class Energy Model'!I2</f>
        <v>GS&lt;50</v>
      </c>
      <c r="B3" s="270">
        <f>Summary!Q24</f>
        <v>118740733.01474681</v>
      </c>
      <c r="C3" s="271"/>
      <c r="D3" s="272">
        <v>0.85893494016470162</v>
      </c>
      <c r="F3" s="268"/>
    </row>
    <row r="4" spans="1:6" x14ac:dyDescent="0.2">
      <c r="A4" s="269" t="str">
        <f>'Rate Class Energy Model'!J2</f>
        <v>GS&gt;50</v>
      </c>
      <c r="B4" s="270">
        <f>Summary!Q28</f>
        <v>657957067.81947422</v>
      </c>
      <c r="C4" s="273">
        <f>Summary!Q29</f>
        <v>1739879.455366198</v>
      </c>
      <c r="D4" s="272">
        <v>5.322862776699594E-2</v>
      </c>
      <c r="F4" s="38"/>
    </row>
    <row r="5" spans="1:6" x14ac:dyDescent="0.2">
      <c r="A5" s="269" t="str">
        <f>'Rate Class Energy Model'!K2</f>
        <v>Large User</v>
      </c>
      <c r="B5" s="270">
        <f>Summary!Q33</f>
        <v>0</v>
      </c>
      <c r="C5" s="273">
        <f>Summary!P34</f>
        <v>0</v>
      </c>
      <c r="D5" s="272">
        <v>0</v>
      </c>
    </row>
    <row r="6" spans="1:6" x14ac:dyDescent="0.2">
      <c r="A6" s="269" t="str">
        <f>'Rate Class Energy Model'!L2</f>
        <v>Sentinels</v>
      </c>
      <c r="B6" s="270">
        <f>Summary!Q38</f>
        <v>259458.80005095116</v>
      </c>
      <c r="C6" s="273">
        <f>Summary!Q39</f>
        <v>705.02695386826144</v>
      </c>
      <c r="D6" s="272">
        <v>0.80920521498838582</v>
      </c>
      <c r="F6" s="267"/>
    </row>
    <row r="7" spans="1:6" x14ac:dyDescent="0.2">
      <c r="A7" s="269" t="str">
        <f>'Rate Class Energy Model'!M2</f>
        <v>Streetlights</v>
      </c>
      <c r="B7" s="270">
        <f>Summary!Q43</f>
        <v>7477961.7518079486</v>
      </c>
      <c r="C7" s="273">
        <f>Summary!Q44</f>
        <v>21184.221072692333</v>
      </c>
      <c r="D7" s="272">
        <v>1.0617883637374783E-2</v>
      </c>
      <c r="F7" s="38"/>
    </row>
    <row r="8" spans="1:6" x14ac:dyDescent="0.2">
      <c r="A8" s="274" t="str">
        <f>'Rate Class Energy Model'!N2</f>
        <v>USL</v>
      </c>
      <c r="B8" s="270">
        <f>Summary!Q48</f>
        <v>2215047.0373685542</v>
      </c>
      <c r="C8" s="271"/>
      <c r="D8" s="272">
        <v>1</v>
      </c>
    </row>
    <row r="9" spans="1:6" x14ac:dyDescent="0.2">
      <c r="A9" s="275" t="s">
        <v>252</v>
      </c>
      <c r="B9" s="276">
        <f>SUM(B2:B8)</f>
        <v>1185817111.8637812</v>
      </c>
      <c r="C9" s="276">
        <f>SUM(C2:C8)</f>
        <v>1761768.7033927587</v>
      </c>
      <c r="D9" s="276"/>
    </row>
    <row r="10" spans="1:6" x14ac:dyDescent="0.2">
      <c r="B10" s="49"/>
      <c r="C10" s="49"/>
    </row>
    <row r="12" spans="1:6" x14ac:dyDescent="0.2">
      <c r="A12" s="266" t="s">
        <v>253</v>
      </c>
      <c r="B12" s="384" t="s">
        <v>275</v>
      </c>
      <c r="C12" s="386" t="s">
        <v>276</v>
      </c>
      <c r="D12" s="277"/>
      <c r="E12" s="278"/>
      <c r="F12" s="279"/>
    </row>
    <row r="13" spans="1:6" x14ac:dyDescent="0.2">
      <c r="A13" s="280" t="s">
        <v>254</v>
      </c>
      <c r="B13" s="385"/>
      <c r="C13" s="387"/>
      <c r="D13" s="388">
        <v>2015</v>
      </c>
      <c r="E13" s="389"/>
      <c r="F13" s="390"/>
    </row>
    <row r="14" spans="1:6" x14ac:dyDescent="0.2">
      <c r="A14" s="269" t="str">
        <f t="shared" ref="A14:A20" si="0">A2</f>
        <v>Residential</v>
      </c>
      <c r="B14" s="270">
        <f t="shared" ref="B14:B20" si="1">B2*D2</f>
        <v>368144162.29388404</v>
      </c>
      <c r="C14" s="281">
        <v>1.0479240714689326</v>
      </c>
      <c r="D14" s="282">
        <f t="shared" ref="D14:D20" si="2">B14*C14</f>
        <v>385787129.43852645</v>
      </c>
      <c r="E14" s="283">
        <v>9.2499999999999999E-2</v>
      </c>
      <c r="F14" s="284">
        <f t="shared" ref="F14:F20" si="3">D14*E14</f>
        <v>35685309.4730637</v>
      </c>
    </row>
    <row r="15" spans="1:6" x14ac:dyDescent="0.2">
      <c r="A15" s="269" t="str">
        <f t="shared" si="0"/>
        <v>GS&lt;50</v>
      </c>
      <c r="B15" s="270">
        <f t="shared" si="1"/>
        <v>101990564.40713437</v>
      </c>
      <c r="C15" s="281">
        <f t="shared" ref="C15:C20" si="4">$C$14</f>
        <v>1.0479240714689326</v>
      </c>
      <c r="D15" s="282">
        <f t="shared" si="2"/>
        <v>106878367.50493865</v>
      </c>
      <c r="E15" s="283">
        <f t="shared" ref="E15:E20" si="5">E14</f>
        <v>9.2499999999999999E-2</v>
      </c>
      <c r="F15" s="284">
        <f t="shared" si="3"/>
        <v>9886248.9942068253</v>
      </c>
    </row>
    <row r="16" spans="1:6" x14ac:dyDescent="0.2">
      <c r="A16" s="269" t="str">
        <f t="shared" si="0"/>
        <v>GS&gt;50</v>
      </c>
      <c r="B16" s="270">
        <f t="shared" si="1"/>
        <v>35022151.849626899</v>
      </c>
      <c r="C16" s="281">
        <f t="shared" si="4"/>
        <v>1.0479240714689326</v>
      </c>
      <c r="D16" s="282">
        <f t="shared" si="2"/>
        <v>36700555.957864232</v>
      </c>
      <c r="E16" s="283">
        <f t="shared" si="5"/>
        <v>9.2499999999999999E-2</v>
      </c>
      <c r="F16" s="284">
        <f t="shared" si="3"/>
        <v>3394801.4261024413</v>
      </c>
    </row>
    <row r="17" spans="1:6" x14ac:dyDescent="0.2">
      <c r="A17" s="269" t="str">
        <f t="shared" si="0"/>
        <v>Large User</v>
      </c>
      <c r="B17" s="270">
        <f t="shared" si="1"/>
        <v>0</v>
      </c>
      <c r="C17" s="281">
        <f t="shared" si="4"/>
        <v>1.0479240714689326</v>
      </c>
      <c r="D17" s="282">
        <f t="shared" si="2"/>
        <v>0</v>
      </c>
      <c r="E17" s="283">
        <f t="shared" si="5"/>
        <v>9.2499999999999999E-2</v>
      </c>
      <c r="F17" s="284">
        <f t="shared" si="3"/>
        <v>0</v>
      </c>
    </row>
    <row r="18" spans="1:6" x14ac:dyDescent="0.2">
      <c r="A18" s="269" t="str">
        <f t="shared" si="0"/>
        <v>Sentinels</v>
      </c>
      <c r="B18" s="270">
        <f t="shared" si="1"/>
        <v>209955.41407585854</v>
      </c>
      <c r="C18" s="281">
        <f t="shared" si="4"/>
        <v>1.0479240714689326</v>
      </c>
      <c r="D18" s="282">
        <f t="shared" si="2"/>
        <v>220017.33234531933</v>
      </c>
      <c r="E18" s="283">
        <f t="shared" si="5"/>
        <v>9.2499999999999999E-2</v>
      </c>
      <c r="F18" s="284">
        <f t="shared" si="3"/>
        <v>20351.603241942037</v>
      </c>
    </row>
    <row r="19" spans="1:6" x14ac:dyDescent="0.2">
      <c r="A19" s="269" t="str">
        <f t="shared" si="0"/>
        <v>Streetlights</v>
      </c>
      <c r="B19" s="270">
        <f t="shared" si="1"/>
        <v>79400.12772543609</v>
      </c>
      <c r="C19" s="281">
        <f t="shared" si="4"/>
        <v>1.0479240714689326</v>
      </c>
      <c r="D19" s="282">
        <f t="shared" si="2"/>
        <v>83205.305121192272</v>
      </c>
      <c r="E19" s="283">
        <f t="shared" si="5"/>
        <v>9.2499999999999999E-2</v>
      </c>
      <c r="F19" s="284">
        <f t="shared" si="3"/>
        <v>7696.4907237102852</v>
      </c>
    </row>
    <row r="20" spans="1:6" x14ac:dyDescent="0.2">
      <c r="A20" s="269" t="str">
        <f t="shared" si="0"/>
        <v>USL</v>
      </c>
      <c r="B20" s="270">
        <f t="shared" si="1"/>
        <v>2215047.0373685542</v>
      </c>
      <c r="C20" s="281">
        <f t="shared" si="4"/>
        <v>1.0479240714689326</v>
      </c>
      <c r="D20" s="282">
        <f t="shared" si="2"/>
        <v>2321201.1098944522</v>
      </c>
      <c r="E20" s="283">
        <f t="shared" si="5"/>
        <v>9.2499999999999999E-2</v>
      </c>
      <c r="F20" s="284">
        <f t="shared" si="3"/>
        <v>214711.10266523683</v>
      </c>
    </row>
    <row r="21" spans="1:6" x14ac:dyDescent="0.2">
      <c r="A21" s="275" t="s">
        <v>252</v>
      </c>
      <c r="B21" s="276">
        <f>SUM(B14:B20)</f>
        <v>507661281.1298151</v>
      </c>
      <c r="C21" s="280"/>
      <c r="D21" s="276">
        <f>SUM(D14:D20)</f>
        <v>531990476.64869028</v>
      </c>
      <c r="E21" s="285"/>
      <c r="F21" s="286">
        <f>SUM(F14:F20)</f>
        <v>49209119.090003856</v>
      </c>
    </row>
    <row r="22" spans="1:6" x14ac:dyDescent="0.2">
      <c r="A22" s="287"/>
      <c r="B22" s="288"/>
      <c r="C22" s="289"/>
      <c r="D22" s="288"/>
      <c r="E22" s="290"/>
      <c r="F22" s="291"/>
    </row>
    <row r="23" spans="1:6" x14ac:dyDescent="0.2">
      <c r="A23" s="266" t="s">
        <v>255</v>
      </c>
      <c r="B23" s="384" t="s">
        <v>275</v>
      </c>
      <c r="C23" s="386" t="s">
        <v>276</v>
      </c>
      <c r="D23" s="277"/>
      <c r="E23" s="278"/>
      <c r="F23" s="279"/>
    </row>
    <row r="24" spans="1:6" x14ac:dyDescent="0.2">
      <c r="A24" s="280" t="s">
        <v>256</v>
      </c>
      <c r="B24" s="385"/>
      <c r="C24" s="387"/>
      <c r="D24" s="388">
        <v>2015</v>
      </c>
      <c r="E24" s="389"/>
      <c r="F24" s="390"/>
    </row>
    <row r="25" spans="1:6" x14ac:dyDescent="0.2">
      <c r="A25" s="269" t="str">
        <f t="shared" ref="A25:A31" si="6">A14</f>
        <v>Residential</v>
      </c>
      <c r="B25" s="270">
        <f t="shared" ref="B25:B31" si="7">B2-B14</f>
        <v>31022681.146448731</v>
      </c>
      <c r="C25" s="281">
        <f t="shared" ref="C25:C31" si="8">C14</f>
        <v>1.0479240714689326</v>
      </c>
      <c r="D25" s="282">
        <f t="shared" ref="D25:D31" si="9">B25*C25</f>
        <v>32509414.334869049</v>
      </c>
      <c r="E25" s="283">
        <f>0.02628+0.06468</f>
        <v>9.0959999999999999E-2</v>
      </c>
      <c r="F25" s="284">
        <f t="shared" ref="F25:F31" si="10">D25*E25</f>
        <v>2957056.3278996889</v>
      </c>
    </row>
    <row r="26" spans="1:6" x14ac:dyDescent="0.2">
      <c r="A26" s="269" t="str">
        <f t="shared" si="6"/>
        <v>GS&lt;50</v>
      </c>
      <c r="B26" s="270">
        <f t="shared" si="7"/>
        <v>16750168.607612446</v>
      </c>
      <c r="C26" s="281">
        <f t="shared" si="8"/>
        <v>1.0479240714689326</v>
      </c>
      <c r="D26" s="282">
        <f t="shared" si="9"/>
        <v>17552904.885080338</v>
      </c>
      <c r="E26" s="292">
        <f t="shared" ref="E26:E31" si="11">E25</f>
        <v>9.0959999999999999E-2</v>
      </c>
      <c r="F26" s="284">
        <f t="shared" si="10"/>
        <v>1596612.2283469075</v>
      </c>
    </row>
    <row r="27" spans="1:6" x14ac:dyDescent="0.2">
      <c r="A27" s="269" t="str">
        <f t="shared" si="6"/>
        <v>GS&gt;50</v>
      </c>
      <c r="B27" s="270">
        <f>B4-B16</f>
        <v>622934915.96984732</v>
      </c>
      <c r="C27" s="281">
        <f t="shared" si="8"/>
        <v>1.0479240714689326</v>
      </c>
      <c r="D27" s="282">
        <f>B27*C27</f>
        <v>652788493.40327978</v>
      </c>
      <c r="E27" s="292">
        <f t="shared" si="11"/>
        <v>9.0959999999999999E-2</v>
      </c>
      <c r="F27" s="284">
        <f t="shared" si="10"/>
        <v>59377641.359962329</v>
      </c>
    </row>
    <row r="28" spans="1:6" x14ac:dyDescent="0.2">
      <c r="A28" s="269" t="str">
        <f t="shared" si="6"/>
        <v>Large User</v>
      </c>
      <c r="B28" s="270">
        <f t="shared" si="7"/>
        <v>0</v>
      </c>
      <c r="C28" s="281">
        <f t="shared" si="8"/>
        <v>1.0479240714689326</v>
      </c>
      <c r="D28" s="282">
        <f t="shared" si="9"/>
        <v>0</v>
      </c>
      <c r="E28" s="292">
        <f t="shared" si="11"/>
        <v>9.0959999999999999E-2</v>
      </c>
      <c r="F28" s="284">
        <f t="shared" si="10"/>
        <v>0</v>
      </c>
    </row>
    <row r="29" spans="1:6" x14ac:dyDescent="0.2">
      <c r="A29" s="269" t="str">
        <f t="shared" si="6"/>
        <v>Sentinels</v>
      </c>
      <c r="B29" s="270">
        <f t="shared" si="7"/>
        <v>49503.38597509262</v>
      </c>
      <c r="C29" s="281">
        <f t="shared" si="8"/>
        <v>1.0479240714689326</v>
      </c>
      <c r="D29" s="282">
        <f t="shared" si="9"/>
        <v>51875.789782517117</v>
      </c>
      <c r="E29" s="292">
        <f t="shared" si="11"/>
        <v>9.0959999999999999E-2</v>
      </c>
      <c r="F29" s="284">
        <f t="shared" si="10"/>
        <v>4718.621838617757</v>
      </c>
    </row>
    <row r="30" spans="1:6" x14ac:dyDescent="0.2">
      <c r="A30" s="269" t="str">
        <f t="shared" si="6"/>
        <v>Streetlights</v>
      </c>
      <c r="B30" s="270">
        <f t="shared" si="7"/>
        <v>7398561.6240825122</v>
      </c>
      <c r="C30" s="281">
        <f t="shared" si="8"/>
        <v>1.0479240714689326</v>
      </c>
      <c r="D30" s="282">
        <f t="shared" si="9"/>
        <v>7753130.8201223444</v>
      </c>
      <c r="E30" s="292">
        <f t="shared" si="11"/>
        <v>9.0959999999999999E-2</v>
      </c>
      <c r="F30" s="284">
        <f t="shared" si="10"/>
        <v>705224.77939832839</v>
      </c>
    </row>
    <row r="31" spans="1:6" x14ac:dyDescent="0.2">
      <c r="A31" s="269" t="str">
        <f t="shared" si="6"/>
        <v>USL</v>
      </c>
      <c r="B31" s="270">
        <f t="shared" si="7"/>
        <v>0</v>
      </c>
      <c r="C31" s="281">
        <f t="shared" si="8"/>
        <v>1.0479240714689326</v>
      </c>
      <c r="D31" s="282">
        <f t="shared" si="9"/>
        <v>0</v>
      </c>
      <c r="E31" s="292">
        <f t="shared" si="11"/>
        <v>9.0959999999999999E-2</v>
      </c>
      <c r="F31" s="284">
        <f t="shared" si="10"/>
        <v>0</v>
      </c>
    </row>
    <row r="32" spans="1:6" x14ac:dyDescent="0.2">
      <c r="A32" s="275" t="s">
        <v>252</v>
      </c>
      <c r="B32" s="276">
        <f>SUM(B25:B31)</f>
        <v>678155830.73396623</v>
      </c>
      <c r="C32" s="280"/>
      <c r="D32" s="276">
        <f>SUM(D25:D31)</f>
        <v>710655819.23313403</v>
      </c>
      <c r="E32" s="285"/>
      <c r="F32" s="286">
        <f>SUM(F25:F31)</f>
        <v>64641253.317445867</v>
      </c>
    </row>
    <row r="34" spans="1:6" x14ac:dyDescent="0.2">
      <c r="A34" s="293" t="s">
        <v>257</v>
      </c>
      <c r="B34" s="294"/>
      <c r="C34" s="295" t="s">
        <v>258</v>
      </c>
      <c r="D34" s="296"/>
      <c r="E34" s="297"/>
      <c r="F34" s="294"/>
    </row>
    <row r="35" spans="1:6" x14ac:dyDescent="0.2">
      <c r="A35" s="280" t="s">
        <v>256</v>
      </c>
      <c r="B35" s="298"/>
      <c r="C35" s="299" t="s">
        <v>259</v>
      </c>
      <c r="D35" s="391">
        <v>2015</v>
      </c>
      <c r="E35" s="392"/>
      <c r="F35" s="393"/>
    </row>
    <row r="36" spans="1:6" x14ac:dyDescent="0.2">
      <c r="A36" s="269" t="str">
        <f t="shared" ref="A36:A42" si="12">A25</f>
        <v>Residential</v>
      </c>
      <c r="B36" s="282"/>
      <c r="C36" s="300" t="s">
        <v>164</v>
      </c>
      <c r="D36" s="282">
        <f>D14+D25</f>
        <v>418296543.77339548</v>
      </c>
      <c r="E36" s="301">
        <v>7.3000000000000001E-3</v>
      </c>
      <c r="F36" s="284">
        <f t="shared" ref="F36:F42" si="13">D36*E36</f>
        <v>3053564.769545787</v>
      </c>
    </row>
    <row r="37" spans="1:6" x14ac:dyDescent="0.2">
      <c r="A37" s="269" t="str">
        <f t="shared" si="12"/>
        <v>GS&lt;50</v>
      </c>
      <c r="B37" s="282"/>
      <c r="C37" s="300" t="s">
        <v>164</v>
      </c>
      <c r="D37" s="282">
        <f>D15+D26</f>
        <v>124431272.39001898</v>
      </c>
      <c r="E37" s="301">
        <v>6.6E-3</v>
      </c>
      <c r="F37" s="284">
        <f t="shared" si="13"/>
        <v>821246.39777412533</v>
      </c>
    </row>
    <row r="38" spans="1:6" x14ac:dyDescent="0.2">
      <c r="A38" s="269" t="str">
        <f t="shared" si="12"/>
        <v>GS&gt;50</v>
      </c>
      <c r="B38" s="282"/>
      <c r="C38" s="300" t="s">
        <v>251</v>
      </c>
      <c r="D38" s="282">
        <f>C4</f>
        <v>1739879.455366198</v>
      </c>
      <c r="E38" s="301">
        <v>2.7218</v>
      </c>
      <c r="F38" s="284">
        <f t="shared" si="13"/>
        <v>4735603.9016157174</v>
      </c>
    </row>
    <row r="39" spans="1:6" x14ac:dyDescent="0.2">
      <c r="A39" s="269" t="str">
        <f t="shared" si="12"/>
        <v>Large User</v>
      </c>
      <c r="B39" s="282"/>
      <c r="C39" s="300" t="s">
        <v>251</v>
      </c>
      <c r="D39" s="282">
        <f>C5</f>
        <v>0</v>
      </c>
      <c r="E39" s="301">
        <v>0</v>
      </c>
      <c r="F39" s="284">
        <f t="shared" si="13"/>
        <v>0</v>
      </c>
    </row>
    <row r="40" spans="1:6" x14ac:dyDescent="0.2">
      <c r="A40" s="269" t="str">
        <f t="shared" si="12"/>
        <v>Sentinels</v>
      </c>
      <c r="B40" s="282"/>
      <c r="C40" s="300" t="s">
        <v>251</v>
      </c>
      <c r="D40" s="282">
        <f>C6</f>
        <v>705.02695386826144</v>
      </c>
      <c r="E40" s="301">
        <v>2.0152000000000001</v>
      </c>
      <c r="F40" s="284">
        <f t="shared" si="13"/>
        <v>1420.7703174353205</v>
      </c>
    </row>
    <row r="41" spans="1:6" x14ac:dyDescent="0.2">
      <c r="A41" s="269" t="str">
        <f t="shared" si="12"/>
        <v>Streetlights</v>
      </c>
      <c r="B41" s="282"/>
      <c r="C41" s="311" t="s">
        <v>251</v>
      </c>
      <c r="D41" s="282">
        <f>C7</f>
        <v>21184.221072692333</v>
      </c>
      <c r="E41" s="301">
        <v>2.0575999999999999</v>
      </c>
      <c r="F41" s="284">
        <f t="shared" si="13"/>
        <v>43588.65327917174</v>
      </c>
    </row>
    <row r="42" spans="1:6" x14ac:dyDescent="0.2">
      <c r="A42" s="269" t="str">
        <f t="shared" si="12"/>
        <v>USL</v>
      </c>
      <c r="B42" s="270"/>
      <c r="C42" s="312" t="s">
        <v>164</v>
      </c>
      <c r="D42" s="282">
        <f>D20+D31</f>
        <v>2321201.1098944522</v>
      </c>
      <c r="E42" s="301">
        <v>6.6E-3</v>
      </c>
      <c r="F42" s="310">
        <f t="shared" si="13"/>
        <v>15319.927325303384</v>
      </c>
    </row>
    <row r="43" spans="1:6" x14ac:dyDescent="0.2">
      <c r="A43" s="275" t="s">
        <v>252</v>
      </c>
      <c r="B43" s="276"/>
      <c r="C43" s="280"/>
      <c r="D43" s="276"/>
      <c r="E43" s="285"/>
      <c r="F43" s="302">
        <f>SUM(F36:F42)</f>
        <v>8670744.4198575392</v>
      </c>
    </row>
    <row r="45" spans="1:6" x14ac:dyDescent="0.2">
      <c r="A45" s="293" t="s">
        <v>260</v>
      </c>
      <c r="B45" s="294"/>
      <c r="C45" s="303" t="s">
        <v>258</v>
      </c>
      <c r="D45" s="296"/>
      <c r="E45" s="297"/>
      <c r="F45" s="294"/>
    </row>
    <row r="46" spans="1:6" x14ac:dyDescent="0.2">
      <c r="A46" s="280" t="s">
        <v>256</v>
      </c>
      <c r="B46" s="298"/>
      <c r="C46" s="304" t="s">
        <v>259</v>
      </c>
      <c r="D46" s="391">
        <v>2015</v>
      </c>
      <c r="E46" s="392"/>
      <c r="F46" s="393"/>
    </row>
    <row r="47" spans="1:6" x14ac:dyDescent="0.2">
      <c r="A47" s="269" t="str">
        <f t="shared" ref="A47:A53" si="14">A36</f>
        <v>Residential</v>
      </c>
      <c r="B47" s="282"/>
      <c r="C47" s="300" t="str">
        <f t="shared" ref="C47:D52" si="15">C36</f>
        <v>kWh</v>
      </c>
      <c r="D47" s="282">
        <f t="shared" si="15"/>
        <v>418296543.77339548</v>
      </c>
      <c r="E47" s="301">
        <v>5.0000000000000001E-3</v>
      </c>
      <c r="F47" s="284">
        <f t="shared" ref="F47:F53" si="16">D47*E47</f>
        <v>2091482.7188669774</v>
      </c>
    </row>
    <row r="48" spans="1:6" x14ac:dyDescent="0.2">
      <c r="A48" s="269" t="str">
        <f t="shared" si="14"/>
        <v>GS&lt;50</v>
      </c>
      <c r="B48" s="282"/>
      <c r="C48" s="300" t="str">
        <f t="shared" si="15"/>
        <v>kWh</v>
      </c>
      <c r="D48" s="282">
        <f t="shared" si="15"/>
        <v>124431272.39001898</v>
      </c>
      <c r="E48" s="301">
        <v>4.4000000000000003E-3</v>
      </c>
      <c r="F48" s="284">
        <f t="shared" si="16"/>
        <v>547497.59851608356</v>
      </c>
    </row>
    <row r="49" spans="1:6" x14ac:dyDescent="0.2">
      <c r="A49" s="269" t="str">
        <f t="shared" si="14"/>
        <v>GS&gt;50</v>
      </c>
      <c r="B49" s="282"/>
      <c r="C49" s="300" t="str">
        <f t="shared" si="15"/>
        <v>kW</v>
      </c>
      <c r="D49" s="282">
        <f t="shared" si="15"/>
        <v>1739879.455366198</v>
      </c>
      <c r="E49" s="301">
        <v>1.7466999999999999</v>
      </c>
      <c r="F49" s="284">
        <f t="shared" si="16"/>
        <v>3039047.4446881381</v>
      </c>
    </row>
    <row r="50" spans="1:6" x14ac:dyDescent="0.2">
      <c r="A50" s="269" t="str">
        <f t="shared" si="14"/>
        <v>Large User</v>
      </c>
      <c r="B50" s="282"/>
      <c r="C50" s="300" t="str">
        <f t="shared" si="15"/>
        <v>kW</v>
      </c>
      <c r="D50" s="282">
        <f t="shared" si="15"/>
        <v>0</v>
      </c>
      <c r="E50" s="301">
        <v>0</v>
      </c>
      <c r="F50" s="284">
        <f t="shared" si="16"/>
        <v>0</v>
      </c>
    </row>
    <row r="51" spans="1:6" x14ac:dyDescent="0.2">
      <c r="A51" s="269" t="str">
        <f t="shared" si="14"/>
        <v>Sentinels</v>
      </c>
      <c r="B51" s="282"/>
      <c r="C51" s="300" t="str">
        <f t="shared" si="15"/>
        <v>kW</v>
      </c>
      <c r="D51" s="282">
        <f t="shared" si="15"/>
        <v>705.02695386826144</v>
      </c>
      <c r="E51" s="301">
        <v>1.4595</v>
      </c>
      <c r="F51" s="284">
        <f t="shared" si="16"/>
        <v>1028.9868391707275</v>
      </c>
    </row>
    <row r="52" spans="1:6" x14ac:dyDescent="0.2">
      <c r="A52" s="269" t="str">
        <f t="shared" si="14"/>
        <v>Streetlights</v>
      </c>
      <c r="B52" s="282"/>
      <c r="C52" s="300" t="str">
        <f t="shared" si="15"/>
        <v>kW</v>
      </c>
      <c r="D52" s="282">
        <f t="shared" si="15"/>
        <v>21184.221072692333</v>
      </c>
      <c r="E52" s="301">
        <v>1.3420000000000001</v>
      </c>
      <c r="F52" s="284">
        <f t="shared" si="16"/>
        <v>28429.224679553114</v>
      </c>
    </row>
    <row r="53" spans="1:6" x14ac:dyDescent="0.2">
      <c r="A53" s="269" t="str">
        <f t="shared" si="14"/>
        <v>USL</v>
      </c>
      <c r="B53" s="270"/>
      <c r="C53" s="312" t="s">
        <v>164</v>
      </c>
      <c r="D53" s="270">
        <f>D42</f>
        <v>2321201.1098944522</v>
      </c>
      <c r="E53" s="301">
        <v>4.4000000000000003E-3</v>
      </c>
      <c r="F53" s="310">
        <f t="shared" si="16"/>
        <v>10213.284883535591</v>
      </c>
    </row>
    <row r="54" spans="1:6" x14ac:dyDescent="0.2">
      <c r="A54" s="275" t="s">
        <v>252</v>
      </c>
      <c r="B54" s="276"/>
      <c r="C54" s="280"/>
      <c r="D54" s="276"/>
      <c r="E54" s="285"/>
      <c r="F54" s="302">
        <f>SUM(F47:F53)</f>
        <v>5717699.2584734587</v>
      </c>
    </row>
    <row r="56" spans="1:6" x14ac:dyDescent="0.2">
      <c r="A56" s="293" t="s">
        <v>261</v>
      </c>
      <c r="B56" s="294"/>
      <c r="C56" s="303"/>
      <c r="D56" s="296"/>
      <c r="E56" s="297"/>
      <c r="F56" s="294"/>
    </row>
    <row r="57" spans="1:6" x14ac:dyDescent="0.2">
      <c r="A57" s="280" t="s">
        <v>256</v>
      </c>
      <c r="B57" s="298"/>
      <c r="C57" s="304"/>
      <c r="D57" s="391">
        <v>2015</v>
      </c>
      <c r="E57" s="392"/>
      <c r="F57" s="394"/>
    </row>
    <row r="58" spans="1:6" x14ac:dyDescent="0.2">
      <c r="A58" s="269" t="str">
        <f t="shared" ref="A58:A64" si="17">A47</f>
        <v>Residential</v>
      </c>
      <c r="B58" s="282"/>
      <c r="C58" s="300"/>
      <c r="D58" s="282">
        <f t="shared" ref="D58:D64" si="18">D14+D25</f>
        <v>418296543.77339548</v>
      </c>
      <c r="E58" s="301">
        <v>4.4000000000000003E-3</v>
      </c>
      <c r="F58" s="284">
        <f t="shared" ref="F58:F63" si="19">((D58*E58)/12*8)+((D58*0.0052)/12*4)</f>
        <v>1952050.537609179</v>
      </c>
    </row>
    <row r="59" spans="1:6" x14ac:dyDescent="0.2">
      <c r="A59" s="269" t="str">
        <f t="shared" si="17"/>
        <v>GS&lt;50</v>
      </c>
      <c r="B59" s="282"/>
      <c r="C59" s="300"/>
      <c r="D59" s="282">
        <f t="shared" si="18"/>
        <v>124431272.39001898</v>
      </c>
      <c r="E59" s="301">
        <v>4.4000000000000003E-3</v>
      </c>
      <c r="F59" s="284">
        <f t="shared" si="19"/>
        <v>580679.27115342184</v>
      </c>
    </row>
    <row r="60" spans="1:6" x14ac:dyDescent="0.2">
      <c r="A60" s="269" t="str">
        <f t="shared" si="17"/>
        <v>GS&gt;50</v>
      </c>
      <c r="B60" s="282"/>
      <c r="C60" s="300"/>
      <c r="D60" s="282">
        <f t="shared" si="18"/>
        <v>689489049.36114407</v>
      </c>
      <c r="E60" s="301">
        <v>4.4000000000000003E-3</v>
      </c>
      <c r="F60" s="284">
        <f t="shared" si="19"/>
        <v>3217615.5636853389</v>
      </c>
    </row>
    <row r="61" spans="1:6" x14ac:dyDescent="0.2">
      <c r="A61" s="269" t="str">
        <f t="shared" si="17"/>
        <v>Large User</v>
      </c>
      <c r="B61" s="282"/>
      <c r="C61" s="300"/>
      <c r="D61" s="282">
        <f t="shared" si="18"/>
        <v>0</v>
      </c>
      <c r="E61" s="301">
        <v>4.4000000000000003E-3</v>
      </c>
      <c r="F61" s="284">
        <f t="shared" si="19"/>
        <v>0</v>
      </c>
    </row>
    <row r="62" spans="1:6" x14ac:dyDescent="0.2">
      <c r="A62" s="269" t="str">
        <f t="shared" si="17"/>
        <v>Sentinels</v>
      </c>
      <c r="B62" s="282"/>
      <c r="C62" s="300"/>
      <c r="D62" s="282">
        <f t="shared" si="18"/>
        <v>271893.12212783645</v>
      </c>
      <c r="E62" s="301">
        <v>4.4000000000000003E-3</v>
      </c>
      <c r="F62" s="284">
        <f t="shared" si="19"/>
        <v>1268.8345699299034</v>
      </c>
    </row>
    <row r="63" spans="1:6" x14ac:dyDescent="0.2">
      <c r="A63" s="269" t="str">
        <f t="shared" si="17"/>
        <v>Streetlights</v>
      </c>
      <c r="B63" s="282"/>
      <c r="C63" s="300"/>
      <c r="D63" s="282">
        <f t="shared" si="18"/>
        <v>7836336.1252435371</v>
      </c>
      <c r="E63" s="301">
        <v>4.4000000000000003E-3</v>
      </c>
      <c r="F63" s="284">
        <f t="shared" si="19"/>
        <v>36569.568584469846</v>
      </c>
    </row>
    <row r="64" spans="1:6" x14ac:dyDescent="0.2">
      <c r="A64" s="274" t="str">
        <f t="shared" si="17"/>
        <v>USL</v>
      </c>
      <c r="B64" s="282"/>
      <c r="C64" s="300"/>
      <c r="D64" s="282">
        <f t="shared" si="18"/>
        <v>2321201.1098944522</v>
      </c>
      <c r="E64" s="301">
        <v>4.4000000000000003E-3</v>
      </c>
      <c r="F64" s="284">
        <f>D64*E64</f>
        <v>10213.284883535591</v>
      </c>
    </row>
    <row r="65" spans="1:6" x14ac:dyDescent="0.2">
      <c r="A65" s="275" t="s">
        <v>252</v>
      </c>
      <c r="B65" s="276"/>
      <c r="C65" s="280"/>
      <c r="D65" s="276">
        <f>SUM(D58:D64)</f>
        <v>1242646295.8818243</v>
      </c>
      <c r="E65" s="285"/>
      <c r="F65" s="302">
        <f>SUM(F58:F64)</f>
        <v>5798397.0604858752</v>
      </c>
    </row>
    <row r="67" spans="1:6" x14ac:dyDescent="0.2">
      <c r="A67" s="293" t="s">
        <v>262</v>
      </c>
      <c r="B67" s="294"/>
      <c r="C67" s="303"/>
      <c r="D67" s="296"/>
      <c r="E67" s="297"/>
      <c r="F67" s="294"/>
    </row>
    <row r="68" spans="1:6" x14ac:dyDescent="0.2">
      <c r="A68" s="280" t="s">
        <v>256</v>
      </c>
      <c r="B68" s="298"/>
      <c r="C68" s="304"/>
      <c r="D68" s="395">
        <v>2015</v>
      </c>
      <c r="E68" s="392"/>
      <c r="F68" s="393"/>
    </row>
    <row r="69" spans="1:6" x14ac:dyDescent="0.2">
      <c r="A69" s="269" t="str">
        <f t="shared" ref="A69:A75" si="20">A58</f>
        <v>Residential</v>
      </c>
      <c r="B69" s="282"/>
      <c r="C69" s="300"/>
      <c r="D69" s="282">
        <f t="shared" ref="D69:D75" si="21">D58</f>
        <v>418296543.77339548</v>
      </c>
      <c r="E69" s="301">
        <v>1.2999999999999999E-3</v>
      </c>
      <c r="F69" s="284">
        <f t="shared" ref="F69:F75" si="22">D69*E69</f>
        <v>543785.50690541405</v>
      </c>
    </row>
    <row r="70" spans="1:6" x14ac:dyDescent="0.2">
      <c r="A70" s="269" t="str">
        <f t="shared" si="20"/>
        <v>GS&lt;50</v>
      </c>
      <c r="B70" s="282"/>
      <c r="C70" s="300"/>
      <c r="D70" s="282">
        <f t="shared" si="21"/>
        <v>124431272.39001898</v>
      </c>
      <c r="E70" s="301">
        <v>1.2999999999999999E-3</v>
      </c>
      <c r="F70" s="284">
        <f t="shared" si="22"/>
        <v>161760.65410702466</v>
      </c>
    </row>
    <row r="71" spans="1:6" x14ac:dyDescent="0.2">
      <c r="A71" s="269" t="str">
        <f t="shared" si="20"/>
        <v>GS&gt;50</v>
      </c>
      <c r="B71" s="282"/>
      <c r="C71" s="300"/>
      <c r="D71" s="282">
        <f t="shared" si="21"/>
        <v>689489049.36114407</v>
      </c>
      <c r="E71" s="301">
        <v>1.2999999999999999E-3</v>
      </c>
      <c r="F71" s="284">
        <f t="shared" si="22"/>
        <v>896335.76416948729</v>
      </c>
    </row>
    <row r="72" spans="1:6" x14ac:dyDescent="0.2">
      <c r="A72" s="269" t="str">
        <f t="shared" si="20"/>
        <v>Large User</v>
      </c>
      <c r="B72" s="282"/>
      <c r="C72" s="300"/>
      <c r="D72" s="282">
        <f t="shared" si="21"/>
        <v>0</v>
      </c>
      <c r="E72" s="301">
        <v>1.2999999999999999E-3</v>
      </c>
      <c r="F72" s="284">
        <f t="shared" si="22"/>
        <v>0</v>
      </c>
    </row>
    <row r="73" spans="1:6" x14ac:dyDescent="0.2">
      <c r="A73" s="269" t="str">
        <f t="shared" si="20"/>
        <v>Sentinels</v>
      </c>
      <c r="B73" s="282"/>
      <c r="C73" s="300"/>
      <c r="D73" s="282">
        <f t="shared" si="21"/>
        <v>271893.12212783645</v>
      </c>
      <c r="E73" s="301">
        <v>1.2999999999999999E-3</v>
      </c>
      <c r="F73" s="284">
        <f t="shared" si="22"/>
        <v>353.46105876618736</v>
      </c>
    </row>
    <row r="74" spans="1:6" x14ac:dyDescent="0.2">
      <c r="A74" s="269" t="str">
        <f t="shared" si="20"/>
        <v>Streetlights</v>
      </c>
      <c r="B74" s="282"/>
      <c r="C74" s="300"/>
      <c r="D74" s="282">
        <f t="shared" si="21"/>
        <v>7836336.1252435371</v>
      </c>
      <c r="E74" s="301">
        <v>1.2999999999999999E-3</v>
      </c>
      <c r="F74" s="284">
        <f t="shared" si="22"/>
        <v>10187.236962816598</v>
      </c>
    </row>
    <row r="75" spans="1:6" x14ac:dyDescent="0.2">
      <c r="A75" s="274" t="str">
        <f t="shared" si="20"/>
        <v>USL</v>
      </c>
      <c r="B75" s="282"/>
      <c r="C75" s="300"/>
      <c r="D75" s="282">
        <f t="shared" si="21"/>
        <v>2321201.1098944522</v>
      </c>
      <c r="E75" s="301">
        <v>1.2999999999999999E-3</v>
      </c>
      <c r="F75" s="284">
        <f t="shared" si="22"/>
        <v>3017.5614428627878</v>
      </c>
    </row>
    <row r="76" spans="1:6" x14ac:dyDescent="0.2">
      <c r="A76" s="275" t="s">
        <v>252</v>
      </c>
      <c r="B76" s="276"/>
      <c r="C76" s="280"/>
      <c r="D76" s="276">
        <f>SUM(D69:D75)</f>
        <v>1242646295.8818243</v>
      </c>
      <c r="E76" s="285"/>
      <c r="F76" s="302">
        <f>SUM(F69:F75)</f>
        <v>1615440.1846463715</v>
      </c>
    </row>
    <row r="78" spans="1:6" x14ac:dyDescent="0.2">
      <c r="A78" s="293" t="s">
        <v>263</v>
      </c>
      <c r="B78" s="294"/>
      <c r="C78" s="303"/>
      <c r="D78" s="296"/>
      <c r="E78" s="297"/>
      <c r="F78" s="294"/>
    </row>
    <row r="79" spans="1:6" x14ac:dyDescent="0.2">
      <c r="A79" s="280" t="s">
        <v>256</v>
      </c>
      <c r="B79" s="298"/>
      <c r="C79" s="304"/>
      <c r="D79" s="395">
        <v>2015</v>
      </c>
      <c r="E79" s="392"/>
      <c r="F79" s="393"/>
    </row>
    <row r="80" spans="1:6" x14ac:dyDescent="0.2">
      <c r="A80" s="269" t="str">
        <f>A69</f>
        <v>Residential</v>
      </c>
      <c r="B80" s="282"/>
      <c r="C80" s="300"/>
      <c r="D80" s="282">
        <f>'Rate Class Customer Model'!B21*12</f>
        <v>564798.76044465171</v>
      </c>
      <c r="E80" s="301">
        <v>0.79</v>
      </c>
      <c r="F80" s="284">
        <f>D80*E80</f>
        <v>446191.02075127489</v>
      </c>
    </row>
    <row r="81" spans="1:6" x14ac:dyDescent="0.2">
      <c r="A81" s="269" t="str">
        <f>A70</f>
        <v>GS&lt;50</v>
      </c>
      <c r="B81" s="282"/>
      <c r="C81" s="300"/>
      <c r="D81" s="282">
        <f>'Rate Class Customer Model'!C21*12</f>
        <v>52625.103288563012</v>
      </c>
      <c r="E81" s="301">
        <f>+E80</f>
        <v>0.79</v>
      </c>
      <c r="F81" s="284">
        <f>D81*E81</f>
        <v>41573.831597964781</v>
      </c>
    </row>
    <row r="82" spans="1:6" x14ac:dyDescent="0.2">
      <c r="A82" s="275" t="s">
        <v>252</v>
      </c>
      <c r="B82" s="276"/>
      <c r="C82" s="280"/>
      <c r="D82" s="276">
        <f>SUM(D80:D81)</f>
        <v>617423.86373321468</v>
      </c>
      <c r="E82" s="285"/>
      <c r="F82" s="302">
        <f>SUM(F80:F81)</f>
        <v>487764.85234923969</v>
      </c>
    </row>
    <row r="83" spans="1:6" x14ac:dyDescent="0.2">
      <c r="A83" s="190"/>
      <c r="B83" s="305">
        <v>2015</v>
      </c>
    </row>
    <row r="84" spans="1:6" x14ac:dyDescent="0.2">
      <c r="A84" s="306" t="s">
        <v>264</v>
      </c>
      <c r="B84" s="307">
        <f>F21+F32</f>
        <v>113850372.40744972</v>
      </c>
    </row>
    <row r="85" spans="1:6" x14ac:dyDescent="0.2">
      <c r="A85" s="306" t="s">
        <v>265</v>
      </c>
      <c r="B85" s="308">
        <f>F65+F76</f>
        <v>7413837.245132247</v>
      </c>
    </row>
    <row r="86" spans="1:6" x14ac:dyDescent="0.2">
      <c r="A86" s="306" t="s">
        <v>266</v>
      </c>
      <c r="B86" s="308">
        <f>F43</f>
        <v>8670744.4198575392</v>
      </c>
    </row>
    <row r="87" spans="1:6" x14ac:dyDescent="0.2">
      <c r="A87" s="306" t="s">
        <v>267</v>
      </c>
      <c r="B87" s="308">
        <f>F54</f>
        <v>5717699.2584734587</v>
      </c>
    </row>
    <row r="88" spans="1:6" x14ac:dyDescent="0.2">
      <c r="A88" s="309" t="s">
        <v>268</v>
      </c>
      <c r="B88" s="307">
        <f>+F82</f>
        <v>487764.85234923969</v>
      </c>
    </row>
    <row r="89" spans="1:6" x14ac:dyDescent="0.2">
      <c r="A89" s="277" t="s">
        <v>252</v>
      </c>
      <c r="B89" s="302">
        <f>SUM(B84:B88)</f>
        <v>136140418.18326223</v>
      </c>
    </row>
  </sheetData>
  <mergeCells count="11">
    <mergeCell ref="D79:F79"/>
    <mergeCell ref="B12:B13"/>
    <mergeCell ref="C12:C13"/>
    <mergeCell ref="D13:F13"/>
    <mergeCell ref="B23:B24"/>
    <mergeCell ref="C23:C24"/>
    <mergeCell ref="D24:F24"/>
    <mergeCell ref="D35:F35"/>
    <mergeCell ref="D46:F46"/>
    <mergeCell ref="D57:F57"/>
    <mergeCell ref="D68:F68"/>
  </mergeCells>
  <pageMargins left="0.25" right="0.25" top="0.45" bottom="0.41" header="0.3" footer="0.3"/>
  <pageSetup scale="90" orientation="portrait" horizontalDpi="4294967295" verticalDpi="4294967295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workbookViewId="0">
      <pane ySplit="7" topLeftCell="A143" activePane="bottomLeft" state="frozen"/>
      <selection pane="bottomLeft" activeCell="H158" sqref="H158"/>
    </sheetView>
  </sheetViews>
  <sheetFormatPr defaultRowHeight="12.75" x14ac:dyDescent="0.2"/>
  <cols>
    <col min="1" max="2" width="12" customWidth="1"/>
    <col min="3" max="3" width="13.7109375" customWidth="1"/>
    <col min="4" max="4" width="11.7109375" customWidth="1"/>
    <col min="5" max="5" width="19.28515625" customWidth="1"/>
    <col min="6" max="6" width="17.28515625" customWidth="1"/>
  </cols>
  <sheetData>
    <row r="1" spans="1:6" x14ac:dyDescent="0.2">
      <c r="A1" s="19" t="s">
        <v>305</v>
      </c>
    </row>
    <row r="4" spans="1:6" x14ac:dyDescent="0.2">
      <c r="A4" s="319"/>
    </row>
    <row r="5" spans="1:6" x14ac:dyDescent="0.2">
      <c r="A5" s="319"/>
    </row>
    <row r="6" spans="1:6" x14ac:dyDescent="0.2">
      <c r="A6" s="319"/>
    </row>
    <row r="7" spans="1:6" s="141" customFormat="1" ht="38.25" x14ac:dyDescent="0.2">
      <c r="A7" s="341" t="s">
        <v>249</v>
      </c>
      <c r="B7" s="341" t="s">
        <v>302</v>
      </c>
      <c r="C7" s="341" t="s">
        <v>303</v>
      </c>
      <c r="D7" s="341" t="s">
        <v>300</v>
      </c>
      <c r="E7" s="341" t="s">
        <v>301</v>
      </c>
      <c r="F7" s="341" t="s">
        <v>304</v>
      </c>
    </row>
    <row r="8" spans="1:6" x14ac:dyDescent="0.2">
      <c r="A8" s="2">
        <f>'Purchased Power Model'!A75</f>
        <v>37275</v>
      </c>
      <c r="B8" s="49">
        <f>'Purchased Power Model'!E75</f>
        <v>98398774.076027989</v>
      </c>
      <c r="C8" s="342">
        <f>'Purchased Power Model'!O75</f>
        <v>97692694.106691822</v>
      </c>
      <c r="D8" s="49">
        <f>B8-C8</f>
        <v>706079.96933616698</v>
      </c>
      <c r="E8" s="49">
        <f>ABS(D8)</f>
        <v>706079.96933616698</v>
      </c>
      <c r="F8">
        <f>E8/B8</f>
        <v>7.1756988434694621E-3</v>
      </c>
    </row>
    <row r="9" spans="1:6" x14ac:dyDescent="0.2">
      <c r="A9" s="2">
        <f>'Purchased Power Model'!A76</f>
        <v>37308</v>
      </c>
      <c r="B9" s="49">
        <f>'Purchased Power Model'!E76</f>
        <v>87515454.445915431</v>
      </c>
      <c r="C9" s="342">
        <f>'Purchased Power Model'!O76</f>
        <v>88253106.295455962</v>
      </c>
      <c r="D9" s="49">
        <f t="shared" ref="D9:D72" si="0">B9-C9</f>
        <v>-737651.84954053164</v>
      </c>
      <c r="E9" s="49">
        <f t="shared" ref="E9:E72" si="1">ABS(D9)</f>
        <v>737651.84954053164</v>
      </c>
      <c r="F9">
        <f t="shared" ref="F9:F72" si="2">E9/B9</f>
        <v>8.4288181351603528E-3</v>
      </c>
    </row>
    <row r="10" spans="1:6" x14ac:dyDescent="0.2">
      <c r="A10" s="2">
        <f>'Purchased Power Model'!A77</f>
        <v>37341</v>
      </c>
      <c r="B10" s="49">
        <f>'Purchased Power Model'!E77</f>
        <v>94028461.32406956</v>
      </c>
      <c r="C10" s="342">
        <f>'Purchased Power Model'!O77</f>
        <v>92609629.869335502</v>
      </c>
      <c r="D10" s="49">
        <f t="shared" si="0"/>
        <v>1418831.4547340572</v>
      </c>
      <c r="E10" s="49">
        <f t="shared" si="1"/>
        <v>1418831.4547340572</v>
      </c>
      <c r="F10">
        <f t="shared" si="2"/>
        <v>1.5089382882104679E-2</v>
      </c>
    </row>
    <row r="11" spans="1:6" x14ac:dyDescent="0.2">
      <c r="A11" s="2">
        <f>'Purchased Power Model'!A78</f>
        <v>37374</v>
      </c>
      <c r="B11" s="49">
        <f>'Purchased Power Model'!E78</f>
        <v>86184465.624160141</v>
      </c>
      <c r="C11" s="342">
        <f>'Purchased Power Model'!O78</f>
        <v>85214616.408920079</v>
      </c>
      <c r="D11" s="49">
        <f t="shared" si="0"/>
        <v>969849.21524006128</v>
      </c>
      <c r="E11" s="49">
        <f t="shared" si="1"/>
        <v>969849.21524006128</v>
      </c>
      <c r="F11">
        <f t="shared" si="2"/>
        <v>1.1253178959993259E-2</v>
      </c>
    </row>
    <row r="12" spans="1:6" x14ac:dyDescent="0.2">
      <c r="A12" s="2">
        <f>'Purchased Power Model'!A79</f>
        <v>37407</v>
      </c>
      <c r="B12" s="49">
        <f>'Purchased Power Model'!E79</f>
        <v>85447299.005604059</v>
      </c>
      <c r="C12" s="342">
        <f>'Purchased Power Model'!O79</f>
        <v>86740751.004391372</v>
      </c>
      <c r="D12" s="49">
        <f t="shared" si="0"/>
        <v>-1293451.9987873137</v>
      </c>
      <c r="E12" s="49">
        <f t="shared" si="1"/>
        <v>1293451.9987873137</v>
      </c>
      <c r="F12">
        <f t="shared" si="2"/>
        <v>1.5137424047803813E-2</v>
      </c>
    </row>
    <row r="13" spans="1:6" x14ac:dyDescent="0.2">
      <c r="A13" s="2">
        <f>'Purchased Power Model'!A80</f>
        <v>37408</v>
      </c>
      <c r="B13" s="49">
        <f>'Purchased Power Model'!E80</f>
        <v>95651672.755143687</v>
      </c>
      <c r="C13" s="342">
        <f>'Purchased Power Model'!O80</f>
        <v>94950462.339196518</v>
      </c>
      <c r="D13" s="49">
        <f t="shared" si="0"/>
        <v>701210.41594716907</v>
      </c>
      <c r="E13" s="49">
        <f t="shared" si="1"/>
        <v>701210.41594716907</v>
      </c>
      <c r="F13">
        <f t="shared" si="2"/>
        <v>7.3308745759436949E-3</v>
      </c>
    </row>
    <row r="14" spans="1:6" x14ac:dyDescent="0.2">
      <c r="A14" s="2">
        <f>'Purchased Power Model'!A81</f>
        <v>37440</v>
      </c>
      <c r="B14" s="49">
        <f>'Purchased Power Model'!E81</f>
        <v>119450096.05526412</v>
      </c>
      <c r="C14" s="342">
        <f>'Purchased Power Model'!O81</f>
        <v>123515843.52800335</v>
      </c>
      <c r="D14" s="49">
        <f t="shared" si="0"/>
        <v>-4065747.4727392346</v>
      </c>
      <c r="E14" s="49">
        <f t="shared" si="1"/>
        <v>4065747.4727392346</v>
      </c>
      <c r="F14">
        <f t="shared" si="2"/>
        <v>3.4037205552837721E-2</v>
      </c>
    </row>
    <row r="15" spans="1:6" x14ac:dyDescent="0.2">
      <c r="A15" s="2">
        <f>'Purchased Power Model'!A82</f>
        <v>37473</v>
      </c>
      <c r="B15" s="49">
        <f>'Purchased Power Model'!E82</f>
        <v>114483162.95551597</v>
      </c>
      <c r="C15" s="342">
        <f>'Purchased Power Model'!O82</f>
        <v>116730863.74941696</v>
      </c>
      <c r="D15" s="49">
        <f t="shared" si="0"/>
        <v>-2247700.7939009964</v>
      </c>
      <c r="E15" s="49">
        <f t="shared" si="1"/>
        <v>2247700.7939009964</v>
      </c>
      <c r="F15">
        <f t="shared" si="2"/>
        <v>1.9633461688810711E-2</v>
      </c>
    </row>
    <row r="16" spans="1:6" x14ac:dyDescent="0.2">
      <c r="A16" s="2">
        <f>'Purchased Power Model'!A83</f>
        <v>37506</v>
      </c>
      <c r="B16" s="49">
        <f>'Purchased Power Model'!E83</f>
        <v>96936653.295243025</v>
      </c>
      <c r="C16" s="342">
        <f>'Purchased Power Model'!O83</f>
        <v>97037179.211005241</v>
      </c>
      <c r="D16" s="49">
        <f t="shared" si="0"/>
        <v>-100525.91576221585</v>
      </c>
      <c r="E16" s="49">
        <f t="shared" si="1"/>
        <v>100525.91576221585</v>
      </c>
      <c r="F16">
        <f t="shared" si="2"/>
        <v>1.0370268865796397E-3</v>
      </c>
    </row>
    <row r="17" spans="1:6" x14ac:dyDescent="0.2">
      <c r="A17" s="2">
        <f>'Purchased Power Model'!A84</f>
        <v>37539</v>
      </c>
      <c r="B17" s="49">
        <f>'Purchased Power Model'!E84</f>
        <v>90917730.905905664</v>
      </c>
      <c r="C17" s="342">
        <f>'Purchased Power Model'!O84</f>
        <v>89981481.004160821</v>
      </c>
      <c r="D17" s="49">
        <f t="shared" si="0"/>
        <v>936249.90174484253</v>
      </c>
      <c r="E17" s="49">
        <f t="shared" si="1"/>
        <v>936249.90174484253</v>
      </c>
      <c r="F17">
        <f t="shared" si="2"/>
        <v>1.0297770219472419E-2</v>
      </c>
    </row>
    <row r="18" spans="1:6" x14ac:dyDescent="0.2">
      <c r="A18" s="2">
        <f>'Purchased Power Model'!A85</f>
        <v>37572</v>
      </c>
      <c r="B18" s="49">
        <f>'Purchased Power Model'!E85</f>
        <v>90920617.540786162</v>
      </c>
      <c r="C18" s="342">
        <f>'Purchased Power Model'!O85</f>
        <v>88581117.728179902</v>
      </c>
      <c r="D18" s="49">
        <f t="shared" si="0"/>
        <v>2339499.8126062602</v>
      </c>
      <c r="E18" s="49">
        <f t="shared" si="1"/>
        <v>2339499.8126062602</v>
      </c>
      <c r="F18">
        <f t="shared" si="2"/>
        <v>2.5731235399460213E-2</v>
      </c>
    </row>
    <row r="19" spans="1:6" x14ac:dyDescent="0.2">
      <c r="A19" s="2">
        <f>'Purchased Power Model'!A86</f>
        <v>37605</v>
      </c>
      <c r="B19" s="49">
        <f>'Purchased Power Model'!E86</f>
        <v>102776285.79676101</v>
      </c>
      <c r="C19" s="342">
        <f>'Purchased Power Model'!O86</f>
        <v>101357730.96808238</v>
      </c>
      <c r="D19" s="49">
        <f t="shared" si="0"/>
        <v>1418554.8286786228</v>
      </c>
      <c r="E19" s="49">
        <f t="shared" si="1"/>
        <v>1418554.8286786228</v>
      </c>
      <c r="F19">
        <f t="shared" si="2"/>
        <v>1.380235545273352E-2</v>
      </c>
    </row>
    <row r="20" spans="1:6" x14ac:dyDescent="0.2">
      <c r="A20" s="2">
        <f>'Purchased Power Model'!A87</f>
        <v>37622</v>
      </c>
      <c r="B20" s="49">
        <f>'Purchased Power Model'!E87</f>
        <v>104493534.93325901</v>
      </c>
      <c r="C20" s="342">
        <f>'Purchased Power Model'!O87</f>
        <v>104864772.42726891</v>
      </c>
      <c r="D20" s="49">
        <f t="shared" si="0"/>
        <v>-371237.49400989711</v>
      </c>
      <c r="E20" s="49">
        <f t="shared" si="1"/>
        <v>371237.49400989711</v>
      </c>
      <c r="F20">
        <f t="shared" si="2"/>
        <v>3.5527317000713004E-3</v>
      </c>
    </row>
    <row r="21" spans="1:6" x14ac:dyDescent="0.2">
      <c r="A21" s="2">
        <f>'Purchased Power Model'!A88</f>
        <v>37653</v>
      </c>
      <c r="B21" s="49">
        <f>'Purchased Power Model'!E88</f>
        <v>96011347.461254403</v>
      </c>
      <c r="C21" s="342">
        <f>'Purchased Power Model'!O88</f>
        <v>94315757.366756946</v>
      </c>
      <c r="D21" s="49">
        <f t="shared" si="0"/>
        <v>1695590.0944974571</v>
      </c>
      <c r="E21" s="49">
        <f t="shared" si="1"/>
        <v>1695590.0944974571</v>
      </c>
      <c r="F21">
        <f t="shared" si="2"/>
        <v>1.7660309321059331E-2</v>
      </c>
    </row>
    <row r="22" spans="1:6" x14ac:dyDescent="0.2">
      <c r="A22" s="2">
        <f>'Purchased Power Model'!A89</f>
        <v>37681</v>
      </c>
      <c r="B22" s="49">
        <f>'Purchased Power Model'!E89</f>
        <v>95684640.116261721</v>
      </c>
      <c r="C22" s="342">
        <f>'Purchased Power Model'!O89</f>
        <v>96256791.686705559</v>
      </c>
      <c r="D22" s="49">
        <f t="shared" si="0"/>
        <v>-572151.57044383883</v>
      </c>
      <c r="E22" s="49">
        <f t="shared" si="1"/>
        <v>572151.57044383883</v>
      </c>
      <c r="F22">
        <f t="shared" si="2"/>
        <v>5.9795550231327146E-3</v>
      </c>
    </row>
    <row r="23" spans="1:6" x14ac:dyDescent="0.2">
      <c r="A23" s="2">
        <f>'Purchased Power Model'!A90</f>
        <v>37712</v>
      </c>
      <c r="B23" s="49">
        <f>'Purchased Power Model'!E90</f>
        <v>86343957.476882041</v>
      </c>
      <c r="C23" s="342">
        <f>'Purchased Power Model'!O90</f>
        <v>89975378.868210882</v>
      </c>
      <c r="D23" s="49">
        <f t="shared" si="0"/>
        <v>-3631421.3913288414</v>
      </c>
      <c r="E23" s="49">
        <f t="shared" si="1"/>
        <v>3631421.3913288414</v>
      </c>
      <c r="F23">
        <f t="shared" si="2"/>
        <v>4.205762044554337E-2</v>
      </c>
    </row>
    <row r="24" spans="1:6" x14ac:dyDescent="0.2">
      <c r="A24" s="2">
        <f>'Purchased Power Model'!A91</f>
        <v>37742</v>
      </c>
      <c r="B24" s="49">
        <f>'Purchased Power Model'!E91</f>
        <v>84100206.046006992</v>
      </c>
      <c r="C24" s="342">
        <f>'Purchased Power Model'!O91</f>
        <v>89236537.293396592</v>
      </c>
      <c r="D24" s="49">
        <f t="shared" si="0"/>
        <v>-5136331.2473895997</v>
      </c>
      <c r="E24" s="49">
        <f t="shared" si="1"/>
        <v>5136331.2473895997</v>
      </c>
      <c r="F24">
        <f t="shared" si="2"/>
        <v>6.1073943678327865E-2</v>
      </c>
    </row>
    <row r="25" spans="1:6" x14ac:dyDescent="0.2">
      <c r="A25" s="2">
        <f>'Purchased Power Model'!A92</f>
        <v>37773</v>
      </c>
      <c r="B25" s="49">
        <f>'Purchased Power Model'!E92</f>
        <v>90485412.539940089</v>
      </c>
      <c r="C25" s="342">
        <f>'Purchased Power Model'!O92</f>
        <v>96441718.858627662</v>
      </c>
      <c r="D25" s="49">
        <f t="shared" si="0"/>
        <v>-5956306.3186875731</v>
      </c>
      <c r="E25" s="49">
        <f t="shared" si="1"/>
        <v>5956306.3186875731</v>
      </c>
      <c r="F25">
        <f t="shared" si="2"/>
        <v>6.5826149779208559E-2</v>
      </c>
    </row>
    <row r="26" spans="1:6" x14ac:dyDescent="0.2">
      <c r="A26" s="2">
        <f>'Purchased Power Model'!A93</f>
        <v>37803</v>
      </c>
      <c r="B26" s="49">
        <f>'Purchased Power Model'!E93</f>
        <v>107838219.04581785</v>
      </c>
      <c r="C26" s="342">
        <f>'Purchased Power Model'!O93</f>
        <v>109500535.04528858</v>
      </c>
      <c r="D26" s="49">
        <f t="shared" si="0"/>
        <v>-1662315.9994707257</v>
      </c>
      <c r="E26" s="49">
        <f t="shared" si="1"/>
        <v>1662315.9994707257</v>
      </c>
      <c r="F26">
        <f t="shared" si="2"/>
        <v>1.5414905904227219E-2</v>
      </c>
    </row>
    <row r="27" spans="1:6" x14ac:dyDescent="0.2">
      <c r="A27" s="2">
        <f>'Purchased Power Model'!A94</f>
        <v>37834</v>
      </c>
      <c r="B27" s="49">
        <f>'Purchased Power Model'!E94</f>
        <v>111720633.46704757</v>
      </c>
      <c r="C27" s="342">
        <f>'Purchased Power Model'!O94</f>
        <v>117008526.3266954</v>
      </c>
      <c r="D27" s="49">
        <f t="shared" si="0"/>
        <v>-5287892.8596478254</v>
      </c>
      <c r="E27" s="49">
        <f t="shared" si="1"/>
        <v>5287892.8596478254</v>
      </c>
      <c r="F27">
        <f t="shared" si="2"/>
        <v>4.7331389874436303E-2</v>
      </c>
    </row>
    <row r="28" spans="1:6" x14ac:dyDescent="0.2">
      <c r="A28" s="2">
        <f>'Purchased Power Model'!A95</f>
        <v>37865</v>
      </c>
      <c r="B28" s="49">
        <f>'Purchased Power Model'!E95</f>
        <v>90994823.965041861</v>
      </c>
      <c r="C28" s="342">
        <f>'Purchased Power Model'!O95</f>
        <v>87376122.85288021</v>
      </c>
      <c r="D28" s="49">
        <f t="shared" si="0"/>
        <v>3618701.1121616513</v>
      </c>
      <c r="E28" s="49">
        <f t="shared" si="1"/>
        <v>3618701.1121616513</v>
      </c>
      <c r="F28">
        <f t="shared" si="2"/>
        <v>3.976820828349395E-2</v>
      </c>
    </row>
    <row r="29" spans="1:6" x14ac:dyDescent="0.2">
      <c r="A29" s="2">
        <f>'Purchased Power Model'!A96</f>
        <v>37895</v>
      </c>
      <c r="B29" s="49">
        <f>'Purchased Power Model'!E96</f>
        <v>90574201.447299004</v>
      </c>
      <c r="C29" s="342">
        <f>'Purchased Power Model'!O96</f>
        <v>90389954.771938622</v>
      </c>
      <c r="D29" s="49">
        <f t="shared" si="0"/>
        <v>184246.6753603816</v>
      </c>
      <c r="E29" s="49">
        <f t="shared" si="1"/>
        <v>184246.6753603816</v>
      </c>
      <c r="F29">
        <f t="shared" si="2"/>
        <v>2.0342070083564177E-3</v>
      </c>
    </row>
    <row r="30" spans="1:6" x14ac:dyDescent="0.2">
      <c r="A30" s="2">
        <f>'Purchased Power Model'!A97</f>
        <v>37926</v>
      </c>
      <c r="B30" s="49">
        <f>'Purchased Power Model'!E97</f>
        <v>91660392.38326548</v>
      </c>
      <c r="C30" s="342">
        <f>'Purchased Power Model'!O97</f>
        <v>90072436.742713898</v>
      </c>
      <c r="D30" s="49">
        <f t="shared" si="0"/>
        <v>1587955.640551582</v>
      </c>
      <c r="E30" s="49">
        <f t="shared" si="1"/>
        <v>1587955.640551582</v>
      </c>
      <c r="F30">
        <f t="shared" si="2"/>
        <v>1.7324338236648182E-2</v>
      </c>
    </row>
    <row r="31" spans="1:6" x14ac:dyDescent="0.2">
      <c r="A31" s="2">
        <f>'Purchased Power Model'!A98</f>
        <v>37956</v>
      </c>
      <c r="B31" s="49">
        <f>'Purchased Power Model'!E98</f>
        <v>102135791.28634423</v>
      </c>
      <c r="C31" s="342">
        <f>'Purchased Power Model'!O98</f>
        <v>102212183.57779793</v>
      </c>
      <c r="D31" s="49">
        <f t="shared" si="0"/>
        <v>-76392.291453704238</v>
      </c>
      <c r="E31" s="49">
        <f t="shared" si="1"/>
        <v>76392.291453704238</v>
      </c>
      <c r="F31">
        <f t="shared" si="2"/>
        <v>7.4794829992097045E-4</v>
      </c>
    </row>
    <row r="32" spans="1:6" x14ac:dyDescent="0.2">
      <c r="A32" s="2">
        <f>'Purchased Power Model'!A99</f>
        <v>37987</v>
      </c>
      <c r="B32" s="49">
        <f>'Purchased Power Model'!E99</f>
        <v>110906403.35247804</v>
      </c>
      <c r="C32" s="342">
        <f>'Purchased Power Model'!O99</f>
        <v>108112769.52642031</v>
      </c>
      <c r="D32" s="49">
        <f t="shared" si="0"/>
        <v>2793633.8260577321</v>
      </c>
      <c r="E32" s="49">
        <f t="shared" si="1"/>
        <v>2793633.8260577321</v>
      </c>
      <c r="F32">
        <f t="shared" si="2"/>
        <v>2.5189112094629228E-2</v>
      </c>
    </row>
    <row r="33" spans="1:6" x14ac:dyDescent="0.2">
      <c r="A33" s="2">
        <f>'Purchased Power Model'!A100</f>
        <v>38018</v>
      </c>
      <c r="B33" s="49">
        <f>'Purchased Power Model'!E100</f>
        <v>98773309.576660067</v>
      </c>
      <c r="C33" s="342">
        <f>'Purchased Power Model'!O100</f>
        <v>98419855.286065191</v>
      </c>
      <c r="D33" s="49">
        <f t="shared" si="0"/>
        <v>353454.29059487581</v>
      </c>
      <c r="E33" s="49">
        <f t="shared" si="1"/>
        <v>353454.29059487581</v>
      </c>
      <c r="F33">
        <f t="shared" si="2"/>
        <v>3.5784392778754914E-3</v>
      </c>
    </row>
    <row r="34" spans="1:6" x14ac:dyDescent="0.2">
      <c r="A34" s="2">
        <f>'Purchased Power Model'!A101</f>
        <v>38047</v>
      </c>
      <c r="B34" s="49">
        <f>'Purchased Power Model'!E101</f>
        <v>100169246.38921793</v>
      </c>
      <c r="C34" s="342">
        <f>'Purchased Power Model'!O101</f>
        <v>96968540.582988113</v>
      </c>
      <c r="D34" s="49">
        <f t="shared" si="0"/>
        <v>3200705.8062298149</v>
      </c>
      <c r="E34" s="49">
        <f t="shared" si="1"/>
        <v>3200705.8062298149</v>
      </c>
      <c r="F34">
        <f t="shared" si="2"/>
        <v>3.1952978799432541E-2</v>
      </c>
    </row>
    <row r="35" spans="1:6" x14ac:dyDescent="0.2">
      <c r="A35" s="2">
        <f>'Purchased Power Model'!A102</f>
        <v>38078</v>
      </c>
      <c r="B35" s="49">
        <f>'Purchased Power Model'!E102</f>
        <v>89485332.908633038</v>
      </c>
      <c r="C35" s="342">
        <f>'Purchased Power Model'!O102</f>
        <v>90870797.970450997</v>
      </c>
      <c r="D35" s="49">
        <f t="shared" si="0"/>
        <v>-1385465.061817959</v>
      </c>
      <c r="E35" s="49">
        <f t="shared" si="1"/>
        <v>1385465.061817959</v>
      </c>
      <c r="F35">
        <f t="shared" si="2"/>
        <v>1.5482593814927822E-2</v>
      </c>
    </row>
    <row r="36" spans="1:6" x14ac:dyDescent="0.2">
      <c r="A36" s="2">
        <f>'Purchased Power Model'!A103</f>
        <v>38108</v>
      </c>
      <c r="B36" s="49">
        <f>'Purchased Power Model'!E103</f>
        <v>90686143.157182246</v>
      </c>
      <c r="C36" s="342">
        <f>'Purchased Power Model'!O103</f>
        <v>90306901.388879061</v>
      </c>
      <c r="D36" s="49">
        <f t="shared" si="0"/>
        <v>379241.7683031857</v>
      </c>
      <c r="E36" s="49">
        <f t="shared" si="1"/>
        <v>379241.7683031857</v>
      </c>
      <c r="F36">
        <f t="shared" si="2"/>
        <v>4.1819152860637469E-3</v>
      </c>
    </row>
    <row r="37" spans="1:6" x14ac:dyDescent="0.2">
      <c r="A37" s="2">
        <f>'Purchased Power Model'!A104</f>
        <v>38139</v>
      </c>
      <c r="B37" s="49">
        <f>'Purchased Power Model'!E104</f>
        <v>96517444.233200282</v>
      </c>
      <c r="C37" s="342">
        <f>'Purchased Power Model'!O104</f>
        <v>94679764.70106335</v>
      </c>
      <c r="D37" s="49">
        <f t="shared" si="0"/>
        <v>1837679.532136932</v>
      </c>
      <c r="E37" s="49">
        <f t="shared" si="1"/>
        <v>1837679.532136932</v>
      </c>
      <c r="F37">
        <f t="shared" si="2"/>
        <v>1.9039869390830834E-2</v>
      </c>
    </row>
    <row r="38" spans="1:6" x14ac:dyDescent="0.2">
      <c r="A38" s="2">
        <f>'Purchased Power Model'!A105</f>
        <v>38169</v>
      </c>
      <c r="B38" s="49">
        <f>'Purchased Power Model'!E105</f>
        <v>110297641.91792004</v>
      </c>
      <c r="C38" s="342">
        <f>'Purchased Power Model'!O105</f>
        <v>106992250.56311192</v>
      </c>
      <c r="D38" s="49">
        <f t="shared" si="0"/>
        <v>3305391.3548081219</v>
      </c>
      <c r="E38" s="49">
        <f t="shared" si="1"/>
        <v>3305391.3548081219</v>
      </c>
      <c r="F38">
        <f t="shared" si="2"/>
        <v>2.9967924040188349E-2</v>
      </c>
    </row>
    <row r="39" spans="1:6" x14ac:dyDescent="0.2">
      <c r="A39" s="2">
        <f>'Purchased Power Model'!A106</f>
        <v>38200</v>
      </c>
      <c r="B39" s="49">
        <f>'Purchased Power Model'!E106</f>
        <v>109063695.09172532</v>
      </c>
      <c r="C39" s="342">
        <f>'Purchased Power Model'!O106</f>
        <v>108308305.54067652</v>
      </c>
      <c r="D39" s="49">
        <f t="shared" si="0"/>
        <v>755389.55104880035</v>
      </c>
      <c r="E39" s="49">
        <f t="shared" si="1"/>
        <v>755389.55104880035</v>
      </c>
      <c r="F39">
        <f t="shared" si="2"/>
        <v>6.9261320223333589E-3</v>
      </c>
    </row>
    <row r="40" spans="1:6" x14ac:dyDescent="0.2">
      <c r="A40" s="2">
        <f>'Purchased Power Model'!A107</f>
        <v>38231</v>
      </c>
      <c r="B40" s="49">
        <f>'Purchased Power Model'!E107</f>
        <v>103094592.03886008</v>
      </c>
      <c r="C40" s="342">
        <f>'Purchased Power Model'!O107</f>
        <v>96923444.707692236</v>
      </c>
      <c r="D40" s="49">
        <f t="shared" si="0"/>
        <v>6171147.3311678469</v>
      </c>
      <c r="E40" s="49">
        <f t="shared" si="1"/>
        <v>6171147.3311678469</v>
      </c>
      <c r="F40">
        <f t="shared" si="2"/>
        <v>5.9859079017856906E-2</v>
      </c>
    </row>
    <row r="41" spans="1:6" x14ac:dyDescent="0.2">
      <c r="A41" s="2">
        <f>'Purchased Power Model'!A108</f>
        <v>38261</v>
      </c>
      <c r="B41" s="49">
        <f>'Purchased Power Model'!E108</f>
        <v>93329245.592904851</v>
      </c>
      <c r="C41" s="342">
        <f>'Purchased Power Model'!O108</f>
        <v>92318552.995349854</v>
      </c>
      <c r="D41" s="49">
        <f t="shared" si="0"/>
        <v>1010692.5975549966</v>
      </c>
      <c r="E41" s="49">
        <f t="shared" si="1"/>
        <v>1010692.5975549966</v>
      </c>
      <c r="F41">
        <f t="shared" si="2"/>
        <v>1.0829323553771791E-2</v>
      </c>
    </row>
    <row r="42" spans="1:6" x14ac:dyDescent="0.2">
      <c r="A42" s="2">
        <f>'Purchased Power Model'!A109</f>
        <v>38292</v>
      </c>
      <c r="B42" s="49">
        <f>'Purchased Power Model'!E109</f>
        <v>94434398.733862221</v>
      </c>
      <c r="C42" s="342">
        <f>'Purchased Power Model'!O109</f>
        <v>92530822.936774135</v>
      </c>
      <c r="D42" s="49">
        <f t="shared" si="0"/>
        <v>1903575.7970880866</v>
      </c>
      <c r="E42" s="49">
        <f t="shared" si="1"/>
        <v>1903575.7970880866</v>
      </c>
      <c r="F42">
        <f t="shared" si="2"/>
        <v>2.0157652535627398E-2</v>
      </c>
    </row>
    <row r="43" spans="1:6" x14ac:dyDescent="0.2">
      <c r="A43" s="2">
        <f>'Purchased Power Model'!A110</f>
        <v>38322</v>
      </c>
      <c r="B43" s="49">
        <f>'Purchased Power Model'!E110</f>
        <v>108483620.83553149</v>
      </c>
      <c r="C43" s="342">
        <f>'Purchased Power Model'!O110</f>
        <v>106213850.14344715</v>
      </c>
      <c r="D43" s="49">
        <f t="shared" si="0"/>
        <v>2269770.6920843422</v>
      </c>
      <c r="E43" s="49">
        <f t="shared" si="1"/>
        <v>2269770.6920843422</v>
      </c>
      <c r="F43">
        <f t="shared" si="2"/>
        <v>2.0922704041428229E-2</v>
      </c>
    </row>
    <row r="44" spans="1:6" x14ac:dyDescent="0.2">
      <c r="A44" s="2">
        <f>'Purchased Power Model'!A111</f>
        <v>38353</v>
      </c>
      <c r="B44" s="49">
        <f>'Purchased Power Model'!E111</f>
        <v>111357551.02040815</v>
      </c>
      <c r="C44" s="342">
        <f>'Purchased Power Model'!O111</f>
        <v>109438481.04897909</v>
      </c>
      <c r="D44" s="49">
        <f t="shared" si="0"/>
        <v>1919069.9714290649</v>
      </c>
      <c r="E44" s="49">
        <f t="shared" si="1"/>
        <v>1919069.9714290649</v>
      </c>
      <c r="F44">
        <f t="shared" si="2"/>
        <v>1.7233406750094233E-2</v>
      </c>
    </row>
    <row r="45" spans="1:6" x14ac:dyDescent="0.2">
      <c r="A45" s="2">
        <f>'Purchased Power Model'!A112</f>
        <v>38384</v>
      </c>
      <c r="B45" s="49">
        <f>'Purchased Power Model'!E112</f>
        <v>97354644.101543054</v>
      </c>
      <c r="C45" s="342">
        <f>'Purchased Power Model'!O112</f>
        <v>98242915.924179614</v>
      </c>
      <c r="D45" s="49">
        <f t="shared" si="0"/>
        <v>-888271.82263655961</v>
      </c>
      <c r="E45" s="49">
        <f t="shared" si="1"/>
        <v>888271.82263655961</v>
      </c>
      <c r="F45">
        <f t="shared" si="2"/>
        <v>9.1240826858765191E-3</v>
      </c>
    </row>
    <row r="46" spans="1:6" x14ac:dyDescent="0.2">
      <c r="A46" s="2">
        <f>'Purchased Power Model'!A113</f>
        <v>38412</v>
      </c>
      <c r="B46" s="49">
        <f>'Purchased Power Model'!E113</f>
        <v>103696306.62020905</v>
      </c>
      <c r="C46" s="342">
        <f>'Purchased Power Model'!O113</f>
        <v>101936205.5499756</v>
      </c>
      <c r="D46" s="49">
        <f t="shared" si="0"/>
        <v>1760101.0702334493</v>
      </c>
      <c r="E46" s="49">
        <f t="shared" si="1"/>
        <v>1760101.0702334493</v>
      </c>
      <c r="F46">
        <f t="shared" si="2"/>
        <v>1.6973613888485672E-2</v>
      </c>
    </row>
    <row r="47" spans="1:6" x14ac:dyDescent="0.2">
      <c r="A47" s="2">
        <f>'Purchased Power Model'!A114</f>
        <v>38443</v>
      </c>
      <c r="B47" s="49">
        <f>'Purchased Power Model'!E114</f>
        <v>91002648.083623707</v>
      </c>
      <c r="C47" s="342">
        <f>'Purchased Power Model'!O114</f>
        <v>93771374.886744231</v>
      </c>
      <c r="D47" s="49">
        <f t="shared" si="0"/>
        <v>-2768726.8031205237</v>
      </c>
      <c r="E47" s="49">
        <f t="shared" si="1"/>
        <v>2768726.8031205237</v>
      </c>
      <c r="F47">
        <f t="shared" si="2"/>
        <v>3.0424683912234057E-2</v>
      </c>
    </row>
    <row r="48" spans="1:6" x14ac:dyDescent="0.2">
      <c r="A48" s="2">
        <f>'Purchased Power Model'!A115</f>
        <v>38473</v>
      </c>
      <c r="B48" s="49">
        <f>'Purchased Power Model'!E115</f>
        <v>90914554.504728734</v>
      </c>
      <c r="C48" s="342">
        <f>'Purchased Power Model'!O115</f>
        <v>93862537.74461183</v>
      </c>
      <c r="D48" s="49">
        <f t="shared" si="0"/>
        <v>-2947983.239883095</v>
      </c>
      <c r="E48" s="49">
        <f t="shared" si="1"/>
        <v>2947983.239883095</v>
      </c>
      <c r="F48">
        <f t="shared" si="2"/>
        <v>3.2425866858642106E-2</v>
      </c>
    </row>
    <row r="49" spans="1:6" x14ac:dyDescent="0.2">
      <c r="A49" s="2">
        <f>'Purchased Power Model'!A116</f>
        <v>38504</v>
      </c>
      <c r="B49" s="49">
        <f>'Purchased Power Model'!E116</f>
        <v>117110313.58885016</v>
      </c>
      <c r="C49" s="342">
        <f>'Purchased Power Model'!O116</f>
        <v>112238553.40155365</v>
      </c>
      <c r="D49" s="49">
        <f t="shared" si="0"/>
        <v>4871760.1872965097</v>
      </c>
      <c r="E49" s="49">
        <f t="shared" si="1"/>
        <v>4871760.1872965097</v>
      </c>
      <c r="F49">
        <f t="shared" si="2"/>
        <v>4.1599753582765069E-2</v>
      </c>
    </row>
    <row r="50" spans="1:6" x14ac:dyDescent="0.2">
      <c r="A50" s="2">
        <f>'Purchased Power Model'!A117</f>
        <v>38534</v>
      </c>
      <c r="B50" s="49">
        <f>'Purchased Power Model'!E117</f>
        <v>130492623.1956197</v>
      </c>
      <c r="C50" s="342">
        <f>'Purchased Power Model'!O117</f>
        <v>129713705.48031889</v>
      </c>
      <c r="D50" s="49">
        <f t="shared" si="0"/>
        <v>778917.71530081332</v>
      </c>
      <c r="E50" s="49">
        <f t="shared" si="1"/>
        <v>778917.71530081332</v>
      </c>
      <c r="F50">
        <f t="shared" si="2"/>
        <v>5.9690555391253685E-3</v>
      </c>
    </row>
    <row r="51" spans="1:6" x14ac:dyDescent="0.2">
      <c r="A51" s="2">
        <f>'Purchased Power Model'!A118</f>
        <v>38565</v>
      </c>
      <c r="B51" s="49">
        <f>'Purchased Power Model'!E118</f>
        <v>125304430.0647088</v>
      </c>
      <c r="C51" s="342">
        <f>'Purchased Power Model'!O118</f>
        <v>126521615.00155728</v>
      </c>
      <c r="D51" s="49">
        <f t="shared" si="0"/>
        <v>-1217184.9368484765</v>
      </c>
      <c r="E51" s="49">
        <f t="shared" si="1"/>
        <v>1217184.9368484765</v>
      </c>
      <c r="F51">
        <f t="shared" si="2"/>
        <v>9.7138220589639713E-3</v>
      </c>
    </row>
    <row r="52" spans="1:6" x14ac:dyDescent="0.2">
      <c r="A52" s="2">
        <f>'Purchased Power Model'!A119</f>
        <v>38596</v>
      </c>
      <c r="B52" s="49">
        <f>'Purchased Power Model'!E119</f>
        <v>103515709.3081135</v>
      </c>
      <c r="C52" s="342">
        <f>'Purchased Power Model'!O119</f>
        <v>101668382.68625212</v>
      </c>
      <c r="D52" s="49">
        <f t="shared" si="0"/>
        <v>1847326.6218613833</v>
      </c>
      <c r="E52" s="49">
        <f t="shared" si="1"/>
        <v>1847326.6218613833</v>
      </c>
      <c r="F52">
        <f t="shared" si="2"/>
        <v>1.7845857737040022E-2</v>
      </c>
    </row>
    <row r="53" spans="1:6" x14ac:dyDescent="0.2">
      <c r="A53" s="2">
        <f>'Purchased Power Model'!A120</f>
        <v>38626</v>
      </c>
      <c r="B53" s="49">
        <f>'Purchased Power Model'!E120</f>
        <v>95683703.334992543</v>
      </c>
      <c r="C53" s="342">
        <f>'Purchased Power Model'!O120</f>
        <v>97627082.179262757</v>
      </c>
      <c r="D53" s="49">
        <f t="shared" si="0"/>
        <v>-1943378.8442702144</v>
      </c>
      <c r="E53" s="49">
        <f t="shared" si="1"/>
        <v>1943378.8442702144</v>
      </c>
      <c r="F53">
        <f t="shared" si="2"/>
        <v>2.0310447615790601E-2</v>
      </c>
    </row>
    <row r="54" spans="1:6" x14ac:dyDescent="0.2">
      <c r="A54" s="2">
        <f>'Purchased Power Model'!A121</f>
        <v>38657</v>
      </c>
      <c r="B54" s="49">
        <f>'Purchased Power Model'!E121</f>
        <v>95832424.091587856</v>
      </c>
      <c r="C54" s="342">
        <f>'Purchased Power Model'!O121</f>
        <v>95963100.237155557</v>
      </c>
      <c r="D54" s="49">
        <f t="shared" si="0"/>
        <v>-130676.14556770027</v>
      </c>
      <c r="E54" s="49">
        <f t="shared" si="1"/>
        <v>130676.14556770027</v>
      </c>
      <c r="F54">
        <f t="shared" si="2"/>
        <v>1.3635901085295721E-3</v>
      </c>
    </row>
    <row r="55" spans="1:6" x14ac:dyDescent="0.2">
      <c r="A55" s="2">
        <f>'Purchased Power Model'!A122</f>
        <v>38687</v>
      </c>
      <c r="B55" s="49">
        <f>'Purchased Power Model'!E122</f>
        <v>109926431.06022897</v>
      </c>
      <c r="C55" s="342">
        <f>'Purchased Power Model'!O122</f>
        <v>110738843.8614483</v>
      </c>
      <c r="D55" s="49">
        <f t="shared" si="0"/>
        <v>-812412.80121932924</v>
      </c>
      <c r="E55" s="49">
        <f t="shared" si="1"/>
        <v>812412.80121932924</v>
      </c>
      <c r="F55">
        <f t="shared" si="2"/>
        <v>7.3905137589176002E-3</v>
      </c>
    </row>
    <row r="56" spans="1:6" x14ac:dyDescent="0.2">
      <c r="A56" s="2">
        <f>'Purchased Power Model'!A123</f>
        <v>38718</v>
      </c>
      <c r="B56" s="49">
        <f>'Purchased Power Model'!E123</f>
        <v>105189785.96316576</v>
      </c>
      <c r="C56" s="342">
        <f>'Purchased Power Model'!O123</f>
        <v>108044433.94307223</v>
      </c>
      <c r="D56" s="49">
        <f t="shared" si="0"/>
        <v>-2854647.9799064696</v>
      </c>
      <c r="E56" s="49">
        <f t="shared" si="1"/>
        <v>2854647.9799064696</v>
      </c>
      <c r="F56">
        <f t="shared" si="2"/>
        <v>2.7138071950313501E-2</v>
      </c>
    </row>
    <row r="57" spans="1:6" x14ac:dyDescent="0.2">
      <c r="A57" s="2">
        <f>'Purchased Power Model'!A124</f>
        <v>38749</v>
      </c>
      <c r="B57" s="49">
        <f>'Purchased Power Model'!E124</f>
        <v>97673987.05823794</v>
      </c>
      <c r="C57" s="342">
        <f>'Purchased Power Model'!O124</f>
        <v>100381766.96638967</v>
      </c>
      <c r="D57" s="49">
        <f t="shared" si="0"/>
        <v>-2707779.9081517309</v>
      </c>
      <c r="E57" s="49">
        <f t="shared" si="1"/>
        <v>2707779.9081517309</v>
      </c>
      <c r="F57">
        <f t="shared" si="2"/>
        <v>2.7722631067954889E-2</v>
      </c>
    </row>
    <row r="58" spans="1:6" x14ac:dyDescent="0.2">
      <c r="A58" s="2">
        <f>'Purchased Power Model'!A125</f>
        <v>38777</v>
      </c>
      <c r="B58" s="49">
        <f>'Purchased Power Model'!E125</f>
        <v>102138407.16774514</v>
      </c>
      <c r="C58" s="342">
        <f>'Purchased Power Model'!O125</f>
        <v>102268918.51493526</v>
      </c>
      <c r="D58" s="49">
        <f t="shared" si="0"/>
        <v>-130511.34719011188</v>
      </c>
      <c r="E58" s="49">
        <f t="shared" si="1"/>
        <v>130511.34719011188</v>
      </c>
      <c r="F58">
        <f t="shared" si="2"/>
        <v>1.2777891373983241E-3</v>
      </c>
    </row>
    <row r="59" spans="1:6" x14ac:dyDescent="0.2">
      <c r="A59" s="2">
        <f>'Purchased Power Model'!A126</f>
        <v>38808</v>
      </c>
      <c r="B59" s="49">
        <f>'Purchased Power Model'!E126</f>
        <v>89654385.266301632</v>
      </c>
      <c r="C59" s="342">
        <f>'Purchased Power Model'!O126</f>
        <v>94878723.508240685</v>
      </c>
      <c r="D59" s="49">
        <f t="shared" si="0"/>
        <v>-5224338.2419390529</v>
      </c>
      <c r="E59" s="49">
        <f t="shared" si="1"/>
        <v>5224338.2419390529</v>
      </c>
      <c r="F59">
        <f t="shared" si="2"/>
        <v>5.8271976617999557E-2</v>
      </c>
    </row>
    <row r="60" spans="1:6" x14ac:dyDescent="0.2">
      <c r="A60" s="2">
        <f>'Purchased Power Model'!A127</f>
        <v>38838</v>
      </c>
      <c r="B60" s="49">
        <f>'Purchased Power Model'!E127</f>
        <v>96375370.83125934</v>
      </c>
      <c r="C60" s="342">
        <f>'Purchased Power Model'!O127</f>
        <v>99690366.238169536</v>
      </c>
      <c r="D60" s="49">
        <f t="shared" si="0"/>
        <v>-3314995.4069101959</v>
      </c>
      <c r="E60" s="49">
        <f t="shared" si="1"/>
        <v>3314995.4069101959</v>
      </c>
      <c r="F60">
        <f t="shared" si="2"/>
        <v>3.439670714953013E-2</v>
      </c>
    </row>
    <row r="61" spans="1:6" x14ac:dyDescent="0.2">
      <c r="A61" s="2">
        <f>'Purchased Power Model'!A128</f>
        <v>38869</v>
      </c>
      <c r="B61" s="49">
        <f>'Purchased Power Model'!E128</f>
        <v>106149795.91836734</v>
      </c>
      <c r="C61" s="342">
        <f>'Purchased Power Model'!O128</f>
        <v>106208823.41533495</v>
      </c>
      <c r="D61" s="49">
        <f t="shared" si="0"/>
        <v>-59027.496967613697</v>
      </c>
      <c r="E61" s="49">
        <f t="shared" si="1"/>
        <v>59027.496967613697</v>
      </c>
      <c r="F61">
        <f t="shared" si="2"/>
        <v>5.56077347647543E-4</v>
      </c>
    </row>
    <row r="62" spans="1:6" x14ac:dyDescent="0.2">
      <c r="A62" s="2">
        <f>'Purchased Power Model'!A129</f>
        <v>38899</v>
      </c>
      <c r="B62" s="49">
        <f>'Purchased Power Model'!E129</f>
        <v>129944897.95918369</v>
      </c>
      <c r="C62" s="342">
        <f>'Purchased Power Model'!O129</f>
        <v>128324395.1621916</v>
      </c>
      <c r="D62" s="49">
        <f t="shared" si="0"/>
        <v>1620502.7969920933</v>
      </c>
      <c r="E62" s="49">
        <f t="shared" si="1"/>
        <v>1620502.7969920933</v>
      </c>
      <c r="F62">
        <f t="shared" si="2"/>
        <v>1.2470691981312733E-2</v>
      </c>
    </row>
    <row r="63" spans="1:6" x14ac:dyDescent="0.2">
      <c r="A63" s="2">
        <f>'Purchased Power Model'!A130</f>
        <v>38930</v>
      </c>
      <c r="B63" s="49">
        <f>'Purchased Power Model'!E130</f>
        <v>120333539.07416625</v>
      </c>
      <c r="C63" s="342">
        <f>'Purchased Power Model'!O130</f>
        <v>116310045.17997676</v>
      </c>
      <c r="D63" s="49">
        <f t="shared" si="0"/>
        <v>4023493.8941894919</v>
      </c>
      <c r="E63" s="49">
        <f t="shared" si="1"/>
        <v>4023493.8941894919</v>
      </c>
      <c r="F63">
        <f t="shared" si="2"/>
        <v>3.3436180180071454E-2</v>
      </c>
    </row>
    <row r="64" spans="1:6" x14ac:dyDescent="0.2">
      <c r="A64" s="2">
        <f>'Purchased Power Model'!A131</f>
        <v>38961</v>
      </c>
      <c r="B64" s="49">
        <f>'Purchased Power Model'!E131</f>
        <v>95914534.594325542</v>
      </c>
      <c r="C64" s="342">
        <f>'Purchased Power Model'!O131</f>
        <v>92631095.871903792</v>
      </c>
      <c r="D64" s="49">
        <f t="shared" si="0"/>
        <v>3283438.7224217504</v>
      </c>
      <c r="E64" s="49">
        <f t="shared" si="1"/>
        <v>3283438.7224217504</v>
      </c>
      <c r="F64">
        <f t="shared" si="2"/>
        <v>3.4232963088536988E-2</v>
      </c>
    </row>
    <row r="65" spans="1:6" x14ac:dyDescent="0.2">
      <c r="A65" s="2">
        <f>'Purchased Power Model'!A132</f>
        <v>38991</v>
      </c>
      <c r="B65" s="49">
        <f>'Purchased Power Model'!E132</f>
        <v>99436286.709805876</v>
      </c>
      <c r="C65" s="342">
        <f>'Purchased Power Model'!O132</f>
        <v>96912110.997997448</v>
      </c>
      <c r="D65" s="49">
        <f t="shared" si="0"/>
        <v>2524175.7118084282</v>
      </c>
      <c r="E65" s="49">
        <f t="shared" si="1"/>
        <v>2524175.7118084282</v>
      </c>
      <c r="F65">
        <f t="shared" si="2"/>
        <v>2.5384854918958949E-2</v>
      </c>
    </row>
    <row r="66" spans="1:6" x14ac:dyDescent="0.2">
      <c r="A66" s="2">
        <f>'Purchased Power Model'!A133</f>
        <v>39022</v>
      </c>
      <c r="B66" s="49">
        <f>'Purchased Power Model'!E133</f>
        <v>98699342.956694871</v>
      </c>
      <c r="C66" s="342">
        <f>'Purchased Power Model'!O133</f>
        <v>96531055.718775928</v>
      </c>
      <c r="D66" s="49">
        <f t="shared" si="0"/>
        <v>2168287.2379189432</v>
      </c>
      <c r="E66" s="49">
        <f t="shared" si="1"/>
        <v>2168287.2379189432</v>
      </c>
      <c r="F66">
        <f t="shared" si="2"/>
        <v>2.1968608634712963E-2</v>
      </c>
    </row>
    <row r="67" spans="1:6" x14ac:dyDescent="0.2">
      <c r="A67" s="2">
        <f>'Purchased Power Model'!A134</f>
        <v>39052</v>
      </c>
      <c r="B67" s="49">
        <f>'Purchased Power Model'!E134</f>
        <v>106547506.22200099</v>
      </c>
      <c r="C67" s="342">
        <f>'Purchased Power Model'!O134</f>
        <v>107251526.63261832</v>
      </c>
      <c r="D67" s="49">
        <f t="shared" si="0"/>
        <v>-704020.41061733663</v>
      </c>
      <c r="E67" s="49">
        <f t="shared" si="1"/>
        <v>704020.41061733663</v>
      </c>
      <c r="F67">
        <f t="shared" si="2"/>
        <v>6.6075728619161573E-3</v>
      </c>
    </row>
    <row r="68" spans="1:6" x14ac:dyDescent="0.2">
      <c r="A68" s="2">
        <f>'Purchased Power Model'!A135</f>
        <v>39083</v>
      </c>
      <c r="B68" s="49">
        <f>'Purchased Power Model'!E135</f>
        <v>110076804.38028871</v>
      </c>
      <c r="C68" s="342">
        <f>'Purchased Power Model'!O135</f>
        <v>110275202.07533193</v>
      </c>
      <c r="D68" s="49">
        <f t="shared" si="0"/>
        <v>-198397.69504322112</v>
      </c>
      <c r="E68" s="49">
        <f t="shared" si="1"/>
        <v>198397.69504322112</v>
      </c>
      <c r="F68">
        <f t="shared" si="2"/>
        <v>1.802356964849789E-3</v>
      </c>
    </row>
    <row r="69" spans="1:6" x14ac:dyDescent="0.2">
      <c r="A69" s="2">
        <f>'Purchased Power Model'!A136</f>
        <v>39114</v>
      </c>
      <c r="B69" s="49">
        <f>'Purchased Power Model'!E136</f>
        <v>106214902.93678446</v>
      </c>
      <c r="C69" s="342">
        <f>'Purchased Power Model'!O136</f>
        <v>103464855.50388753</v>
      </c>
      <c r="D69" s="49">
        <f t="shared" si="0"/>
        <v>2750047.432896927</v>
      </c>
      <c r="E69" s="49">
        <f t="shared" si="1"/>
        <v>2750047.432896927</v>
      </c>
      <c r="F69">
        <f t="shared" si="2"/>
        <v>2.5891351937059742E-2</v>
      </c>
    </row>
    <row r="70" spans="1:6" x14ac:dyDescent="0.2">
      <c r="A70" s="2">
        <f>'Purchased Power Model'!A137</f>
        <v>39142</v>
      </c>
      <c r="B70" s="49">
        <f>'Purchased Power Model'!E137</f>
        <v>105901314.08661026</v>
      </c>
      <c r="C70" s="342">
        <f>'Purchased Power Model'!O137</f>
        <v>103718162.44075929</v>
      </c>
      <c r="D70" s="49">
        <f t="shared" si="0"/>
        <v>2183151.6458509713</v>
      </c>
      <c r="E70" s="49">
        <f t="shared" si="1"/>
        <v>2183151.6458509713</v>
      </c>
      <c r="F70">
        <f t="shared" si="2"/>
        <v>2.0614962757360161E-2</v>
      </c>
    </row>
    <row r="71" spans="1:6" x14ac:dyDescent="0.2">
      <c r="A71" s="2">
        <f>'Purchased Power Model'!A138</f>
        <v>39173</v>
      </c>
      <c r="B71" s="49">
        <f>'Purchased Power Model'!E138</f>
        <v>96871139.870582387</v>
      </c>
      <c r="C71" s="342">
        <f>'Purchased Power Model'!O138</f>
        <v>97175531.189508155</v>
      </c>
      <c r="D71" s="49">
        <f t="shared" si="0"/>
        <v>-304391.31892576814</v>
      </c>
      <c r="E71" s="49">
        <f t="shared" si="1"/>
        <v>304391.31892576814</v>
      </c>
      <c r="F71">
        <f t="shared" si="2"/>
        <v>3.1422291441230892E-3</v>
      </c>
    </row>
    <row r="72" spans="1:6" x14ac:dyDescent="0.2">
      <c r="A72" s="2">
        <f>'Purchased Power Model'!A139</f>
        <v>39203</v>
      </c>
      <c r="B72" s="49">
        <f>'Purchased Power Model'!E139</f>
        <v>96387834.743653566</v>
      </c>
      <c r="C72" s="342">
        <f>'Purchased Power Model'!O139</f>
        <v>97908860.093599111</v>
      </c>
      <c r="D72" s="49">
        <f t="shared" si="0"/>
        <v>-1521025.3499455452</v>
      </c>
      <c r="E72" s="49">
        <f t="shared" si="1"/>
        <v>1521025.3499455452</v>
      </c>
      <c r="F72">
        <f t="shared" si="2"/>
        <v>1.5780262664793324E-2</v>
      </c>
    </row>
    <row r="73" spans="1:6" x14ac:dyDescent="0.2">
      <c r="A73" s="2">
        <f>'Purchased Power Model'!A140</f>
        <v>39234</v>
      </c>
      <c r="B73" s="49">
        <f>'Purchased Power Model'!E140</f>
        <v>113036515.67944252</v>
      </c>
      <c r="C73" s="342">
        <f>'Purchased Power Model'!O140</f>
        <v>109805574.57794547</v>
      </c>
      <c r="D73" s="49">
        <f t="shared" ref="D73:D136" si="3">B73-C73</f>
        <v>3230941.1014970541</v>
      </c>
      <c r="E73" s="49">
        <f t="shared" ref="E73:E136" si="4">ABS(D73)</f>
        <v>3230941.1014970541</v>
      </c>
      <c r="F73">
        <f t="shared" ref="F73:F136" si="5">E73/B73</f>
        <v>2.8583162547752273E-2</v>
      </c>
    </row>
    <row r="74" spans="1:6" x14ac:dyDescent="0.2">
      <c r="A74" s="2">
        <f>'Purchased Power Model'!A141</f>
        <v>39264</v>
      </c>
      <c r="B74" s="49">
        <f>'Purchased Power Model'!E141</f>
        <v>116239482.32951717</v>
      </c>
      <c r="C74" s="342">
        <f>'Purchased Power Model'!O141</f>
        <v>117746649.26583219</v>
      </c>
      <c r="D74" s="49">
        <f t="shared" si="3"/>
        <v>-1507166.936315015</v>
      </c>
      <c r="E74" s="49">
        <f t="shared" si="4"/>
        <v>1507166.936315015</v>
      </c>
      <c r="F74">
        <f t="shared" si="5"/>
        <v>1.2966049969514479E-2</v>
      </c>
    </row>
    <row r="75" spans="1:6" x14ac:dyDescent="0.2">
      <c r="A75" s="2">
        <f>'Purchased Power Model'!A142</f>
        <v>39295</v>
      </c>
      <c r="B75" s="49">
        <f>'Purchased Power Model'!E142</f>
        <v>124879950.22399203</v>
      </c>
      <c r="C75" s="342">
        <f>'Purchased Power Model'!O142</f>
        <v>124368063.32154235</v>
      </c>
      <c r="D75" s="49">
        <f t="shared" si="3"/>
        <v>511886.90244968235</v>
      </c>
      <c r="E75" s="49">
        <f t="shared" si="4"/>
        <v>511886.90244968235</v>
      </c>
      <c r="F75">
        <f t="shared" si="5"/>
        <v>4.0990319225106342E-3</v>
      </c>
    </row>
    <row r="76" spans="1:6" x14ac:dyDescent="0.2">
      <c r="A76" s="2">
        <f>'Purchased Power Model'!A143</f>
        <v>39326</v>
      </c>
      <c r="B76" s="49">
        <f>'Purchased Power Model'!E143</f>
        <v>104023175.70930812</v>
      </c>
      <c r="C76" s="342">
        <f>'Purchased Power Model'!O143</f>
        <v>99671729.017975658</v>
      </c>
      <c r="D76" s="49">
        <f t="shared" si="3"/>
        <v>4351446.6913324594</v>
      </c>
      <c r="E76" s="49">
        <f t="shared" si="4"/>
        <v>4351446.6913324594</v>
      </c>
      <c r="F76">
        <f t="shared" si="5"/>
        <v>4.1831511695937261E-2</v>
      </c>
    </row>
    <row r="77" spans="1:6" x14ac:dyDescent="0.2">
      <c r="A77" s="2">
        <f>'Purchased Power Model'!A144</f>
        <v>39356</v>
      </c>
      <c r="B77" s="49">
        <f>'Purchased Power Model'!E144</f>
        <v>99226202.09059234</v>
      </c>
      <c r="C77" s="342">
        <f>'Purchased Power Model'!O144</f>
        <v>98044554.119698405</v>
      </c>
      <c r="D77" s="49">
        <f t="shared" si="3"/>
        <v>1181647.9708939344</v>
      </c>
      <c r="E77" s="49">
        <f t="shared" si="4"/>
        <v>1181647.9708939344</v>
      </c>
      <c r="F77">
        <f t="shared" si="5"/>
        <v>1.190862842674462E-2</v>
      </c>
    </row>
    <row r="78" spans="1:6" x14ac:dyDescent="0.2">
      <c r="A78" s="2">
        <f>'Purchased Power Model'!A145</f>
        <v>39387</v>
      </c>
      <c r="B78" s="49">
        <f>'Purchased Power Model'!E145</f>
        <v>100079143.85266301</v>
      </c>
      <c r="C78" s="342">
        <f>'Purchased Power Model'!O145</f>
        <v>97850023.652509376</v>
      </c>
      <c r="D78" s="49">
        <f t="shared" si="3"/>
        <v>2229120.200153634</v>
      </c>
      <c r="E78" s="49">
        <f t="shared" si="4"/>
        <v>2229120.200153634</v>
      </c>
      <c r="F78">
        <f t="shared" si="5"/>
        <v>2.2273573837075938E-2</v>
      </c>
    </row>
    <row r="79" spans="1:6" x14ac:dyDescent="0.2">
      <c r="A79" s="2">
        <f>'Purchased Power Model'!A146</f>
        <v>39417</v>
      </c>
      <c r="B79" s="49">
        <f>'Purchased Power Model'!E146</f>
        <v>110979900.44798407</v>
      </c>
      <c r="C79" s="342">
        <f>'Purchased Power Model'!O146</f>
        <v>110348651.00558858</v>
      </c>
      <c r="D79" s="49">
        <f t="shared" si="3"/>
        <v>631249.44239549339</v>
      </c>
      <c r="E79" s="49">
        <f t="shared" si="4"/>
        <v>631249.44239549339</v>
      </c>
      <c r="F79">
        <f t="shared" si="5"/>
        <v>5.6879618728019853E-3</v>
      </c>
    </row>
    <row r="80" spans="1:6" x14ac:dyDescent="0.2">
      <c r="A80" s="2">
        <f>'Purchased Power Model'!A147</f>
        <v>39448</v>
      </c>
      <c r="B80" s="49">
        <f>'Purchased Power Model'!E147</f>
        <v>109510858.76302473</v>
      </c>
      <c r="C80" s="342">
        <f>'Purchased Power Model'!O147</f>
        <v>110253961.79891843</v>
      </c>
      <c r="D80" s="49">
        <f t="shared" si="3"/>
        <v>-743103.03589369357</v>
      </c>
      <c r="E80" s="49">
        <f t="shared" si="4"/>
        <v>743103.03589369357</v>
      </c>
      <c r="F80">
        <f t="shared" si="5"/>
        <v>6.7856561832076055E-3</v>
      </c>
    </row>
    <row r="81" spans="1:6" x14ac:dyDescent="0.2">
      <c r="A81" s="2">
        <f>'Purchased Power Model'!A148</f>
        <v>39479</v>
      </c>
      <c r="B81" s="49">
        <f>'Purchased Power Model'!E148</f>
        <v>104696662.64555334</v>
      </c>
      <c r="C81" s="342">
        <f>'Purchased Power Model'!O148</f>
        <v>105268500.65911713</v>
      </c>
      <c r="D81" s="49">
        <f t="shared" si="3"/>
        <v>-571838.01356379688</v>
      </c>
      <c r="E81" s="49">
        <f t="shared" si="4"/>
        <v>571838.01356379688</v>
      </c>
      <c r="F81">
        <f t="shared" si="5"/>
        <v>5.4618552216868007E-3</v>
      </c>
    </row>
    <row r="82" spans="1:6" x14ac:dyDescent="0.2">
      <c r="A82" s="2">
        <f>'Purchased Power Model'!A149</f>
        <v>39508</v>
      </c>
      <c r="B82" s="49">
        <f>'Purchased Power Model'!E149</f>
        <v>105342396.84167081</v>
      </c>
      <c r="C82" s="342">
        <f>'Purchased Power Model'!O149</f>
        <v>104701766.25565165</v>
      </c>
      <c r="D82" s="49">
        <f t="shared" si="3"/>
        <v>640630.58601915836</v>
      </c>
      <c r="E82" s="49">
        <f t="shared" si="4"/>
        <v>640630.58601915836</v>
      </c>
      <c r="F82">
        <f t="shared" si="5"/>
        <v>6.0814126621973816E-3</v>
      </c>
    </row>
    <row r="83" spans="1:6" x14ac:dyDescent="0.2">
      <c r="A83" s="2">
        <f>'Purchased Power Model'!A150</f>
        <v>39539</v>
      </c>
      <c r="B83" s="49">
        <f>'Purchased Power Model'!E150</f>
        <v>86729773.646051109</v>
      </c>
      <c r="C83" s="342">
        <f>'Purchased Power Model'!O150</f>
        <v>95971708.380676791</v>
      </c>
      <c r="D83" s="49">
        <f t="shared" si="3"/>
        <v>-9241934.7346256822</v>
      </c>
      <c r="E83" s="49">
        <f t="shared" si="4"/>
        <v>9241934.7346256822</v>
      </c>
      <c r="F83">
        <f t="shared" si="5"/>
        <v>0.10656011593368751</v>
      </c>
    </row>
    <row r="84" spans="1:6" x14ac:dyDescent="0.2">
      <c r="A84" s="2">
        <f>'Purchased Power Model'!A151</f>
        <v>39569</v>
      </c>
      <c r="B84" s="49">
        <f>'Purchased Power Model'!E151</f>
        <v>95591326.657499582</v>
      </c>
      <c r="C84" s="342">
        <f>'Purchased Power Model'!O151</f>
        <v>96275701.56160225</v>
      </c>
      <c r="D84" s="49">
        <f t="shared" si="3"/>
        <v>-684374.90410266817</v>
      </c>
      <c r="E84" s="49">
        <f t="shared" si="4"/>
        <v>684374.90410266817</v>
      </c>
      <c r="F84">
        <f t="shared" si="5"/>
        <v>7.1593828439557054E-3</v>
      </c>
    </row>
    <row r="85" spans="1:6" x14ac:dyDescent="0.2">
      <c r="A85" s="2">
        <f>'Purchased Power Model'!A152</f>
        <v>39600</v>
      </c>
      <c r="B85" s="49">
        <f>'Purchased Power Model'!E152</f>
        <v>106359071.80433881</v>
      </c>
      <c r="C85" s="342">
        <f>'Purchased Power Model'!O152</f>
        <v>106705484.411017</v>
      </c>
      <c r="D85" s="49">
        <f t="shared" si="3"/>
        <v>-346412.60667818785</v>
      </c>
      <c r="E85" s="49">
        <f t="shared" si="4"/>
        <v>346412.60667818785</v>
      </c>
      <c r="F85">
        <f t="shared" si="5"/>
        <v>3.2570104345725991E-3</v>
      </c>
    </row>
    <row r="86" spans="1:6" x14ac:dyDescent="0.2">
      <c r="A86" s="2">
        <f>'Purchased Power Model'!A153</f>
        <v>39630</v>
      </c>
      <c r="B86" s="49">
        <f>'Purchased Power Model'!E153</f>
        <v>120281441.14231789</v>
      </c>
      <c r="C86" s="342">
        <f>'Purchased Power Model'!O153</f>
        <v>119080722.90132254</v>
      </c>
      <c r="D86" s="49">
        <f t="shared" si="3"/>
        <v>1200718.2409953475</v>
      </c>
      <c r="E86" s="49">
        <f t="shared" si="4"/>
        <v>1200718.2409953475</v>
      </c>
      <c r="F86">
        <f t="shared" si="5"/>
        <v>9.9825727858934513E-3</v>
      </c>
    </row>
    <row r="87" spans="1:6" x14ac:dyDescent="0.2">
      <c r="A87" s="2">
        <f>'Purchased Power Model'!A154</f>
        <v>39661</v>
      </c>
      <c r="B87" s="49">
        <f>'Purchased Power Model'!E154</f>
        <v>112894870.70926663</v>
      </c>
      <c r="C87" s="342">
        <f>'Purchased Power Model'!O154</f>
        <v>113464429.8620875</v>
      </c>
      <c r="D87" s="49">
        <f t="shared" si="3"/>
        <v>-569559.15282087028</v>
      </c>
      <c r="E87" s="49">
        <f t="shared" si="4"/>
        <v>569559.15282087028</v>
      </c>
      <c r="F87">
        <f t="shared" si="5"/>
        <v>5.0450401266469566E-3</v>
      </c>
    </row>
    <row r="88" spans="1:6" x14ac:dyDescent="0.2">
      <c r="A88" s="2">
        <f>'Purchased Power Model'!A155</f>
        <v>39692</v>
      </c>
      <c r="B88" s="49">
        <f>'Purchased Power Model'!E155</f>
        <v>101394552.14281566</v>
      </c>
      <c r="C88" s="342">
        <f>'Purchased Power Model'!O155</f>
        <v>97273033.628023982</v>
      </c>
      <c r="D88" s="49">
        <f t="shared" si="3"/>
        <v>4121518.5147916824</v>
      </c>
      <c r="E88" s="49">
        <f t="shared" si="4"/>
        <v>4121518.5147916824</v>
      </c>
      <c r="F88">
        <f t="shared" si="5"/>
        <v>4.0648323087284464E-2</v>
      </c>
    </row>
    <row r="89" spans="1:6" x14ac:dyDescent="0.2">
      <c r="A89" s="2">
        <f>'Purchased Power Model'!A156</f>
        <v>39722</v>
      </c>
      <c r="B89" s="49">
        <f>'Purchased Power Model'!E156</f>
        <v>95461112.620665342</v>
      </c>
      <c r="C89" s="342">
        <f>'Purchased Power Model'!O156</f>
        <v>96640056.908691689</v>
      </c>
      <c r="D89" s="49">
        <f t="shared" si="3"/>
        <v>-1178944.2880263478</v>
      </c>
      <c r="E89" s="49">
        <f t="shared" si="4"/>
        <v>1178944.2880263478</v>
      </c>
      <c r="F89">
        <f t="shared" si="5"/>
        <v>1.2349995256300112E-2</v>
      </c>
    </row>
    <row r="90" spans="1:6" x14ac:dyDescent="0.2">
      <c r="A90" s="2">
        <f>'Purchased Power Model'!A157</f>
        <v>39753</v>
      </c>
      <c r="B90" s="49">
        <f>'Purchased Power Model'!E157</f>
        <v>97537060.853617057</v>
      </c>
      <c r="C90" s="342">
        <f>'Purchased Power Model'!O157</f>
        <v>98679079.939147785</v>
      </c>
      <c r="D90" s="49">
        <f t="shared" si="3"/>
        <v>-1142019.0855307281</v>
      </c>
      <c r="E90" s="49">
        <f t="shared" si="4"/>
        <v>1142019.0855307281</v>
      </c>
      <c r="F90">
        <f t="shared" si="5"/>
        <v>1.1708565703498718E-2</v>
      </c>
    </row>
    <row r="91" spans="1:6" x14ac:dyDescent="0.2">
      <c r="A91" s="2">
        <f>'Purchased Power Model'!A158</f>
        <v>39783</v>
      </c>
      <c r="B91" s="49">
        <f>'Purchased Power Model'!E158</f>
        <v>111556941.39119795</v>
      </c>
      <c r="C91" s="342">
        <f>'Purchased Power Model'!O158</f>
        <v>111528921.55257566</v>
      </c>
      <c r="D91" s="49">
        <f t="shared" si="3"/>
        <v>28019.838622286916</v>
      </c>
      <c r="E91" s="49">
        <f t="shared" si="4"/>
        <v>28019.838622286916</v>
      </c>
      <c r="F91">
        <f t="shared" si="5"/>
        <v>2.5117073194064584E-4</v>
      </c>
    </row>
    <row r="92" spans="1:6" x14ac:dyDescent="0.2">
      <c r="A92" s="2">
        <f>'Purchased Power Model'!A159</f>
        <v>39814</v>
      </c>
      <c r="B92" s="49">
        <f>'Purchased Power Model'!E159</f>
        <v>117644798.53857641</v>
      </c>
      <c r="C92" s="342">
        <f>'Purchased Power Model'!O159</f>
        <v>113852700.97510418</v>
      </c>
      <c r="D92" s="49">
        <f t="shared" si="3"/>
        <v>3792097.5634722263</v>
      </c>
      <c r="E92" s="49">
        <f t="shared" si="4"/>
        <v>3792097.5634722263</v>
      </c>
      <c r="F92">
        <f t="shared" si="5"/>
        <v>3.2233448572133644E-2</v>
      </c>
    </row>
    <row r="93" spans="1:6" x14ac:dyDescent="0.2">
      <c r="A93" s="2">
        <f>'Purchased Power Model'!A160</f>
        <v>39845</v>
      </c>
      <c r="B93" s="49">
        <f>'Purchased Power Model'!E160</f>
        <v>97575928.4539572</v>
      </c>
      <c r="C93" s="342">
        <f>'Purchased Power Model'!O160</f>
        <v>100444295.66253255</v>
      </c>
      <c r="D93" s="49">
        <f t="shared" si="3"/>
        <v>-2868367.208575353</v>
      </c>
      <c r="E93" s="49">
        <f t="shared" si="4"/>
        <v>2868367.208575353</v>
      </c>
      <c r="F93">
        <f t="shared" si="5"/>
        <v>2.9396258421756541E-2</v>
      </c>
    </row>
    <row r="94" spans="1:6" x14ac:dyDescent="0.2">
      <c r="A94" s="2">
        <f>'Purchased Power Model'!A161</f>
        <v>39873</v>
      </c>
      <c r="B94" s="49">
        <f>'Purchased Power Model'!E161</f>
        <v>101971896.59731211</v>
      </c>
      <c r="C94" s="342">
        <f>'Purchased Power Model'!O161</f>
        <v>103192823.64610587</v>
      </c>
      <c r="D94" s="49">
        <f t="shared" si="3"/>
        <v>-1220927.0487937629</v>
      </c>
      <c r="E94" s="49">
        <f t="shared" si="4"/>
        <v>1220927.0487937629</v>
      </c>
      <c r="F94">
        <f t="shared" si="5"/>
        <v>1.197317191829053E-2</v>
      </c>
    </row>
    <row r="95" spans="1:6" x14ac:dyDescent="0.2">
      <c r="A95" s="2">
        <f>'Purchased Power Model'!A162</f>
        <v>39904</v>
      </c>
      <c r="B95" s="49">
        <f>'Purchased Power Model'!E162</f>
        <v>92172702.968641117</v>
      </c>
      <c r="C95" s="342">
        <f>'Purchased Power Model'!O162</f>
        <v>95486143.882327318</v>
      </c>
      <c r="D95" s="49">
        <f t="shared" si="3"/>
        <v>-3313440.913686201</v>
      </c>
      <c r="E95" s="49">
        <f t="shared" si="4"/>
        <v>3313440.913686201</v>
      </c>
      <c r="F95">
        <f t="shared" si="5"/>
        <v>3.5948179959673046E-2</v>
      </c>
    </row>
    <row r="96" spans="1:6" x14ac:dyDescent="0.2">
      <c r="A96" s="2">
        <f>'Purchased Power Model'!A163</f>
        <v>39934</v>
      </c>
      <c r="B96" s="49">
        <f>'Purchased Power Model'!E163</f>
        <v>90679049.026764169</v>
      </c>
      <c r="C96" s="342">
        <f>'Purchased Power Model'!O163</f>
        <v>95160358.825589716</v>
      </c>
      <c r="D96" s="49">
        <f t="shared" si="3"/>
        <v>-4481309.7988255471</v>
      </c>
      <c r="E96" s="49">
        <f t="shared" si="4"/>
        <v>4481309.7988255471</v>
      </c>
      <c r="F96">
        <f t="shared" si="5"/>
        <v>4.9419461793240423E-2</v>
      </c>
    </row>
    <row r="97" spans="1:6" x14ac:dyDescent="0.2">
      <c r="A97" s="2">
        <f>'Purchased Power Model'!A164</f>
        <v>39965</v>
      </c>
      <c r="B97" s="49">
        <f>'Purchased Power Model'!E164</f>
        <v>97810557.239805505</v>
      </c>
      <c r="C97" s="342">
        <f>'Purchased Power Model'!O164</f>
        <v>100756077.50202982</v>
      </c>
      <c r="D97" s="49">
        <f t="shared" si="3"/>
        <v>-2945520.2622243166</v>
      </c>
      <c r="E97" s="49">
        <f t="shared" si="4"/>
        <v>2945520.2622243166</v>
      </c>
      <c r="F97">
        <f t="shared" si="5"/>
        <v>3.0114543310521005E-2</v>
      </c>
    </row>
    <row r="98" spans="1:6" x14ac:dyDescent="0.2">
      <c r="A98" s="2">
        <f>'Purchased Power Model'!A165</f>
        <v>39995</v>
      </c>
      <c r="B98" s="49">
        <f>'Purchased Power Model'!E165</f>
        <v>106317705.84033389</v>
      </c>
      <c r="C98" s="342">
        <f>'Purchased Power Model'!O165</f>
        <v>106505760.43229133</v>
      </c>
      <c r="D98" s="49">
        <f t="shared" si="3"/>
        <v>-188054.59195743501</v>
      </c>
      <c r="E98" s="49">
        <f t="shared" si="4"/>
        <v>188054.59195743501</v>
      </c>
      <c r="F98">
        <f t="shared" si="5"/>
        <v>1.7687984373915308E-3</v>
      </c>
    </row>
    <row r="99" spans="1:6" x14ac:dyDescent="0.2">
      <c r="A99" s="2">
        <f>'Purchased Power Model'!A166</f>
        <v>40026</v>
      </c>
      <c r="B99" s="49">
        <f>'Purchased Power Model'!E166</f>
        <v>118314175.57269213</v>
      </c>
      <c r="C99" s="342">
        <f>'Purchased Power Model'!O166</f>
        <v>118315787.93419781</v>
      </c>
      <c r="D99" s="49">
        <f t="shared" si="3"/>
        <v>-1612.3615056872368</v>
      </c>
      <c r="E99" s="49">
        <f t="shared" si="4"/>
        <v>1612.3615056872368</v>
      </c>
      <c r="F99">
        <f t="shared" si="5"/>
        <v>1.3627796482397016E-5</v>
      </c>
    </row>
    <row r="100" spans="1:6" x14ac:dyDescent="0.2">
      <c r="A100" s="2">
        <f>'Purchased Power Model'!A167</f>
        <v>40057</v>
      </c>
      <c r="B100" s="49">
        <f>'Purchased Power Model'!E167</f>
        <v>96760283.471761703</v>
      </c>
      <c r="C100" s="342">
        <f>'Purchased Power Model'!O167</f>
        <v>93732912.337245435</v>
      </c>
      <c r="D100" s="49">
        <f t="shared" si="3"/>
        <v>3027371.134516269</v>
      </c>
      <c r="E100" s="49">
        <f t="shared" si="4"/>
        <v>3027371.134516269</v>
      </c>
      <c r="F100">
        <f t="shared" si="5"/>
        <v>3.128733221828324E-2</v>
      </c>
    </row>
    <row r="101" spans="1:6" x14ac:dyDescent="0.2">
      <c r="A101" s="2">
        <f>'Purchased Power Model'!A168</f>
        <v>40087</v>
      </c>
      <c r="B101" s="49">
        <f>'Purchased Power Model'!E168</f>
        <v>93898385.091396421</v>
      </c>
      <c r="C101" s="342">
        <f>'Purchased Power Model'!O168</f>
        <v>95507076.678941637</v>
      </c>
      <c r="D101" s="49">
        <f t="shared" si="3"/>
        <v>-1608691.5875452161</v>
      </c>
      <c r="E101" s="49">
        <f t="shared" si="4"/>
        <v>1608691.5875452161</v>
      </c>
      <c r="F101">
        <f t="shared" si="5"/>
        <v>1.7132260432161733E-2</v>
      </c>
    </row>
    <row r="102" spans="1:6" x14ac:dyDescent="0.2">
      <c r="A102" s="2">
        <f>'Purchased Power Model'!A169</f>
        <v>40118</v>
      </c>
      <c r="B102" s="49">
        <f>'Purchased Power Model'!E169</f>
        <v>93733128.744955406</v>
      </c>
      <c r="C102" s="342">
        <f>'Purchased Power Model'!O169</f>
        <v>94267883.786097929</v>
      </c>
      <c r="D102" s="49">
        <f t="shared" si="3"/>
        <v>-534755.04114252329</v>
      </c>
      <c r="E102" s="49">
        <f t="shared" si="4"/>
        <v>534755.04114252329</v>
      </c>
      <c r="F102">
        <f t="shared" si="5"/>
        <v>5.7050804587732602E-3</v>
      </c>
    </row>
    <row r="103" spans="1:6" x14ac:dyDescent="0.2">
      <c r="A103" s="2">
        <f>'Purchased Power Model'!A170</f>
        <v>40148</v>
      </c>
      <c r="B103" s="49">
        <f>'Purchased Power Model'!E170</f>
        <v>109929207.92709731</v>
      </c>
      <c r="C103" s="342">
        <f>'Purchased Power Model'!O170</f>
        <v>108177263.62577888</v>
      </c>
      <c r="D103" s="49">
        <f t="shared" si="3"/>
        <v>1751944.301318422</v>
      </c>
      <c r="E103" s="49">
        <f t="shared" si="4"/>
        <v>1751944.301318422</v>
      </c>
      <c r="F103">
        <f t="shared" si="5"/>
        <v>1.5937022874578283E-2</v>
      </c>
    </row>
    <row r="104" spans="1:6" x14ac:dyDescent="0.2">
      <c r="A104" s="2">
        <f>'Purchased Power Model'!A171</f>
        <v>40179</v>
      </c>
      <c r="B104" s="49">
        <f>'Purchased Power Model'!E171</f>
        <v>112728743.41792473</v>
      </c>
      <c r="C104" s="342">
        <f>'Purchased Power Model'!O171</f>
        <v>110264005.77846834</v>
      </c>
      <c r="D104" s="49">
        <f t="shared" si="3"/>
        <v>2464737.6394563913</v>
      </c>
      <c r="E104" s="49">
        <f t="shared" si="4"/>
        <v>2464737.6394563913</v>
      </c>
      <c r="F104">
        <f t="shared" si="5"/>
        <v>2.186432284017174E-2</v>
      </c>
    </row>
    <row r="105" spans="1:6" x14ac:dyDescent="0.2">
      <c r="A105" s="2">
        <f>'Purchased Power Model'!A172</f>
        <v>40210</v>
      </c>
      <c r="B105" s="49">
        <f>'Purchased Power Model'!E172</f>
        <v>99258445.311021179</v>
      </c>
      <c r="C105" s="342">
        <f>'Purchased Power Model'!O172</f>
        <v>99172103.133293152</v>
      </c>
      <c r="D105" s="49">
        <f t="shared" si="3"/>
        <v>86342.177728027105</v>
      </c>
      <c r="E105" s="49">
        <f t="shared" si="4"/>
        <v>86342.177728027105</v>
      </c>
      <c r="F105">
        <f t="shared" si="5"/>
        <v>8.6987235652823678E-4</v>
      </c>
    </row>
    <row r="106" spans="1:6" x14ac:dyDescent="0.2">
      <c r="A106" s="2">
        <f>'Purchased Power Model'!A173</f>
        <v>40238</v>
      </c>
      <c r="B106" s="49">
        <f>'Purchased Power Model'!E173</f>
        <v>100040210.32377149</v>
      </c>
      <c r="C106" s="342">
        <f>'Purchased Power Model'!O173</f>
        <v>100139888.51418358</v>
      </c>
      <c r="D106" s="49">
        <f t="shared" si="3"/>
        <v>-99678.190412089229</v>
      </c>
      <c r="E106" s="49">
        <f t="shared" si="4"/>
        <v>99678.190412089229</v>
      </c>
      <c r="F106">
        <f t="shared" si="5"/>
        <v>9.963812559918594E-4</v>
      </c>
    </row>
    <row r="107" spans="1:6" x14ac:dyDescent="0.2">
      <c r="A107" s="2">
        <f>'Purchased Power Model'!A174</f>
        <v>40269</v>
      </c>
      <c r="B107" s="49">
        <f>'Purchased Power Model'!E174</f>
        <v>89357236.069339499</v>
      </c>
      <c r="C107" s="342">
        <f>'Purchased Power Model'!O174</f>
        <v>93034421.826622888</v>
      </c>
      <c r="D107" s="49">
        <f t="shared" si="3"/>
        <v>-3677185.7572833896</v>
      </c>
      <c r="E107" s="49">
        <f t="shared" si="4"/>
        <v>3677185.7572833896</v>
      </c>
      <c r="F107">
        <f t="shared" si="5"/>
        <v>4.1151516307307942E-2</v>
      </c>
    </row>
    <row r="108" spans="1:6" x14ac:dyDescent="0.2">
      <c r="A108" s="2">
        <f>'Purchased Power Model'!A175</f>
        <v>40299</v>
      </c>
      <c r="B108" s="49">
        <f>'Purchased Power Model'!E175</f>
        <v>98050856.146951795</v>
      </c>
      <c r="C108" s="342">
        <f>'Purchased Power Model'!O175</f>
        <v>97464069.43806012</v>
      </c>
      <c r="D108" s="49">
        <f t="shared" si="3"/>
        <v>586786.70889167488</v>
      </c>
      <c r="E108" s="49">
        <f t="shared" si="4"/>
        <v>586786.70889167488</v>
      </c>
      <c r="F108">
        <f t="shared" si="5"/>
        <v>5.9845138732112632E-3</v>
      </c>
    </row>
    <row r="109" spans="1:6" x14ac:dyDescent="0.2">
      <c r="A109" s="2">
        <f>'Purchased Power Model'!A176</f>
        <v>40330</v>
      </c>
      <c r="B109" s="49">
        <f>'Purchased Power Model'!E176</f>
        <v>106969130.23926716</v>
      </c>
      <c r="C109" s="342">
        <f>'Purchased Power Model'!O176</f>
        <v>104483413.43148695</v>
      </c>
      <c r="D109" s="49">
        <f t="shared" si="3"/>
        <v>2485716.8077802062</v>
      </c>
      <c r="E109" s="49">
        <f t="shared" si="4"/>
        <v>2485716.8077802062</v>
      </c>
      <c r="F109">
        <f t="shared" si="5"/>
        <v>2.3237702337302241E-2</v>
      </c>
    </row>
    <row r="110" spans="1:6" x14ac:dyDescent="0.2">
      <c r="A110" s="2">
        <f>'Purchased Power Model'!A177</f>
        <v>40360</v>
      </c>
      <c r="B110" s="49">
        <f>'Purchased Power Model'!E177</f>
        <v>130192001.11915383</v>
      </c>
      <c r="C110" s="342">
        <f>'Purchased Power Model'!O177</f>
        <v>129149267.18744504</v>
      </c>
      <c r="D110" s="49">
        <f t="shared" si="3"/>
        <v>1042733.9317087829</v>
      </c>
      <c r="E110" s="49">
        <f t="shared" si="4"/>
        <v>1042733.9317087829</v>
      </c>
      <c r="F110">
        <f t="shared" si="5"/>
        <v>8.0092012008821951E-3</v>
      </c>
    </row>
    <row r="111" spans="1:6" x14ac:dyDescent="0.2">
      <c r="A111" s="2">
        <f>'Purchased Power Model'!A178</f>
        <v>40391</v>
      </c>
      <c r="B111" s="49">
        <f>'Purchased Power Model'!E178</f>
        <v>125435396.10659494</v>
      </c>
      <c r="C111" s="342">
        <f>'Purchased Power Model'!O178</f>
        <v>123698999.63435405</v>
      </c>
      <c r="D111" s="49">
        <f t="shared" si="3"/>
        <v>1736396.4722408801</v>
      </c>
      <c r="E111" s="49">
        <f t="shared" si="4"/>
        <v>1736396.4722408801</v>
      </c>
      <c r="F111">
        <f t="shared" si="5"/>
        <v>1.3842954430225511E-2</v>
      </c>
    </row>
    <row r="112" spans="1:6" x14ac:dyDescent="0.2">
      <c r="A112" s="2">
        <f>'Purchased Power Model'!A179</f>
        <v>40422</v>
      </c>
      <c r="B112" s="49">
        <f>'Purchased Power Model'!E179</f>
        <v>99514707.287588164</v>
      </c>
      <c r="C112" s="342">
        <f>'Purchased Power Model'!O179</f>
        <v>96661149.281536475</v>
      </c>
      <c r="D112" s="49">
        <f t="shared" si="3"/>
        <v>2853558.0060516894</v>
      </c>
      <c r="E112" s="49">
        <f t="shared" si="4"/>
        <v>2853558.0060516894</v>
      </c>
      <c r="F112">
        <f t="shared" si="5"/>
        <v>2.867473646689403E-2</v>
      </c>
    </row>
    <row r="113" spans="1:6" x14ac:dyDescent="0.2">
      <c r="A113" s="2">
        <f>'Purchased Power Model'!A180</f>
        <v>40452</v>
      </c>
      <c r="B113" s="49">
        <f>'Purchased Power Model'!E180</f>
        <v>94152765.44334878</v>
      </c>
      <c r="C113" s="342">
        <f>'Purchased Power Model'!O180</f>
        <v>95951706.934221953</v>
      </c>
      <c r="D113" s="49">
        <f t="shared" si="3"/>
        <v>-1798941.4908731729</v>
      </c>
      <c r="E113" s="49">
        <f t="shared" si="4"/>
        <v>1798941.4908731729</v>
      </c>
      <c r="F113">
        <f t="shared" si="5"/>
        <v>1.9106624031724129E-2</v>
      </c>
    </row>
    <row r="114" spans="1:6" x14ac:dyDescent="0.2">
      <c r="A114" s="2">
        <f>'Purchased Power Model'!A181</f>
        <v>40483</v>
      </c>
      <c r="B114" s="49">
        <f>'Purchased Power Model'!E181</f>
        <v>97120412.208099708</v>
      </c>
      <c r="C114" s="342">
        <f>'Purchased Power Model'!O181</f>
        <v>96082427.680243686</v>
      </c>
      <c r="D114" s="49">
        <f t="shared" si="3"/>
        <v>1037984.5278560221</v>
      </c>
      <c r="E114" s="49">
        <f t="shared" si="4"/>
        <v>1037984.5278560221</v>
      </c>
      <c r="F114">
        <f t="shared" si="5"/>
        <v>1.0687604225072015E-2</v>
      </c>
    </row>
    <row r="115" spans="1:6" x14ac:dyDescent="0.2">
      <c r="A115" s="2">
        <f>'Purchased Power Model'!A182</f>
        <v>40513</v>
      </c>
      <c r="B115" s="49">
        <f>'Purchased Power Model'!E182</f>
        <v>111894733.27617797</v>
      </c>
      <c r="C115" s="342">
        <f>'Purchased Power Model'!O182</f>
        <v>110349419.76277205</v>
      </c>
      <c r="D115" s="49">
        <f t="shared" si="3"/>
        <v>1545313.5134059191</v>
      </c>
      <c r="E115" s="49">
        <f t="shared" si="4"/>
        <v>1545313.5134059191</v>
      </c>
      <c r="F115">
        <f t="shared" si="5"/>
        <v>1.3810422243840419E-2</v>
      </c>
    </row>
    <row r="116" spans="1:6" x14ac:dyDescent="0.2">
      <c r="A116" s="2">
        <f>'Purchased Power Model'!A183</f>
        <v>40544</v>
      </c>
      <c r="B116" s="49">
        <f>'Purchased Power Model'!E183</f>
        <v>113829885.14897905</v>
      </c>
      <c r="C116" s="342">
        <f>'Purchased Power Model'!O183</f>
        <v>112321926.22678739</v>
      </c>
      <c r="D116" s="49">
        <f t="shared" si="3"/>
        <v>1507958.9221916646</v>
      </c>
      <c r="E116" s="49">
        <f t="shared" si="4"/>
        <v>1507958.9221916646</v>
      </c>
      <c r="F116">
        <f t="shared" si="5"/>
        <v>1.3247478201511561E-2</v>
      </c>
    </row>
    <row r="117" spans="1:6" x14ac:dyDescent="0.2">
      <c r="A117" s="2">
        <f>'Purchased Power Model'!A184</f>
        <v>40575</v>
      </c>
      <c r="B117" s="49">
        <f>'Purchased Power Model'!E184</f>
        <v>102120252.30087246</v>
      </c>
      <c r="C117" s="342">
        <f>'Purchased Power Model'!O184</f>
        <v>101177386.04197714</v>
      </c>
      <c r="D117" s="49">
        <f t="shared" si="3"/>
        <v>942866.25889532268</v>
      </c>
      <c r="E117" s="49">
        <f t="shared" si="4"/>
        <v>942866.25889532268</v>
      </c>
      <c r="F117">
        <f t="shared" si="5"/>
        <v>9.2329017765976212E-3</v>
      </c>
    </row>
    <row r="118" spans="1:6" x14ac:dyDescent="0.2">
      <c r="A118" s="2">
        <f>'Purchased Power Model'!A185</f>
        <v>40603</v>
      </c>
      <c r="B118" s="49">
        <f>'Purchased Power Model'!E185</f>
        <v>106849782.5853615</v>
      </c>
      <c r="C118" s="342">
        <f>'Purchased Power Model'!O185</f>
        <v>103563676.24494588</v>
      </c>
      <c r="D118" s="49">
        <f t="shared" si="3"/>
        <v>3286106.3404156119</v>
      </c>
      <c r="E118" s="49">
        <f t="shared" si="4"/>
        <v>3286106.3404156119</v>
      </c>
      <c r="F118">
        <f t="shared" si="5"/>
        <v>3.0754450415379796E-2</v>
      </c>
    </row>
    <row r="119" spans="1:6" x14ac:dyDescent="0.2">
      <c r="A119" s="2">
        <f>'Purchased Power Model'!A186</f>
        <v>40634</v>
      </c>
      <c r="B119" s="49">
        <f>'Purchased Power Model'!E186</f>
        <v>94087029.297043547</v>
      </c>
      <c r="C119" s="342">
        <f>'Purchased Power Model'!O186</f>
        <v>96272661.187070355</v>
      </c>
      <c r="D119" s="49">
        <f t="shared" si="3"/>
        <v>-2185631.8900268078</v>
      </c>
      <c r="E119" s="49">
        <f t="shared" si="4"/>
        <v>2185631.8900268078</v>
      </c>
      <c r="F119">
        <f t="shared" si="5"/>
        <v>2.3229895835338972E-2</v>
      </c>
    </row>
    <row r="120" spans="1:6" x14ac:dyDescent="0.2">
      <c r="A120" s="2">
        <f>'Purchased Power Model'!A187</f>
        <v>40664</v>
      </c>
      <c r="B120" s="49">
        <f>'Purchased Power Model'!E187</f>
        <v>95311649.190829188</v>
      </c>
      <c r="C120" s="342">
        <f>'Purchased Power Model'!O187</f>
        <v>96315688.707999751</v>
      </c>
      <c r="D120" s="49">
        <f t="shared" si="3"/>
        <v>-1004039.5171705633</v>
      </c>
      <c r="E120" s="49">
        <f t="shared" si="4"/>
        <v>1004039.5171705633</v>
      </c>
      <c r="F120">
        <f t="shared" si="5"/>
        <v>1.0534279132662109E-2</v>
      </c>
    </row>
    <row r="121" spans="1:6" x14ac:dyDescent="0.2">
      <c r="A121" s="2">
        <f>'Purchased Power Model'!A188</f>
        <v>40695</v>
      </c>
      <c r="B121" s="49">
        <f>'Purchased Power Model'!E188</f>
        <v>104481387.99310356</v>
      </c>
      <c r="C121" s="342">
        <f>'Purchased Power Model'!O188</f>
        <v>101919787.05911647</v>
      </c>
      <c r="D121" s="49">
        <f t="shared" si="3"/>
        <v>2561600.933987096</v>
      </c>
      <c r="E121" s="49">
        <f t="shared" si="4"/>
        <v>2561600.933987096</v>
      </c>
      <c r="F121">
        <f t="shared" si="5"/>
        <v>2.4517294258726521E-2</v>
      </c>
    </row>
    <row r="122" spans="1:6" x14ac:dyDescent="0.2">
      <c r="A122" s="2">
        <f>'Purchased Power Model'!A189</f>
        <v>40725</v>
      </c>
      <c r="B122" s="49">
        <f>'Purchased Power Model'!E189</f>
        <v>132315624.27127488</v>
      </c>
      <c r="C122" s="342">
        <f>'Purchased Power Model'!O189</f>
        <v>134164483.57910432</v>
      </c>
      <c r="D122" s="49">
        <f t="shared" si="3"/>
        <v>-1848859.3078294396</v>
      </c>
      <c r="E122" s="49">
        <f t="shared" si="4"/>
        <v>1848859.3078294396</v>
      </c>
      <c r="F122">
        <f t="shared" si="5"/>
        <v>1.3973098929260908E-2</v>
      </c>
    </row>
    <row r="123" spans="1:6" x14ac:dyDescent="0.2">
      <c r="A123" s="2">
        <f>'Purchased Power Model'!A190</f>
        <v>40756</v>
      </c>
      <c r="B123" s="49">
        <f>'Purchased Power Model'!E190</f>
        <v>120979109.88007376</v>
      </c>
      <c r="C123" s="342">
        <f>'Purchased Power Model'!O190</f>
        <v>124434721.14122561</v>
      </c>
      <c r="D123" s="49">
        <f t="shared" si="3"/>
        <v>-3455611.2611518502</v>
      </c>
      <c r="E123" s="49">
        <f t="shared" si="4"/>
        <v>3455611.2611518502</v>
      </c>
      <c r="F123">
        <f t="shared" si="5"/>
        <v>2.856370215136636E-2</v>
      </c>
    </row>
    <row r="124" spans="1:6" x14ac:dyDescent="0.2">
      <c r="A124" s="2">
        <f>'Purchased Power Model'!A191</f>
        <v>40787</v>
      </c>
      <c r="B124" s="49">
        <f>'Purchased Power Model'!E191</f>
        <v>101456692.20170335</v>
      </c>
      <c r="C124" s="342">
        <f>'Purchased Power Model'!O191</f>
        <v>96488313.51462923</v>
      </c>
      <c r="D124" s="49">
        <f t="shared" si="3"/>
        <v>4968378.6870741248</v>
      </c>
      <c r="E124" s="49">
        <f t="shared" si="4"/>
        <v>4968378.6870741248</v>
      </c>
      <c r="F124">
        <f t="shared" si="5"/>
        <v>4.8970438314671474E-2</v>
      </c>
    </row>
    <row r="125" spans="1:6" x14ac:dyDescent="0.2">
      <c r="A125" s="2">
        <f>'Purchased Power Model'!A192</f>
        <v>40817</v>
      </c>
      <c r="B125" s="49">
        <f>'Purchased Power Model'!E192</f>
        <v>95202184.847298175</v>
      </c>
      <c r="C125" s="342">
        <f>'Purchased Power Model'!O192</f>
        <v>96292694.018998057</v>
      </c>
      <c r="D125" s="49">
        <f t="shared" si="3"/>
        <v>-1090509.1716998816</v>
      </c>
      <c r="E125" s="49">
        <f t="shared" si="4"/>
        <v>1090509.1716998816</v>
      </c>
      <c r="F125">
        <f t="shared" si="5"/>
        <v>1.1454665388709618E-2</v>
      </c>
    </row>
    <row r="126" spans="1:6" x14ac:dyDescent="0.2">
      <c r="A126" s="2">
        <f>'Purchased Power Model'!A193</f>
        <v>40848</v>
      </c>
      <c r="B126" s="49">
        <f>'Purchased Power Model'!E193</f>
        <v>94439501.273610532</v>
      </c>
      <c r="C126" s="342">
        <f>'Purchased Power Model'!O193</f>
        <v>94921487.868665785</v>
      </c>
      <c r="D126" s="49">
        <f t="shared" si="3"/>
        <v>-481986.59505525231</v>
      </c>
      <c r="E126" s="49">
        <f t="shared" si="4"/>
        <v>481986.59505525231</v>
      </c>
      <c r="F126">
        <f t="shared" si="5"/>
        <v>5.1036545995603961E-3</v>
      </c>
    </row>
    <row r="127" spans="1:6" x14ac:dyDescent="0.2">
      <c r="A127" s="2">
        <f>'Purchased Power Model'!A194</f>
        <v>40878</v>
      </c>
      <c r="B127" s="49">
        <f>'Purchased Power Model'!E194</f>
        <v>105238563.4331235</v>
      </c>
      <c r="C127" s="342">
        <f>'Purchased Power Model'!O194</f>
        <v>107336047.70678487</v>
      </c>
      <c r="D127" s="49">
        <f t="shared" si="3"/>
        <v>-2097484.273661375</v>
      </c>
      <c r="E127" s="49">
        <f t="shared" si="4"/>
        <v>2097484.273661375</v>
      </c>
      <c r="F127">
        <f t="shared" si="5"/>
        <v>1.9930757369129942E-2</v>
      </c>
    </row>
    <row r="128" spans="1:6" x14ac:dyDescent="0.2">
      <c r="A128" s="2">
        <f>'Purchased Power Model'!A195</f>
        <v>40909</v>
      </c>
      <c r="B128" s="49">
        <f>'Purchased Power Model'!E195</f>
        <v>109223578.46951081</v>
      </c>
      <c r="C128" s="342">
        <f>'Purchased Power Model'!O195</f>
        <v>109510645.19685285</v>
      </c>
      <c r="D128" s="49">
        <f t="shared" si="3"/>
        <v>-287066.72734203935</v>
      </c>
      <c r="E128" s="49">
        <f t="shared" si="4"/>
        <v>287066.72734203935</v>
      </c>
      <c r="F128">
        <f t="shared" si="5"/>
        <v>2.6282486928605121E-3</v>
      </c>
    </row>
    <row r="129" spans="1:6" x14ac:dyDescent="0.2">
      <c r="A129" s="2">
        <f>'Purchased Power Model'!A196</f>
        <v>40940</v>
      </c>
      <c r="B129" s="49">
        <f>'Purchased Power Model'!E196</f>
        <v>99573605.103197679</v>
      </c>
      <c r="C129" s="342">
        <f>'Purchased Power Model'!O196</f>
        <v>101884378.7889736</v>
      </c>
      <c r="D129" s="49">
        <f t="shared" si="3"/>
        <v>-2310773.6857759207</v>
      </c>
      <c r="E129" s="49">
        <f t="shared" si="4"/>
        <v>2310773.6857759207</v>
      </c>
      <c r="F129">
        <f t="shared" si="5"/>
        <v>2.3206688995352175E-2</v>
      </c>
    </row>
    <row r="130" spans="1:6" x14ac:dyDescent="0.2">
      <c r="A130" s="2">
        <f>'Purchased Power Model'!A197</f>
        <v>40969</v>
      </c>
      <c r="B130" s="49">
        <f>'Purchased Power Model'!E197</f>
        <v>96940328.99663873</v>
      </c>
      <c r="C130" s="342">
        <f>'Purchased Power Model'!O197</f>
        <v>99759652.371627748</v>
      </c>
      <c r="D130" s="49">
        <f t="shared" si="3"/>
        <v>-2819323.3749890178</v>
      </c>
      <c r="E130" s="49">
        <f t="shared" si="4"/>
        <v>2819323.3749890178</v>
      </c>
      <c r="F130">
        <f t="shared" si="5"/>
        <v>2.908308032549357E-2</v>
      </c>
    </row>
    <row r="131" spans="1:6" x14ac:dyDescent="0.2">
      <c r="A131" s="2">
        <f>'Purchased Power Model'!A198</f>
        <v>41000</v>
      </c>
      <c r="B131" s="49">
        <f>'Purchased Power Model'!E198</f>
        <v>90395437.384125814</v>
      </c>
      <c r="C131" s="342">
        <f>'Purchased Power Model'!O198</f>
        <v>95103935.485320091</v>
      </c>
      <c r="D131" s="49">
        <f t="shared" si="3"/>
        <v>-4708498.1011942774</v>
      </c>
      <c r="E131" s="49">
        <f t="shared" si="4"/>
        <v>4708498.1011942774</v>
      </c>
      <c r="F131">
        <f t="shared" si="5"/>
        <v>5.2087784930847945E-2</v>
      </c>
    </row>
    <row r="132" spans="1:6" x14ac:dyDescent="0.2">
      <c r="A132" s="2">
        <f>'Purchased Power Model'!A199</f>
        <v>41030</v>
      </c>
      <c r="B132" s="49">
        <f>'Purchased Power Model'!E199</f>
        <v>100200864.44101663</v>
      </c>
      <c r="C132" s="342">
        <f>'Purchased Power Model'!O199</f>
        <v>97628162.398885891</v>
      </c>
      <c r="D132" s="49">
        <f t="shared" si="3"/>
        <v>2572702.0421307385</v>
      </c>
      <c r="E132" s="49">
        <f t="shared" si="4"/>
        <v>2572702.0421307385</v>
      </c>
      <c r="F132">
        <f t="shared" si="5"/>
        <v>2.5675447577053218E-2</v>
      </c>
    </row>
    <row r="133" spans="1:6" x14ac:dyDescent="0.2">
      <c r="A133" s="2">
        <f>'Purchased Power Model'!A200</f>
        <v>41061</v>
      </c>
      <c r="B133" s="49">
        <f>'Purchased Power Model'!E200</f>
        <v>110427095.97285067</v>
      </c>
      <c r="C133" s="342">
        <f>'Purchased Power Model'!O200</f>
        <v>113922951.45663932</v>
      </c>
      <c r="D133" s="49">
        <f t="shared" si="3"/>
        <v>-3495855.4837886542</v>
      </c>
      <c r="E133" s="49">
        <f t="shared" si="4"/>
        <v>3495855.4837886542</v>
      </c>
      <c r="F133">
        <f t="shared" si="5"/>
        <v>3.1657587777624223E-2</v>
      </c>
    </row>
    <row r="134" spans="1:6" x14ac:dyDescent="0.2">
      <c r="A134" s="2">
        <f>'Purchased Power Model'!A201</f>
        <v>41091</v>
      </c>
      <c r="B134" s="49">
        <f>'Purchased Power Model'!E201</f>
        <v>134019462.29349864</v>
      </c>
      <c r="C134" s="342">
        <f>'Purchased Power Model'!O201</f>
        <v>135176121.87756082</v>
      </c>
      <c r="D134" s="49">
        <f t="shared" si="3"/>
        <v>-1156659.5840621889</v>
      </c>
      <c r="E134" s="49">
        <f t="shared" si="4"/>
        <v>1156659.5840621889</v>
      </c>
      <c r="F134">
        <f t="shared" si="5"/>
        <v>8.630534433343261E-3</v>
      </c>
    </row>
    <row r="135" spans="1:6" x14ac:dyDescent="0.2">
      <c r="A135" s="2">
        <f>'Purchased Power Model'!A202</f>
        <v>41122</v>
      </c>
      <c r="B135" s="49">
        <f>'Purchased Power Model'!E202</f>
        <v>122137536.59835409</v>
      </c>
      <c r="C135" s="342">
        <f>'Purchased Power Model'!O202</f>
        <v>124577176.43132171</v>
      </c>
      <c r="D135" s="49">
        <f t="shared" si="3"/>
        <v>-2439639.8329676241</v>
      </c>
      <c r="E135" s="49">
        <f t="shared" si="4"/>
        <v>2439639.8329676241</v>
      </c>
      <c r="F135">
        <f t="shared" si="5"/>
        <v>1.9974529541972933E-2</v>
      </c>
    </row>
    <row r="136" spans="1:6" x14ac:dyDescent="0.2">
      <c r="A136" s="2">
        <f>'Purchased Power Model'!A203</f>
        <v>41153</v>
      </c>
      <c r="B136" s="49">
        <f>'Purchased Power Model'!E203</f>
        <v>100247713.37838936</v>
      </c>
      <c r="C136" s="342">
        <f>'Purchased Power Model'!O203</f>
        <v>98368178.97491461</v>
      </c>
      <c r="D136" s="49">
        <f t="shared" si="3"/>
        <v>1879534.4034747481</v>
      </c>
      <c r="E136" s="49">
        <f t="shared" si="4"/>
        <v>1879534.4034747481</v>
      </c>
      <c r="F136">
        <f t="shared" si="5"/>
        <v>1.8748900499908298E-2</v>
      </c>
    </row>
    <row r="137" spans="1:6" x14ac:dyDescent="0.2">
      <c r="A137" s="2">
        <f>'Purchased Power Model'!A204</f>
        <v>41183</v>
      </c>
      <c r="B137" s="49">
        <f>'Purchased Power Model'!E204</f>
        <v>95198439.703245699</v>
      </c>
      <c r="C137" s="342">
        <f>'Purchased Power Model'!O204</f>
        <v>95708607.703029722</v>
      </c>
      <c r="D137" s="49">
        <f t="shared" ref="D137:D151" si="6">B137-C137</f>
        <v>-510167.99978402257</v>
      </c>
      <c r="E137" s="49">
        <f t="shared" ref="E137:E151" si="7">ABS(D137)</f>
        <v>510167.99978402257</v>
      </c>
      <c r="F137">
        <f t="shared" ref="F137:F151" si="8">E137/B137</f>
        <v>5.3589953929321478E-3</v>
      </c>
    </row>
    <row r="138" spans="1:6" x14ac:dyDescent="0.2">
      <c r="A138" s="2">
        <f>'Purchased Power Model'!A205</f>
        <v>41214</v>
      </c>
      <c r="B138" s="49">
        <f>'Purchased Power Model'!E205</f>
        <v>97032089.232771918</v>
      </c>
      <c r="C138" s="342">
        <f>'Purchased Power Model'!O205</f>
        <v>96712693.945532292</v>
      </c>
      <c r="D138" s="49">
        <f t="shared" si="6"/>
        <v>319395.28723962605</v>
      </c>
      <c r="E138" s="49">
        <f t="shared" si="7"/>
        <v>319395.28723962605</v>
      </c>
      <c r="F138">
        <f t="shared" si="8"/>
        <v>3.2916459880959928E-3</v>
      </c>
    </row>
    <row r="139" spans="1:6" x14ac:dyDescent="0.2">
      <c r="A139" s="2">
        <f>'Purchased Power Model'!A206</f>
        <v>41244</v>
      </c>
      <c r="B139" s="49">
        <f>'Purchased Power Model'!E206</f>
        <v>105393299.32567206</v>
      </c>
      <c r="C139" s="342">
        <f>'Purchased Power Model'!O206</f>
        <v>106787850.55490488</v>
      </c>
      <c r="D139" s="49">
        <f t="shared" si="6"/>
        <v>-1394551.2292328179</v>
      </c>
      <c r="E139" s="49">
        <f t="shared" si="7"/>
        <v>1394551.2292328179</v>
      </c>
      <c r="F139">
        <f t="shared" si="8"/>
        <v>1.3231877530691634E-2</v>
      </c>
    </row>
    <row r="140" spans="1:6" x14ac:dyDescent="0.2">
      <c r="A140" s="2">
        <f>'Purchased Power Model'!A207</f>
        <v>41275</v>
      </c>
      <c r="B140" s="49">
        <f>'Purchased Power Model'!E207</f>
        <v>110317098.32040238</v>
      </c>
      <c r="C140" s="342">
        <f>'Purchased Power Model'!O207</f>
        <v>108991277.41835088</v>
      </c>
      <c r="D140" s="49">
        <f t="shared" si="6"/>
        <v>1325820.9020515084</v>
      </c>
      <c r="E140" s="49">
        <f t="shared" si="7"/>
        <v>1325820.9020515084</v>
      </c>
      <c r="F140">
        <f t="shared" si="8"/>
        <v>1.2018272074205808E-2</v>
      </c>
    </row>
    <row r="141" spans="1:6" x14ac:dyDescent="0.2">
      <c r="A141" s="2">
        <f>'Purchased Power Model'!A208</f>
        <v>41306</v>
      </c>
      <c r="B141" s="49">
        <f>'Purchased Power Model'!E208</f>
        <v>99792259.768220529</v>
      </c>
      <c r="C141" s="342">
        <f>'Purchased Power Model'!O208</f>
        <v>100302482.17323762</v>
      </c>
      <c r="D141" s="49">
        <f t="shared" si="6"/>
        <v>-510222.40501709282</v>
      </c>
      <c r="E141" s="49">
        <f t="shared" si="7"/>
        <v>510222.40501709282</v>
      </c>
      <c r="F141">
        <f t="shared" si="8"/>
        <v>5.1128454872366395E-3</v>
      </c>
    </row>
    <row r="142" spans="1:6" x14ac:dyDescent="0.2">
      <c r="A142" s="2">
        <f>'Purchased Power Model'!A209</f>
        <v>41334</v>
      </c>
      <c r="B142" s="49">
        <f>'Purchased Power Model'!E209</f>
        <v>103236303.64129171</v>
      </c>
      <c r="C142" s="342">
        <f>'Purchased Power Model'!O209</f>
        <v>102431249.0602984</v>
      </c>
      <c r="D142" s="49">
        <f t="shared" si="6"/>
        <v>805054.58099330962</v>
      </c>
      <c r="E142" s="49">
        <f t="shared" si="7"/>
        <v>805054.58099330962</v>
      </c>
      <c r="F142">
        <f t="shared" si="8"/>
        <v>7.7981732452430596E-3</v>
      </c>
    </row>
    <row r="143" spans="1:6" x14ac:dyDescent="0.2">
      <c r="A143" s="2">
        <f>'Purchased Power Model'!A210</f>
        <v>41365</v>
      </c>
      <c r="B143" s="49">
        <f>'Purchased Power Model'!E210</f>
        <v>93025730.779005319</v>
      </c>
      <c r="C143" s="342">
        <f>'Purchased Power Model'!O210</f>
        <v>95419687.054450601</v>
      </c>
      <c r="D143" s="49">
        <f t="shared" si="6"/>
        <v>-2393956.2754452825</v>
      </c>
      <c r="E143" s="49">
        <f t="shared" si="7"/>
        <v>2393956.2754452825</v>
      </c>
      <c r="F143">
        <f t="shared" si="8"/>
        <v>2.573434527628099E-2</v>
      </c>
    </row>
    <row r="144" spans="1:6" x14ac:dyDescent="0.2">
      <c r="A144" s="2">
        <f>'Purchased Power Model'!A211</f>
        <v>41395</v>
      </c>
      <c r="B144" s="49">
        <f>'Purchased Power Model'!E211</f>
        <v>96420691.896310791</v>
      </c>
      <c r="C144" s="342">
        <f>'Purchased Power Model'!O211</f>
        <v>96547152.369575396</v>
      </c>
      <c r="D144" s="49">
        <f t="shared" si="6"/>
        <v>-126460.47326460481</v>
      </c>
      <c r="E144" s="49">
        <f t="shared" si="7"/>
        <v>126460.47326460481</v>
      </c>
      <c r="F144">
        <f t="shared" si="8"/>
        <v>1.3115491164551931E-3</v>
      </c>
    </row>
    <row r="145" spans="1:6" x14ac:dyDescent="0.2">
      <c r="A145" s="2">
        <f>'Purchased Power Model'!A212</f>
        <v>41426</v>
      </c>
      <c r="B145" s="49">
        <f>'Purchased Power Model'!E212</f>
        <v>102784125.50108929</v>
      </c>
      <c r="C145" s="342">
        <f>'Purchased Power Model'!O212</f>
        <v>102478330.50851922</v>
      </c>
      <c r="D145" s="49">
        <f t="shared" si="6"/>
        <v>305794.99257007241</v>
      </c>
      <c r="E145" s="49">
        <f t="shared" si="7"/>
        <v>305794.99257007241</v>
      </c>
      <c r="F145">
        <f t="shared" si="8"/>
        <v>2.9751188822133008E-3</v>
      </c>
    </row>
    <row r="146" spans="1:6" x14ac:dyDescent="0.2">
      <c r="A146" s="2">
        <f>'Purchased Power Model'!A213</f>
        <v>41456</v>
      </c>
      <c r="B146" s="49">
        <f>'Purchased Power Model'!E213</f>
        <v>124839639.63216612</v>
      </c>
      <c r="C146" s="342">
        <f>'Purchased Power Model'!O213</f>
        <v>121969826.39980751</v>
      </c>
      <c r="D146" s="49">
        <f t="shared" si="6"/>
        <v>2869813.2323586047</v>
      </c>
      <c r="E146" s="49">
        <f t="shared" si="7"/>
        <v>2869813.2323586047</v>
      </c>
      <c r="F146">
        <f t="shared" si="8"/>
        <v>2.2987996767808435E-2</v>
      </c>
    </row>
    <row r="147" spans="1:6" x14ac:dyDescent="0.2">
      <c r="A147" s="2">
        <f>'Purchased Power Model'!A214</f>
        <v>41487</v>
      </c>
      <c r="B147" s="49">
        <f>'Purchased Power Model'!E214</f>
        <v>115518135.37017837</v>
      </c>
      <c r="C147" s="342">
        <f>'Purchased Power Model'!O214</f>
        <v>115447916.76216069</v>
      </c>
      <c r="D147" s="49">
        <f t="shared" si="6"/>
        <v>70218.608017683029</v>
      </c>
      <c r="E147" s="49">
        <f t="shared" si="7"/>
        <v>70218.608017683029</v>
      </c>
      <c r="F147">
        <f t="shared" si="8"/>
        <v>6.0785787264196385E-4</v>
      </c>
    </row>
    <row r="148" spans="1:6" x14ac:dyDescent="0.2">
      <c r="A148" s="2">
        <f>'Purchased Power Model'!A215</f>
        <v>41518</v>
      </c>
      <c r="B148" s="49">
        <f>'Purchased Power Model'!E215</f>
        <v>98240609.585044816</v>
      </c>
      <c r="C148" s="342">
        <f>'Purchased Power Model'!O215</f>
        <v>94579142.961921766</v>
      </c>
      <c r="D148" s="49">
        <f t="shared" si="6"/>
        <v>3661466.6231230497</v>
      </c>
      <c r="E148" s="49">
        <f t="shared" si="7"/>
        <v>3661466.6231230497</v>
      </c>
      <c r="F148">
        <f t="shared" si="8"/>
        <v>3.7270398041997041E-2</v>
      </c>
    </row>
    <row r="149" spans="1:6" x14ac:dyDescent="0.2">
      <c r="A149" s="2">
        <f>'Purchased Power Model'!A216</f>
        <v>41548</v>
      </c>
      <c r="B149" s="49">
        <f>'Purchased Power Model'!E216</f>
        <v>95936957.140213236</v>
      </c>
      <c r="C149" s="342">
        <f>'Purchased Power Model'!O216</f>
        <v>94293840.102612659</v>
      </c>
      <c r="D149" s="49">
        <f t="shared" si="6"/>
        <v>1643117.0376005769</v>
      </c>
      <c r="E149" s="49">
        <f t="shared" si="7"/>
        <v>1643117.0376005769</v>
      </c>
      <c r="F149">
        <f t="shared" si="8"/>
        <v>1.7127049747879097E-2</v>
      </c>
    </row>
    <row r="150" spans="1:6" x14ac:dyDescent="0.2">
      <c r="A150" s="2">
        <f>'Purchased Power Model'!A217</f>
        <v>41579</v>
      </c>
      <c r="B150" s="49">
        <f>'Purchased Power Model'!E217</f>
        <v>99297938.273281083</v>
      </c>
      <c r="C150" s="342">
        <f>'Purchased Power Model'!O217</f>
        <v>96268335.170273066</v>
      </c>
      <c r="D150" s="49">
        <f t="shared" si="6"/>
        <v>3029603.1030080169</v>
      </c>
      <c r="E150" s="49">
        <f t="shared" si="7"/>
        <v>3029603.1030080169</v>
      </c>
      <c r="F150">
        <f t="shared" si="8"/>
        <v>3.0510231689505455E-2</v>
      </c>
    </row>
    <row r="151" spans="1:6" x14ac:dyDescent="0.2">
      <c r="A151" s="2">
        <f>'Purchased Power Model'!A218</f>
        <v>41609</v>
      </c>
      <c r="B151" s="49">
        <f>'Purchased Power Model'!E218</f>
        <v>110590589.61607186</v>
      </c>
      <c r="C151" s="342">
        <f>'Purchased Power Model'!O218</f>
        <v>108847267.00242728</v>
      </c>
      <c r="D151" s="49">
        <f t="shared" si="6"/>
        <v>1743322.613644585</v>
      </c>
      <c r="E151" s="49">
        <f t="shared" si="7"/>
        <v>1743322.613644585</v>
      </c>
      <c r="F151">
        <f t="shared" si="8"/>
        <v>1.576375186800914E-2</v>
      </c>
    </row>
    <row r="153" spans="1:6" x14ac:dyDescent="0.2">
      <c r="E153" s="319" t="s">
        <v>307</v>
      </c>
      <c r="F153">
        <f>COUNT(B8:B151)</f>
        <v>144</v>
      </c>
    </row>
    <row r="155" spans="1:6" x14ac:dyDescent="0.2">
      <c r="E155" s="19" t="s">
        <v>306</v>
      </c>
      <c r="F155" s="343">
        <f>SUM(F8:F151)/F153</f>
        <v>1.9034687736867912E-2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7" zoomScale="75" zoomScaleNormal="75" workbookViewId="0">
      <selection activeCell="S30" sqref="S30"/>
    </sheetView>
  </sheetViews>
  <sheetFormatPr defaultRowHeight="12.75" x14ac:dyDescent="0.2"/>
  <sheetData/>
  <pageMargins left="0.28999999999999998" right="0.38" top="0.75" bottom="0.75" header="0.3" footer="0.3"/>
  <pageSetup scale="6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workbookViewId="0">
      <selection activeCell="Y25" sqref="Y25"/>
    </sheetView>
  </sheetViews>
  <sheetFormatPr defaultRowHeight="12.75" x14ac:dyDescent="0.2"/>
  <sheetData/>
  <pageMargins left="0.2" right="0.31" top="0.75" bottom="0.51" header="0.3" footer="0.3"/>
  <pageSetup scale="6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opLeftCell="B34" zoomScale="75" zoomScaleNormal="75" workbookViewId="0">
      <selection activeCell="Q22" sqref="Q22"/>
    </sheetView>
  </sheetViews>
  <sheetFormatPr defaultRowHeight="12.75" x14ac:dyDescent="0.2"/>
  <cols>
    <col min="1" max="1" width="14.28515625" customWidth="1"/>
    <col min="2" max="2" width="24.42578125" customWidth="1"/>
    <col min="3" max="5" width="11.140625" bestFit="1" customWidth="1"/>
    <col min="6" max="7" width="10.140625" bestFit="1" customWidth="1"/>
    <col min="8" max="10" width="11.140625" bestFit="1" customWidth="1"/>
    <col min="11" max="13" width="10.140625" bestFit="1" customWidth="1"/>
    <col min="14" max="14" width="11.140625" bestFit="1" customWidth="1"/>
    <col min="15" max="15" width="16.7109375" customWidth="1"/>
  </cols>
  <sheetData>
    <row r="1" spans="1:15" x14ac:dyDescent="0.2">
      <c r="A1" s="19" t="s">
        <v>298</v>
      </c>
    </row>
    <row r="2" spans="1:15" s="19" customFormat="1" x14ac:dyDescent="0.2">
      <c r="B2" s="325"/>
      <c r="C2" s="326" t="s">
        <v>145</v>
      </c>
      <c r="D2" s="326" t="s">
        <v>146</v>
      </c>
      <c r="E2" s="327" t="s">
        <v>147</v>
      </c>
      <c r="F2" s="326" t="s">
        <v>148</v>
      </c>
      <c r="G2" s="326" t="s">
        <v>149</v>
      </c>
      <c r="H2" s="327" t="s">
        <v>150</v>
      </c>
      <c r="I2" s="326" t="s">
        <v>151</v>
      </c>
      <c r="J2" s="326" t="s">
        <v>152</v>
      </c>
      <c r="K2" s="327" t="s">
        <v>153</v>
      </c>
      <c r="L2" s="326" t="s">
        <v>154</v>
      </c>
      <c r="M2" s="326" t="s">
        <v>155</v>
      </c>
      <c r="N2" s="327" t="s">
        <v>156</v>
      </c>
      <c r="O2" s="267" t="s">
        <v>11</v>
      </c>
    </row>
    <row r="3" spans="1:15" x14ac:dyDescent="0.2">
      <c r="B3" s="323" t="s">
        <v>293</v>
      </c>
      <c r="C3" s="26">
        <f>'Purchased Power Model'!O$231</f>
        <v>109038540.82409763</v>
      </c>
      <c r="D3" s="26">
        <f>'Purchased Power Model'!O$232</f>
        <v>99036480.067536861</v>
      </c>
      <c r="E3" s="26">
        <f>'Purchased Power Model'!O$233</f>
        <v>101214361.80028281</v>
      </c>
      <c r="F3" s="26">
        <f>'Purchased Power Model'!O$234</f>
        <v>94276684.118439198</v>
      </c>
      <c r="G3" s="26">
        <f>'Purchased Power Model'!O$235</f>
        <v>95533401.154779077</v>
      </c>
      <c r="H3" s="26">
        <f>'Purchased Power Model'!O$236</f>
        <v>104580955.88006867</v>
      </c>
      <c r="I3" s="26">
        <f>'Purchased Power Model'!O$237</f>
        <v>122777932.87290505</v>
      </c>
      <c r="J3" s="26">
        <f>'Purchased Power Model'!O$238</f>
        <v>120149624.00777507</v>
      </c>
      <c r="K3" s="26">
        <f>'Purchased Power Model'!O$239</f>
        <v>97177618.696109831</v>
      </c>
      <c r="L3" s="26">
        <f>'Purchased Power Model'!O$240</f>
        <v>96208204.641469389</v>
      </c>
      <c r="M3" s="26">
        <f>'Purchased Power Model'!O$241</f>
        <v>96199957.87188381</v>
      </c>
      <c r="N3" s="26">
        <f>'Purchased Power Model'!O$242</f>
        <v>108973451.20176043</v>
      </c>
      <c r="O3" s="26">
        <f>SUM(C3:N3)</f>
        <v>1245167213.1371078</v>
      </c>
    </row>
    <row r="4" spans="1:15" x14ac:dyDescent="0.2">
      <c r="B4" s="323" t="s">
        <v>294</v>
      </c>
      <c r="C4" s="26">
        <f>'Purchased Power Model'!O$219</f>
        <v>109590614.99628869</v>
      </c>
      <c r="D4" s="26">
        <f>'Purchased Power Model'!O$220</f>
        <v>99458924.376953751</v>
      </c>
      <c r="E4" s="26">
        <f>'Purchased Power Model'!O$221</f>
        <v>101420362.14137068</v>
      </c>
      <c r="F4" s="26">
        <f>'Purchased Power Model'!O$222</f>
        <v>94266240.491198003</v>
      </c>
      <c r="G4" s="26">
        <f>'Purchased Power Model'!O$223</f>
        <v>95306513.559208825</v>
      </c>
      <c r="H4" s="26">
        <f>'Purchased Power Model'!O$224</f>
        <v>104137624.31616938</v>
      </c>
      <c r="I4" s="26">
        <f>'Purchased Power Model'!O$225</f>
        <v>122118157.3406767</v>
      </c>
      <c r="J4" s="26">
        <f>'Purchased Power Model'!O$226</f>
        <v>119273404.50721766</v>
      </c>
      <c r="K4" s="26">
        <f>'Purchased Power Model'!O$227</f>
        <v>96084955.227223337</v>
      </c>
      <c r="L4" s="26">
        <f>'Purchased Power Model'!O$228</f>
        <v>94899097.204253837</v>
      </c>
      <c r="M4" s="26">
        <f>'Purchased Power Model'!O$229</f>
        <v>94674406.466339156</v>
      </c>
      <c r="N4" s="26">
        <f>'Purchased Power Model'!O$230</f>
        <v>107231455.82788676</v>
      </c>
      <c r="O4" s="26">
        <f>SUM(C4:N4)</f>
        <v>1238461756.4547868</v>
      </c>
    </row>
    <row r="5" spans="1:15" x14ac:dyDescent="0.2">
      <c r="B5" s="323" t="s">
        <v>297</v>
      </c>
      <c r="C5" s="324">
        <f>C3-C4</f>
        <v>-552074.17219105363</v>
      </c>
      <c r="D5" s="324">
        <f t="shared" ref="D5:O5" si="0">D3-D4</f>
        <v>-422444.30941689014</v>
      </c>
      <c r="E5" s="324">
        <f t="shared" si="0"/>
        <v>-206000.34108787775</v>
      </c>
      <c r="F5" s="324">
        <f t="shared" si="0"/>
        <v>10443.627241194248</v>
      </c>
      <c r="G5" s="324">
        <f t="shared" si="0"/>
        <v>226887.59557025135</v>
      </c>
      <c r="H5" s="324">
        <f t="shared" si="0"/>
        <v>443331.56389929354</v>
      </c>
      <c r="I5" s="324">
        <f t="shared" si="0"/>
        <v>659775.53222835064</v>
      </c>
      <c r="J5" s="324">
        <f t="shared" si="0"/>
        <v>876219.50055740774</v>
      </c>
      <c r="K5" s="324">
        <f t="shared" si="0"/>
        <v>1092663.4688864946</v>
      </c>
      <c r="L5" s="324">
        <f t="shared" si="0"/>
        <v>1309107.4372155517</v>
      </c>
      <c r="M5" s="324">
        <f t="shared" si="0"/>
        <v>1525551.4055446535</v>
      </c>
      <c r="N5" s="324">
        <f t="shared" si="0"/>
        <v>1741995.3738736659</v>
      </c>
      <c r="O5" s="324">
        <f t="shared" si="0"/>
        <v>6705456.6823210716</v>
      </c>
    </row>
    <row r="6" spans="1:15" x14ac:dyDescent="0.2">
      <c r="B6" s="5"/>
      <c r="C6" s="26"/>
      <c r="D6" s="26"/>
      <c r="E6" s="58"/>
      <c r="F6" s="58"/>
      <c r="G6" s="36"/>
      <c r="H6" s="1"/>
      <c r="I6" s="1"/>
      <c r="J6" s="1"/>
      <c r="K6" s="1"/>
      <c r="L6" s="1"/>
      <c r="M6" s="322"/>
      <c r="N6" s="46"/>
      <c r="O6" s="46"/>
    </row>
    <row r="7" spans="1:15" x14ac:dyDescent="0.2">
      <c r="B7" s="5"/>
      <c r="C7" s="26"/>
      <c r="D7" s="26"/>
      <c r="E7" s="58"/>
      <c r="F7" s="58"/>
      <c r="G7" s="36"/>
      <c r="H7" s="1"/>
      <c r="I7" s="5"/>
      <c r="J7" s="1"/>
      <c r="K7" s="1"/>
      <c r="L7" s="1"/>
      <c r="M7" s="322"/>
      <c r="N7" s="46"/>
      <c r="O7" s="46"/>
    </row>
    <row r="8" spans="1:15" x14ac:dyDescent="0.2">
      <c r="A8" s="319" t="s">
        <v>283</v>
      </c>
      <c r="B8" s="323" t="s">
        <v>284</v>
      </c>
      <c r="C8" s="329">
        <f>'Purchased Power Model'!F$231</f>
        <v>625.69166666666661</v>
      </c>
      <c r="D8" s="329">
        <f>'Purchased Power Model'!F$232</f>
        <v>568.01666666666665</v>
      </c>
      <c r="E8" s="329">
        <f>'Purchased Power Model'!F$233</f>
        <v>501.29166666666657</v>
      </c>
      <c r="F8" s="329">
        <f>'Purchased Power Model'!F$234</f>
        <v>325.07500000000005</v>
      </c>
      <c r="G8" s="329">
        <f>'Purchased Power Model'!F$235</f>
        <v>173.88333333333333</v>
      </c>
      <c r="H8" s="329">
        <f>'Purchased Power Model'!F$236</f>
        <v>32.791666666666664</v>
      </c>
      <c r="I8" s="329">
        <f>'Purchased Power Model'!F$237</f>
        <v>0.89166666666666661</v>
      </c>
      <c r="J8" s="329">
        <f>'Purchased Power Model'!F$238</f>
        <v>1.6499999999999997</v>
      </c>
      <c r="K8" s="329">
        <f>'Purchased Power Model'!F$239</f>
        <v>30.45</v>
      </c>
      <c r="L8" s="329">
        <f>'Purchased Power Model'!F$240</f>
        <v>202.91666666666671</v>
      </c>
      <c r="M8" s="329">
        <f>'Purchased Power Model'!F$241</f>
        <v>361.23333333333335</v>
      </c>
      <c r="N8" s="329">
        <f>'Purchased Power Model'!F$242</f>
        <v>551.40749999999991</v>
      </c>
      <c r="O8" s="330">
        <f>SUM(C8:N8)</f>
        <v>3375.2991666666662</v>
      </c>
    </row>
    <row r="9" spans="1:15" x14ac:dyDescent="0.2">
      <c r="B9" s="323" t="s">
        <v>285</v>
      </c>
      <c r="C9" s="329">
        <f>'Purchased Power Model'!F$219</f>
        <v>625.69166666666661</v>
      </c>
      <c r="D9" s="329">
        <f>'Purchased Power Model'!F$220</f>
        <v>568.01666666666665</v>
      </c>
      <c r="E9" s="329">
        <f>'Purchased Power Model'!F$221</f>
        <v>501.29166666666657</v>
      </c>
      <c r="F9" s="329">
        <f>'Purchased Power Model'!F$222</f>
        <v>325.07500000000005</v>
      </c>
      <c r="G9" s="329">
        <f>'Purchased Power Model'!F$223</f>
        <v>173.88333333333333</v>
      </c>
      <c r="H9" s="329">
        <f>'Purchased Power Model'!F$224</f>
        <v>32.791666666666664</v>
      </c>
      <c r="I9" s="329">
        <f>'Purchased Power Model'!F$225</f>
        <v>0.89166666666666661</v>
      </c>
      <c r="J9" s="329">
        <f>'Purchased Power Model'!F$226</f>
        <v>1.6499999999999997</v>
      </c>
      <c r="K9" s="329">
        <f>'Purchased Power Model'!F$227</f>
        <v>30.45</v>
      </c>
      <c r="L9" s="329">
        <f>'Purchased Power Model'!F$228</f>
        <v>202.91666666666671</v>
      </c>
      <c r="M9" s="329">
        <f>'Purchased Power Model'!F$229</f>
        <v>361.23333333333335</v>
      </c>
      <c r="N9" s="329">
        <f>'Purchased Power Model'!F$230</f>
        <v>551.40749999999991</v>
      </c>
      <c r="O9" s="330">
        <f>SUM(C9:N9)</f>
        <v>3375.2991666666662</v>
      </c>
    </row>
    <row r="10" spans="1:15" x14ac:dyDescent="0.2">
      <c r="B10" s="323" t="s">
        <v>45</v>
      </c>
      <c r="C10" s="329">
        <f>C8-C9</f>
        <v>0</v>
      </c>
      <c r="D10" s="329">
        <f t="shared" ref="D10:N10" si="1">D8-D9</f>
        <v>0</v>
      </c>
      <c r="E10" s="329">
        <f t="shared" si="1"/>
        <v>0</v>
      </c>
      <c r="F10" s="329">
        <f t="shared" si="1"/>
        <v>0</v>
      </c>
      <c r="G10" s="329">
        <f t="shared" si="1"/>
        <v>0</v>
      </c>
      <c r="H10" s="329">
        <f t="shared" si="1"/>
        <v>0</v>
      </c>
      <c r="I10" s="329">
        <f t="shared" si="1"/>
        <v>0</v>
      </c>
      <c r="J10" s="329">
        <f t="shared" si="1"/>
        <v>0</v>
      </c>
      <c r="K10" s="329">
        <f t="shared" si="1"/>
        <v>0</v>
      </c>
      <c r="L10" s="329">
        <f t="shared" si="1"/>
        <v>0</v>
      </c>
      <c r="M10" s="329">
        <f t="shared" si="1"/>
        <v>0</v>
      </c>
      <c r="N10" s="329">
        <f t="shared" si="1"/>
        <v>0</v>
      </c>
      <c r="O10" s="330">
        <f>SUM(C10:N10)</f>
        <v>0</v>
      </c>
    </row>
    <row r="11" spans="1:15" x14ac:dyDescent="0.2">
      <c r="B11" s="323" t="s">
        <v>295</v>
      </c>
      <c r="C11" s="329">
        <f>'Purchased Power Model'!$S$19</f>
        <v>23655.346605099494</v>
      </c>
      <c r="D11" s="329">
        <f>'Purchased Power Model'!$S$19</f>
        <v>23655.346605099494</v>
      </c>
      <c r="E11" s="329">
        <f>'Purchased Power Model'!$S$19</f>
        <v>23655.346605099494</v>
      </c>
      <c r="F11" s="329">
        <f>'Purchased Power Model'!$S$19</f>
        <v>23655.346605099494</v>
      </c>
      <c r="G11" s="329">
        <f>'Purchased Power Model'!$S$19</f>
        <v>23655.346605099494</v>
      </c>
      <c r="H11" s="329">
        <f>'Purchased Power Model'!$S$19</f>
        <v>23655.346605099494</v>
      </c>
      <c r="I11" s="329">
        <f>'Purchased Power Model'!$S$19</f>
        <v>23655.346605099494</v>
      </c>
      <c r="J11" s="329">
        <f>'Purchased Power Model'!$S$19</f>
        <v>23655.346605099494</v>
      </c>
      <c r="K11" s="329">
        <f>'Purchased Power Model'!$S$19</f>
        <v>23655.346605099494</v>
      </c>
      <c r="L11" s="329">
        <f>'Purchased Power Model'!$S$19</f>
        <v>23655.346605099494</v>
      </c>
      <c r="M11" s="329">
        <f>'Purchased Power Model'!$S$19</f>
        <v>23655.346605099494</v>
      </c>
      <c r="N11" s="329">
        <f>'Purchased Power Model'!$S$19</f>
        <v>23655.346605099494</v>
      </c>
      <c r="O11" s="330"/>
    </row>
    <row r="12" spans="1:15" x14ac:dyDescent="0.2">
      <c r="B12" s="323" t="s">
        <v>286</v>
      </c>
      <c r="C12" s="324">
        <f>C10*C11</f>
        <v>0</v>
      </c>
      <c r="D12" s="324">
        <f t="shared" ref="D12:N12" si="2">D10*D11</f>
        <v>0</v>
      </c>
      <c r="E12" s="324">
        <f t="shared" si="2"/>
        <v>0</v>
      </c>
      <c r="F12" s="324">
        <f t="shared" si="2"/>
        <v>0</v>
      </c>
      <c r="G12" s="324">
        <f t="shared" si="2"/>
        <v>0</v>
      </c>
      <c r="H12" s="324">
        <f t="shared" si="2"/>
        <v>0</v>
      </c>
      <c r="I12" s="324">
        <f t="shared" si="2"/>
        <v>0</v>
      </c>
      <c r="J12" s="324">
        <f t="shared" si="2"/>
        <v>0</v>
      </c>
      <c r="K12" s="324">
        <f t="shared" si="2"/>
        <v>0</v>
      </c>
      <c r="L12" s="324">
        <f t="shared" si="2"/>
        <v>0</v>
      </c>
      <c r="M12" s="324">
        <f t="shared" si="2"/>
        <v>0</v>
      </c>
      <c r="N12" s="324">
        <f t="shared" si="2"/>
        <v>0</v>
      </c>
      <c r="O12" s="328">
        <f>SUM(C12:N12)</f>
        <v>0</v>
      </c>
    </row>
    <row r="13" spans="1:15" x14ac:dyDescent="0.2">
      <c r="B13" s="5"/>
      <c r="C13" s="26"/>
      <c r="D13" s="26"/>
      <c r="E13" s="58"/>
      <c r="F13" s="58"/>
      <c r="G13" s="36"/>
      <c r="H13" s="1"/>
      <c r="I13" s="1"/>
      <c r="J13" s="1"/>
      <c r="K13" s="1"/>
      <c r="L13" s="1"/>
      <c r="M13" s="322"/>
      <c r="N13" s="46"/>
      <c r="O13" s="46"/>
    </row>
    <row r="14" spans="1:15" x14ac:dyDescent="0.2">
      <c r="B14" s="5"/>
      <c r="C14" s="26"/>
      <c r="D14" s="26"/>
      <c r="E14" s="58"/>
      <c r="F14" s="58"/>
      <c r="G14" s="36"/>
      <c r="H14" s="1"/>
      <c r="I14" s="1"/>
      <c r="J14" s="1"/>
      <c r="K14" s="1"/>
      <c r="L14" s="1"/>
      <c r="M14" s="322"/>
      <c r="N14" s="46"/>
      <c r="O14" s="46"/>
    </row>
    <row r="15" spans="1:15" x14ac:dyDescent="0.2">
      <c r="A15" s="319" t="s">
        <v>287</v>
      </c>
      <c r="B15" s="323" t="s">
        <v>284</v>
      </c>
      <c r="C15" s="329">
        <f>'Purchased Power Model'!G$231</f>
        <v>0</v>
      </c>
      <c r="D15" s="329">
        <f>'Purchased Power Model'!G$232</f>
        <v>0</v>
      </c>
      <c r="E15" s="329">
        <f>'Purchased Power Model'!G$233</f>
        <v>0</v>
      </c>
      <c r="F15" s="329">
        <f>'Purchased Power Model'!G$234</f>
        <v>4.1666666666666664E-2</v>
      </c>
      <c r="G15" s="329">
        <f>'Purchased Power Model'!G$235</f>
        <v>9.1333333333333311</v>
      </c>
      <c r="H15" s="329">
        <f>'Purchased Power Model'!G$236</f>
        <v>60.983333333333327</v>
      </c>
      <c r="I15" s="329">
        <f>'Purchased Power Model'!G$237</f>
        <v>143.48333333333335</v>
      </c>
      <c r="J15" s="329">
        <f>'Purchased Power Model'!G$238</f>
        <v>128.92500000000001</v>
      </c>
      <c r="K15" s="329">
        <f>'Purchased Power Model'!G$239</f>
        <v>47.366666666666667</v>
      </c>
      <c r="L15" s="329">
        <f>'Purchased Power Model'!G$240</f>
        <v>5.0750000000000002</v>
      </c>
      <c r="M15" s="329">
        <f>'Purchased Power Model'!G$241</f>
        <v>0</v>
      </c>
      <c r="N15" s="329">
        <f>'Purchased Power Model'!G$242</f>
        <v>0</v>
      </c>
      <c r="O15" s="330">
        <f>SUM(C15:N15)</f>
        <v>395.00833333333338</v>
      </c>
    </row>
    <row r="16" spans="1:15" x14ac:dyDescent="0.2">
      <c r="B16" s="323" t="s">
        <v>285</v>
      </c>
      <c r="C16" s="329">
        <f>'Purchased Power Model'!G$219</f>
        <v>0</v>
      </c>
      <c r="D16" s="329">
        <f>'Purchased Power Model'!G$220</f>
        <v>0</v>
      </c>
      <c r="E16" s="329">
        <f>'Purchased Power Model'!G$221</f>
        <v>0</v>
      </c>
      <c r="F16" s="329">
        <f>'Purchased Power Model'!G$222</f>
        <v>4.1666666666666664E-2</v>
      </c>
      <c r="G16" s="329">
        <f>'Purchased Power Model'!G$223</f>
        <v>9.1333333333333311</v>
      </c>
      <c r="H16" s="329">
        <f>'Purchased Power Model'!G$224</f>
        <v>60.983333333333327</v>
      </c>
      <c r="I16" s="329">
        <f>'Purchased Power Model'!G$225</f>
        <v>143.48333333333335</v>
      </c>
      <c r="J16" s="329">
        <f>'Purchased Power Model'!G$226</f>
        <v>128.92500000000001</v>
      </c>
      <c r="K16" s="329">
        <f>'Purchased Power Model'!G$227</f>
        <v>47.366666666666667</v>
      </c>
      <c r="L16" s="329">
        <f>'Purchased Power Model'!G$228</f>
        <v>5.0750000000000002</v>
      </c>
      <c r="M16" s="329">
        <f>'Purchased Power Model'!G$229</f>
        <v>0</v>
      </c>
      <c r="N16" s="329">
        <f>'Purchased Power Model'!G$230</f>
        <v>0</v>
      </c>
      <c r="O16" s="330">
        <f>SUM(C16:N16)</f>
        <v>395.00833333333338</v>
      </c>
    </row>
    <row r="17" spans="1:15" x14ac:dyDescent="0.2">
      <c r="B17" s="323" t="s">
        <v>45</v>
      </c>
      <c r="C17" s="329">
        <f>C15-C16</f>
        <v>0</v>
      </c>
      <c r="D17" s="329">
        <f t="shared" ref="D17:N17" si="3">D15-D16</f>
        <v>0</v>
      </c>
      <c r="E17" s="329">
        <f t="shared" si="3"/>
        <v>0</v>
      </c>
      <c r="F17" s="329">
        <f t="shared" si="3"/>
        <v>0</v>
      </c>
      <c r="G17" s="329">
        <f t="shared" si="3"/>
        <v>0</v>
      </c>
      <c r="H17" s="329">
        <f t="shared" si="3"/>
        <v>0</v>
      </c>
      <c r="I17" s="329">
        <f t="shared" si="3"/>
        <v>0</v>
      </c>
      <c r="J17" s="329">
        <f t="shared" si="3"/>
        <v>0</v>
      </c>
      <c r="K17" s="329">
        <f t="shared" si="3"/>
        <v>0</v>
      </c>
      <c r="L17" s="329">
        <f t="shared" si="3"/>
        <v>0</v>
      </c>
      <c r="M17" s="329">
        <f t="shared" si="3"/>
        <v>0</v>
      </c>
      <c r="N17" s="329">
        <f t="shared" si="3"/>
        <v>0</v>
      </c>
      <c r="O17" s="330">
        <f>SUM(C17:N17)</f>
        <v>0</v>
      </c>
    </row>
    <row r="18" spans="1:15" x14ac:dyDescent="0.2">
      <c r="B18" s="323" t="s">
        <v>295</v>
      </c>
      <c r="C18" s="329">
        <f>'Purchased Power Model'!$S$20</f>
        <v>192326.58736832521</v>
      </c>
      <c r="D18" s="329">
        <f>'Purchased Power Model'!$S$20</f>
        <v>192326.58736832521</v>
      </c>
      <c r="E18" s="329">
        <f>'Purchased Power Model'!$S$20</f>
        <v>192326.58736832521</v>
      </c>
      <c r="F18" s="329">
        <f>'Purchased Power Model'!$S$20</f>
        <v>192326.58736832521</v>
      </c>
      <c r="G18" s="329">
        <f>'Purchased Power Model'!$S$20</f>
        <v>192326.58736832521</v>
      </c>
      <c r="H18" s="329">
        <f>'Purchased Power Model'!$S$20</f>
        <v>192326.58736832521</v>
      </c>
      <c r="I18" s="329">
        <f>'Purchased Power Model'!$S$20</f>
        <v>192326.58736832521</v>
      </c>
      <c r="J18" s="329">
        <f>'Purchased Power Model'!$S$20</f>
        <v>192326.58736832521</v>
      </c>
      <c r="K18" s="329">
        <f>'Purchased Power Model'!$S$20</f>
        <v>192326.58736832521</v>
      </c>
      <c r="L18" s="329">
        <f>'Purchased Power Model'!$S$20</f>
        <v>192326.58736832521</v>
      </c>
      <c r="M18" s="329">
        <f>'Purchased Power Model'!$S$20</f>
        <v>192326.58736832521</v>
      </c>
      <c r="N18" s="329">
        <f>'Purchased Power Model'!$S$20</f>
        <v>192326.58736832521</v>
      </c>
      <c r="O18" s="330"/>
    </row>
    <row r="19" spans="1:15" x14ac:dyDescent="0.2">
      <c r="B19" s="323" t="s">
        <v>286</v>
      </c>
      <c r="C19" s="324">
        <f>C17*C18</f>
        <v>0</v>
      </c>
      <c r="D19" s="324">
        <f t="shared" ref="D19:N19" si="4">D17*D18</f>
        <v>0</v>
      </c>
      <c r="E19" s="324">
        <f t="shared" si="4"/>
        <v>0</v>
      </c>
      <c r="F19" s="324">
        <f t="shared" si="4"/>
        <v>0</v>
      </c>
      <c r="G19" s="324">
        <f t="shared" si="4"/>
        <v>0</v>
      </c>
      <c r="H19" s="324">
        <f t="shared" si="4"/>
        <v>0</v>
      </c>
      <c r="I19" s="324">
        <f t="shared" si="4"/>
        <v>0</v>
      </c>
      <c r="J19" s="324">
        <f t="shared" si="4"/>
        <v>0</v>
      </c>
      <c r="K19" s="324">
        <f t="shared" si="4"/>
        <v>0</v>
      </c>
      <c r="L19" s="324">
        <f t="shared" si="4"/>
        <v>0</v>
      </c>
      <c r="M19" s="324">
        <f t="shared" si="4"/>
        <v>0</v>
      </c>
      <c r="N19" s="324">
        <f t="shared" si="4"/>
        <v>0</v>
      </c>
      <c r="O19" s="328">
        <f>SUM(C19:N19)</f>
        <v>0</v>
      </c>
    </row>
    <row r="20" spans="1:15" x14ac:dyDescent="0.2">
      <c r="B20" s="5"/>
      <c r="C20" s="26"/>
      <c r="D20" s="26"/>
      <c r="E20" s="58"/>
      <c r="F20" s="58"/>
      <c r="G20" s="36"/>
      <c r="H20" s="1"/>
      <c r="I20" s="1"/>
      <c r="J20" s="1"/>
      <c r="K20" s="1"/>
      <c r="L20" s="1"/>
      <c r="M20" s="1"/>
      <c r="N20" s="1"/>
      <c r="O20" s="1"/>
    </row>
    <row r="21" spans="1:15" x14ac:dyDescent="0.2">
      <c r="B21" s="5"/>
      <c r="C21" s="26"/>
      <c r="D21" s="26"/>
      <c r="E21" s="58"/>
      <c r="F21" s="58"/>
      <c r="G21" s="36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319" t="s">
        <v>288</v>
      </c>
      <c r="B22" s="323" t="s">
        <v>284</v>
      </c>
      <c r="C22" s="329">
        <f>'Purchased Power Model'!H$231</f>
        <v>149.61374636199</v>
      </c>
      <c r="D22" s="329">
        <f>'Purchased Power Model'!H$232</f>
        <v>149.91237659424945</v>
      </c>
      <c r="E22" s="329">
        <f>'Purchased Power Model'!H$233</f>
        <v>150.21100682650891</v>
      </c>
      <c r="F22" s="329">
        <f>'Purchased Power Model'!H$234</f>
        <v>150.50963705876836</v>
      </c>
      <c r="G22" s="329">
        <f>'Purchased Power Model'!H$235</f>
        <v>150.80826729102782</v>
      </c>
      <c r="H22" s="329">
        <f>'Purchased Power Model'!H$236</f>
        <v>151.10689752328727</v>
      </c>
      <c r="I22" s="329">
        <f>'Purchased Power Model'!H$237</f>
        <v>151.40552775554673</v>
      </c>
      <c r="J22" s="329">
        <f>'Purchased Power Model'!H$238</f>
        <v>151.70415798780618</v>
      </c>
      <c r="K22" s="329">
        <f>'Purchased Power Model'!H$239</f>
        <v>152.00278822006564</v>
      </c>
      <c r="L22" s="329">
        <f>'Purchased Power Model'!H$240</f>
        <v>152.30141845232509</v>
      </c>
      <c r="M22" s="329">
        <f>'Purchased Power Model'!H$241</f>
        <v>152.60004868458455</v>
      </c>
      <c r="N22" s="329">
        <f>'Purchased Power Model'!H$242</f>
        <v>152.89867891684409</v>
      </c>
      <c r="O22" s="330">
        <f>SUM(C22:N22)</f>
        <v>1815.0745516730042</v>
      </c>
    </row>
    <row r="23" spans="1:15" x14ac:dyDescent="0.2">
      <c r="B23" s="323" t="s">
        <v>285</v>
      </c>
      <c r="C23" s="329">
        <f>'Purchased Power Model'!H$219</f>
        <v>146.23783327042605</v>
      </c>
      <c r="D23" s="329">
        <f>'Purchased Power Model'!H$220</f>
        <v>146.51758625763554</v>
      </c>
      <c r="E23" s="329">
        <f>'Purchased Power Model'!H$221</f>
        <v>146.79733924484503</v>
      </c>
      <c r="F23" s="329">
        <f>'Purchased Power Model'!H$222</f>
        <v>147.07709223205453</v>
      </c>
      <c r="G23" s="329">
        <f>'Purchased Power Model'!H$223</f>
        <v>147.35684521926402</v>
      </c>
      <c r="H23" s="329">
        <f>'Purchased Power Model'!H$224</f>
        <v>147.63659820647351</v>
      </c>
      <c r="I23" s="329">
        <f>'Purchased Power Model'!H$225</f>
        <v>147.916351193683</v>
      </c>
      <c r="J23" s="329">
        <f>'Purchased Power Model'!H$226</f>
        <v>148.19610418089249</v>
      </c>
      <c r="K23" s="329">
        <f>'Purchased Power Model'!H$227</f>
        <v>148.47585716810198</v>
      </c>
      <c r="L23" s="329">
        <f>'Purchased Power Model'!H$228</f>
        <v>148.75561015531147</v>
      </c>
      <c r="M23" s="329">
        <f>'Purchased Power Model'!H$229</f>
        <v>149.03536314252096</v>
      </c>
      <c r="N23" s="329">
        <f>'Purchased Power Model'!H$230</f>
        <v>149.31511612973054</v>
      </c>
      <c r="O23" s="330">
        <f>SUM(C23:N23)</f>
        <v>1773.317696400939</v>
      </c>
    </row>
    <row r="24" spans="1:15" x14ac:dyDescent="0.2">
      <c r="B24" s="323" t="s">
        <v>45</v>
      </c>
      <c r="C24" s="329">
        <f>C22-C23</f>
        <v>3.3759130915639446</v>
      </c>
      <c r="D24" s="329">
        <f t="shared" ref="D24:N24" si="5">D22-D23</f>
        <v>3.3947903366139087</v>
      </c>
      <c r="E24" s="329">
        <f t="shared" si="5"/>
        <v>3.4136675816638729</v>
      </c>
      <c r="F24" s="329">
        <f t="shared" si="5"/>
        <v>3.432544826713837</v>
      </c>
      <c r="G24" s="329">
        <f t="shared" si="5"/>
        <v>3.4514220717638011</v>
      </c>
      <c r="H24" s="329">
        <f t="shared" si="5"/>
        <v>3.4702993168137652</v>
      </c>
      <c r="I24" s="329">
        <f t="shared" si="5"/>
        <v>3.4891765618637294</v>
      </c>
      <c r="J24" s="329">
        <f t="shared" si="5"/>
        <v>3.5080538069136935</v>
      </c>
      <c r="K24" s="329">
        <f t="shared" si="5"/>
        <v>3.5269310519636576</v>
      </c>
      <c r="L24" s="329">
        <f t="shared" si="5"/>
        <v>3.5458082970136218</v>
      </c>
      <c r="M24" s="329">
        <f t="shared" si="5"/>
        <v>3.5646855420635859</v>
      </c>
      <c r="N24" s="329">
        <f t="shared" si="5"/>
        <v>3.58356278711355</v>
      </c>
      <c r="O24" s="330">
        <f>SUM(C24:N24)</f>
        <v>41.756855272064968</v>
      </c>
    </row>
    <row r="25" spans="1:15" x14ac:dyDescent="0.2">
      <c r="B25" s="323" t="s">
        <v>295</v>
      </c>
      <c r="C25" s="329">
        <f>'Purchased Power Model'!$S$21</f>
        <v>321215.4259593364</v>
      </c>
      <c r="D25" s="329">
        <f>'Purchased Power Model'!$S$21</f>
        <v>321215.4259593364</v>
      </c>
      <c r="E25" s="329">
        <f>'Purchased Power Model'!$S$21</f>
        <v>321215.4259593364</v>
      </c>
      <c r="F25" s="329">
        <f>'Purchased Power Model'!$S$21</f>
        <v>321215.4259593364</v>
      </c>
      <c r="G25" s="329">
        <f>'Purchased Power Model'!$S$21</f>
        <v>321215.4259593364</v>
      </c>
      <c r="H25" s="329">
        <f>'Purchased Power Model'!$S$21</f>
        <v>321215.4259593364</v>
      </c>
      <c r="I25" s="329">
        <f>'Purchased Power Model'!$S$21</f>
        <v>321215.4259593364</v>
      </c>
      <c r="J25" s="329">
        <f>'Purchased Power Model'!$S$21</f>
        <v>321215.4259593364</v>
      </c>
      <c r="K25" s="329">
        <f>'Purchased Power Model'!$S$21</f>
        <v>321215.4259593364</v>
      </c>
      <c r="L25" s="329">
        <f>'Purchased Power Model'!$S$21</f>
        <v>321215.4259593364</v>
      </c>
      <c r="M25" s="329">
        <f>'Purchased Power Model'!$S$21</f>
        <v>321215.4259593364</v>
      </c>
      <c r="N25" s="329">
        <f>'Purchased Power Model'!$S$21</f>
        <v>321215.4259593364</v>
      </c>
      <c r="O25" s="330"/>
    </row>
    <row r="26" spans="1:15" x14ac:dyDescent="0.2">
      <c r="B26" s="323" t="s">
        <v>286</v>
      </c>
      <c r="C26" s="324">
        <f>C24*C25</f>
        <v>1084395.3617084126</v>
      </c>
      <c r="D26" s="324">
        <f t="shared" ref="D26:N26" si="6">D24*D25</f>
        <v>1090459.0240180758</v>
      </c>
      <c r="E26" s="324">
        <f t="shared" si="6"/>
        <v>1096522.6863277387</v>
      </c>
      <c r="F26" s="324">
        <f t="shared" si="6"/>
        <v>1102586.3486374016</v>
      </c>
      <c r="G26" s="324">
        <f t="shared" si="6"/>
        <v>1108650.0109470647</v>
      </c>
      <c r="H26" s="324">
        <f t="shared" si="6"/>
        <v>1114713.6732567276</v>
      </c>
      <c r="I26" s="324">
        <f t="shared" si="6"/>
        <v>1120777.3355663908</v>
      </c>
      <c r="J26" s="324">
        <f t="shared" si="6"/>
        <v>1126840.9978760537</v>
      </c>
      <c r="K26" s="324">
        <f t="shared" si="6"/>
        <v>1132904.6601857168</v>
      </c>
      <c r="L26" s="324">
        <f t="shared" si="6"/>
        <v>1138968.3224953797</v>
      </c>
      <c r="M26" s="324">
        <f t="shared" si="6"/>
        <v>1145031.9848050426</v>
      </c>
      <c r="N26" s="324">
        <f t="shared" si="6"/>
        <v>1151095.6471147058</v>
      </c>
      <c r="O26" s="328">
        <f>SUM(C26:N26)</f>
        <v>13412946.052938709</v>
      </c>
    </row>
    <row r="27" spans="1:15" x14ac:dyDescent="0.2">
      <c r="B27" s="5"/>
      <c r="C27" s="26"/>
      <c r="D27" s="26"/>
      <c r="E27" s="58"/>
      <c r="F27" s="58"/>
      <c r="G27" s="36"/>
      <c r="H27" s="1"/>
      <c r="I27" s="1"/>
      <c r="J27" s="1"/>
      <c r="K27" s="1"/>
      <c r="L27" s="1"/>
      <c r="M27" s="1"/>
      <c r="N27" s="1"/>
      <c r="O27" s="1"/>
    </row>
    <row r="28" spans="1:15" x14ac:dyDescent="0.2">
      <c r="B28" s="5"/>
      <c r="C28" s="26"/>
      <c r="D28" s="26"/>
      <c r="E28" s="58"/>
      <c r="F28" s="58"/>
      <c r="G28" s="36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319" t="s">
        <v>289</v>
      </c>
      <c r="B29" s="323" t="s">
        <v>284</v>
      </c>
      <c r="C29" s="329">
        <f>'Purchased Power Model'!I$231</f>
        <v>31</v>
      </c>
      <c r="D29" s="329">
        <f>'Purchased Power Model'!I$232</f>
        <v>28</v>
      </c>
      <c r="E29" s="329">
        <f>'Purchased Power Model'!I$233</f>
        <v>31</v>
      </c>
      <c r="F29" s="329">
        <f>'Purchased Power Model'!I$234</f>
        <v>30</v>
      </c>
      <c r="G29" s="329">
        <f>'Purchased Power Model'!I$235</f>
        <v>31</v>
      </c>
      <c r="H29" s="329">
        <f>'Purchased Power Model'!I$236</f>
        <v>30</v>
      </c>
      <c r="I29" s="329">
        <f>'Purchased Power Model'!I$237</f>
        <v>31</v>
      </c>
      <c r="J29" s="329">
        <f>'Purchased Power Model'!I$238</f>
        <v>31</v>
      </c>
      <c r="K29" s="329">
        <f>'Purchased Power Model'!I$239</f>
        <v>30</v>
      </c>
      <c r="L29" s="329">
        <f>'Purchased Power Model'!I$240</f>
        <v>31</v>
      </c>
      <c r="M29" s="329">
        <f>'Purchased Power Model'!I$241</f>
        <v>30</v>
      </c>
      <c r="N29" s="329">
        <f>'Purchased Power Model'!I$242</f>
        <v>31</v>
      </c>
      <c r="O29" s="330">
        <f>SUM(C29:N29)</f>
        <v>365</v>
      </c>
    </row>
    <row r="30" spans="1:15" x14ac:dyDescent="0.2">
      <c r="B30" s="323" t="s">
        <v>285</v>
      </c>
      <c r="C30" s="329">
        <f>'Purchased Power Model'!I$219</f>
        <v>31</v>
      </c>
      <c r="D30" s="329">
        <f>'Purchased Power Model'!I$220</f>
        <v>28</v>
      </c>
      <c r="E30" s="329">
        <f>'Purchased Power Model'!I$221</f>
        <v>31</v>
      </c>
      <c r="F30" s="329">
        <f>'Purchased Power Model'!I$222</f>
        <v>30</v>
      </c>
      <c r="G30" s="329">
        <f>'Purchased Power Model'!I$223</f>
        <v>31</v>
      </c>
      <c r="H30" s="329">
        <f>'Purchased Power Model'!I$224</f>
        <v>30</v>
      </c>
      <c r="I30" s="329">
        <f>'Purchased Power Model'!I$225</f>
        <v>31</v>
      </c>
      <c r="J30" s="329">
        <f>'Purchased Power Model'!I$226</f>
        <v>31</v>
      </c>
      <c r="K30" s="329">
        <f>'Purchased Power Model'!I$227</f>
        <v>30</v>
      </c>
      <c r="L30" s="329">
        <f>'Purchased Power Model'!I$228</f>
        <v>31</v>
      </c>
      <c r="M30" s="329">
        <f>'Purchased Power Model'!I$229</f>
        <v>30</v>
      </c>
      <c r="N30" s="329">
        <f>'Purchased Power Model'!I$230</f>
        <v>31</v>
      </c>
      <c r="O30" s="330">
        <f>SUM(C30:N30)</f>
        <v>365</v>
      </c>
    </row>
    <row r="31" spans="1:15" x14ac:dyDescent="0.2">
      <c r="B31" s="323" t="s">
        <v>45</v>
      </c>
      <c r="C31" s="329">
        <f>C29-C30</f>
        <v>0</v>
      </c>
      <c r="D31" s="329">
        <f t="shared" ref="D31:N31" si="7">D29-D30</f>
        <v>0</v>
      </c>
      <c r="E31" s="329">
        <f t="shared" si="7"/>
        <v>0</v>
      </c>
      <c r="F31" s="329">
        <f t="shared" si="7"/>
        <v>0</v>
      </c>
      <c r="G31" s="329">
        <f t="shared" si="7"/>
        <v>0</v>
      </c>
      <c r="H31" s="329">
        <f t="shared" si="7"/>
        <v>0</v>
      </c>
      <c r="I31" s="329">
        <f t="shared" si="7"/>
        <v>0</v>
      </c>
      <c r="J31" s="329">
        <f t="shared" si="7"/>
        <v>0</v>
      </c>
      <c r="K31" s="329">
        <f t="shared" si="7"/>
        <v>0</v>
      </c>
      <c r="L31" s="329">
        <f t="shared" si="7"/>
        <v>0</v>
      </c>
      <c r="M31" s="329">
        <f t="shared" si="7"/>
        <v>0</v>
      </c>
      <c r="N31" s="329">
        <f t="shared" si="7"/>
        <v>0</v>
      </c>
      <c r="O31" s="330">
        <f>SUM(C31:N31)</f>
        <v>0</v>
      </c>
    </row>
    <row r="32" spans="1:15" x14ac:dyDescent="0.2">
      <c r="B32" s="323" t="s">
        <v>295</v>
      </c>
      <c r="C32" s="329">
        <f>'Purchased Power Model'!$S$22</f>
        <v>2930932.0268537784</v>
      </c>
      <c r="D32" s="329">
        <f>'Purchased Power Model'!$S$22</f>
        <v>2930932.0268537784</v>
      </c>
      <c r="E32" s="329">
        <f>'Purchased Power Model'!$S$22</f>
        <v>2930932.0268537784</v>
      </c>
      <c r="F32" s="329">
        <f>'Purchased Power Model'!$S$22</f>
        <v>2930932.0268537784</v>
      </c>
      <c r="G32" s="329">
        <f>'Purchased Power Model'!$S$22</f>
        <v>2930932.0268537784</v>
      </c>
      <c r="H32" s="329">
        <f>'Purchased Power Model'!$S$22</f>
        <v>2930932.0268537784</v>
      </c>
      <c r="I32" s="329">
        <f>'Purchased Power Model'!$S$22</f>
        <v>2930932.0268537784</v>
      </c>
      <c r="J32" s="329">
        <f>'Purchased Power Model'!$S$22</f>
        <v>2930932.0268537784</v>
      </c>
      <c r="K32" s="329">
        <f>'Purchased Power Model'!$S$22</f>
        <v>2930932.0268537784</v>
      </c>
      <c r="L32" s="329">
        <f>'Purchased Power Model'!$S$22</f>
        <v>2930932.0268537784</v>
      </c>
      <c r="M32" s="329">
        <f>'Purchased Power Model'!$S$22</f>
        <v>2930932.0268537784</v>
      </c>
      <c r="N32" s="329">
        <f>'Purchased Power Model'!$S$22</f>
        <v>2930932.0268537784</v>
      </c>
      <c r="O32" s="330"/>
    </row>
    <row r="33" spans="1:15" x14ac:dyDescent="0.2">
      <c r="B33" s="323" t="s">
        <v>286</v>
      </c>
      <c r="C33" s="324">
        <f>C31*C32</f>
        <v>0</v>
      </c>
      <c r="D33" s="324">
        <f t="shared" ref="D33:N33" si="8">D31*D32</f>
        <v>0</v>
      </c>
      <c r="E33" s="324">
        <f t="shared" si="8"/>
        <v>0</v>
      </c>
      <c r="F33" s="324">
        <f t="shared" si="8"/>
        <v>0</v>
      </c>
      <c r="G33" s="324">
        <f t="shared" si="8"/>
        <v>0</v>
      </c>
      <c r="H33" s="324">
        <f t="shared" si="8"/>
        <v>0</v>
      </c>
      <c r="I33" s="324">
        <f t="shared" si="8"/>
        <v>0</v>
      </c>
      <c r="J33" s="324">
        <f t="shared" si="8"/>
        <v>0</v>
      </c>
      <c r="K33" s="324">
        <f t="shared" si="8"/>
        <v>0</v>
      </c>
      <c r="L33" s="324">
        <f t="shared" si="8"/>
        <v>0</v>
      </c>
      <c r="M33" s="324">
        <f t="shared" si="8"/>
        <v>0</v>
      </c>
      <c r="N33" s="324">
        <f t="shared" si="8"/>
        <v>0</v>
      </c>
      <c r="O33" s="328">
        <f>SUM(C33:N33)</f>
        <v>0</v>
      </c>
    </row>
    <row r="34" spans="1:15" x14ac:dyDescent="0.2">
      <c r="B34" s="5"/>
      <c r="C34" s="26"/>
      <c r="D34" s="26"/>
      <c r="E34" s="58"/>
      <c r="F34" s="58"/>
      <c r="G34" s="36"/>
      <c r="H34" s="1"/>
      <c r="I34" s="1"/>
      <c r="J34" s="1"/>
      <c r="K34" s="1"/>
      <c r="L34" s="1"/>
      <c r="M34" s="1"/>
      <c r="N34" s="1"/>
      <c r="O34" s="1"/>
    </row>
    <row r="35" spans="1:15" x14ac:dyDescent="0.2">
      <c r="B35" s="5"/>
      <c r="C35" s="26"/>
      <c r="D35" s="26"/>
      <c r="E35" s="58"/>
      <c r="F35" s="58"/>
      <c r="G35" s="36"/>
      <c r="H35" s="1"/>
      <c r="I35" s="1"/>
      <c r="J35" s="1"/>
      <c r="K35" s="1"/>
      <c r="L35" s="1"/>
      <c r="M35" s="1"/>
      <c r="N35" s="1"/>
      <c r="O35" s="1"/>
    </row>
    <row r="36" spans="1:15" x14ac:dyDescent="0.2">
      <c r="A36" s="319" t="s">
        <v>290</v>
      </c>
      <c r="B36" s="323" t="s">
        <v>284</v>
      </c>
      <c r="C36" s="329">
        <f>'Purchased Power Model'!J$231</f>
        <v>2569725.339428504</v>
      </c>
      <c r="D36" s="329">
        <f>'Purchased Power Model'!J$232</f>
        <v>2569979.623990024</v>
      </c>
      <c r="E36" s="329">
        <f>'Purchased Power Model'!J$233</f>
        <v>2570488.1931130644</v>
      </c>
      <c r="F36" s="329">
        <f>'Purchased Power Model'!J$234</f>
        <v>2570996.7622361048</v>
      </c>
      <c r="G36" s="329">
        <f>'Purchased Power Model'!J$235</f>
        <v>2571505.3313591452</v>
      </c>
      <c r="H36" s="329">
        <f>'Purchased Power Model'!J$236</f>
        <v>2572013.9004821857</v>
      </c>
      <c r="I36" s="329">
        <f>'Purchased Power Model'!J$237</f>
        <v>2572522.4696052261</v>
      </c>
      <c r="J36" s="329">
        <f>'Purchased Power Model'!J$238</f>
        <v>2573031.0387282665</v>
      </c>
      <c r="K36" s="329">
        <f>'Purchased Power Model'!J$239</f>
        <v>2573539.6078513069</v>
      </c>
      <c r="L36" s="329">
        <f>'Purchased Power Model'!J$240</f>
        <v>2574048.1769743473</v>
      </c>
      <c r="M36" s="329">
        <f>'Purchased Power Model'!J$241</f>
        <v>2574556.7460973877</v>
      </c>
      <c r="N36" s="329">
        <f>'Purchased Power Model'!J$242</f>
        <v>2575065.3152204282</v>
      </c>
      <c r="O36" s="330">
        <f>SUM(C36:N36)</f>
        <v>30867472.505085994</v>
      </c>
    </row>
    <row r="37" spans="1:15" x14ac:dyDescent="0.2">
      <c r="B37" s="323" t="s">
        <v>285</v>
      </c>
      <c r="C37" s="329">
        <f>'Purchased Power Model'!J$219</f>
        <v>2124894.5700117503</v>
      </c>
      <c r="D37" s="329">
        <f>'Purchased Power Model'!J$220</f>
        <v>2148417.1950117499</v>
      </c>
      <c r="E37" s="329">
        <f>'Purchased Power Model'!J$221</f>
        <v>2188541.7801942979</v>
      </c>
      <c r="F37" s="329">
        <f>'Purchased Power Model'!J$222</f>
        <v>2228666.3653768459</v>
      </c>
      <c r="G37" s="329">
        <f>'Purchased Power Model'!J$223</f>
        <v>2268790.950559394</v>
      </c>
      <c r="H37" s="329">
        <f>'Purchased Power Model'!J$224</f>
        <v>2308915.535741942</v>
      </c>
      <c r="I37" s="329">
        <f>'Purchased Power Model'!J$225</f>
        <v>2349040.12092449</v>
      </c>
      <c r="J37" s="329">
        <f>'Purchased Power Model'!J$226</f>
        <v>2389164.7061070381</v>
      </c>
      <c r="K37" s="329">
        <f>'Purchased Power Model'!J$227</f>
        <v>2429289.2912895861</v>
      </c>
      <c r="L37" s="329">
        <f>'Purchased Power Model'!J$228</f>
        <v>2469413.8764721341</v>
      </c>
      <c r="M37" s="329">
        <f>'Purchased Power Model'!J$229</f>
        <v>2509538.4616546822</v>
      </c>
      <c r="N37" s="329">
        <f>'Purchased Power Model'!J$230</f>
        <v>2549663.0468372302</v>
      </c>
      <c r="O37" s="330">
        <f>SUM(C37:N37)</f>
        <v>27964335.900181137</v>
      </c>
    </row>
    <row r="38" spans="1:15" x14ac:dyDescent="0.2">
      <c r="B38" s="323" t="s">
        <v>45</v>
      </c>
      <c r="C38" s="329">
        <f>C36-C37</f>
        <v>444830.76941675367</v>
      </c>
      <c r="D38" s="329">
        <f t="shared" ref="D38:N38" si="9">D36-D37</f>
        <v>421562.42897827411</v>
      </c>
      <c r="E38" s="329">
        <f t="shared" si="9"/>
        <v>381946.41291876649</v>
      </c>
      <c r="F38" s="329">
        <f t="shared" si="9"/>
        <v>342330.39685925888</v>
      </c>
      <c r="G38" s="329">
        <f t="shared" si="9"/>
        <v>302714.38079975126</v>
      </c>
      <c r="H38" s="329">
        <f t="shared" si="9"/>
        <v>263098.36474024365</v>
      </c>
      <c r="I38" s="329">
        <f t="shared" si="9"/>
        <v>223482.34868073603</v>
      </c>
      <c r="J38" s="329">
        <f t="shared" si="9"/>
        <v>183866.33262122842</v>
      </c>
      <c r="K38" s="329">
        <f t="shared" si="9"/>
        <v>144250.3165617208</v>
      </c>
      <c r="L38" s="329">
        <f t="shared" si="9"/>
        <v>104634.30050221318</v>
      </c>
      <c r="M38" s="329">
        <f t="shared" si="9"/>
        <v>65018.284442705568</v>
      </c>
      <c r="N38" s="329">
        <f t="shared" si="9"/>
        <v>25402.268383197952</v>
      </c>
      <c r="O38" s="330">
        <f>SUM(C38:N38)</f>
        <v>2903136.60490485</v>
      </c>
    </row>
    <row r="39" spans="1:15" x14ac:dyDescent="0.2">
      <c r="B39" s="323" t="s">
        <v>295</v>
      </c>
      <c r="C39" s="329">
        <f>'Purchased Power Model'!$S$23</f>
        <v>-5.3104861857736232</v>
      </c>
      <c r="D39" s="329">
        <f>'Purchased Power Model'!$S$23</f>
        <v>-5.3104861857736232</v>
      </c>
      <c r="E39" s="329">
        <f>'Purchased Power Model'!$S$23</f>
        <v>-5.3104861857736232</v>
      </c>
      <c r="F39" s="329">
        <f>'Purchased Power Model'!$S$23</f>
        <v>-5.3104861857736232</v>
      </c>
      <c r="G39" s="329">
        <f>'Purchased Power Model'!$S$23</f>
        <v>-5.3104861857736232</v>
      </c>
      <c r="H39" s="329">
        <f>'Purchased Power Model'!$S$23</f>
        <v>-5.3104861857736232</v>
      </c>
      <c r="I39" s="329">
        <f>'Purchased Power Model'!$S$23</f>
        <v>-5.3104861857736232</v>
      </c>
      <c r="J39" s="329">
        <f>'Purchased Power Model'!$S$23</f>
        <v>-5.3104861857736232</v>
      </c>
      <c r="K39" s="329">
        <f>'Purchased Power Model'!$S$23</f>
        <v>-5.3104861857736232</v>
      </c>
      <c r="L39" s="329">
        <f>'Purchased Power Model'!$S$23</f>
        <v>-5.3104861857736232</v>
      </c>
      <c r="M39" s="329">
        <f>'Purchased Power Model'!$S$23</f>
        <v>-5.3104861857736232</v>
      </c>
      <c r="N39" s="329">
        <f>'Purchased Power Model'!$S$23</f>
        <v>-5.3104861857736232</v>
      </c>
      <c r="O39" s="330"/>
    </row>
    <row r="40" spans="1:15" x14ac:dyDescent="0.2">
      <c r="B40" s="323" t="s">
        <v>286</v>
      </c>
      <c r="C40" s="324">
        <f>C38*C39</f>
        <v>-2362267.6559947222</v>
      </c>
      <c r="D40" s="324">
        <f t="shared" ref="D40:N40" si="10">D38*D39</f>
        <v>-2238701.4555302989</v>
      </c>
      <c r="E40" s="324">
        <f t="shared" si="10"/>
        <v>-2028321.1495108977</v>
      </c>
      <c r="F40" s="324">
        <f t="shared" si="10"/>
        <v>-1817940.8434914963</v>
      </c>
      <c r="G40" s="324">
        <f t="shared" si="10"/>
        <v>-1607560.5374720951</v>
      </c>
      <c r="H40" s="324">
        <f t="shared" si="10"/>
        <v>-1397180.2314526939</v>
      </c>
      <c r="I40" s="324">
        <f t="shared" si="10"/>
        <v>-1186799.9254332928</v>
      </c>
      <c r="J40" s="324">
        <f t="shared" si="10"/>
        <v>-976419.61941389157</v>
      </c>
      <c r="K40" s="324">
        <f t="shared" si="10"/>
        <v>-766039.3133944904</v>
      </c>
      <c r="L40" s="324">
        <f t="shared" si="10"/>
        <v>-555659.00737508922</v>
      </c>
      <c r="M40" s="324">
        <f t="shared" si="10"/>
        <v>-345278.70135568798</v>
      </c>
      <c r="N40" s="324">
        <f t="shared" si="10"/>
        <v>-134898.39533628681</v>
      </c>
      <c r="O40" s="328">
        <f>SUM(C40:N40)</f>
        <v>-15417066.835760945</v>
      </c>
    </row>
    <row r="41" spans="1:15" x14ac:dyDescent="0.2">
      <c r="B41" s="5"/>
      <c r="C41" s="26"/>
      <c r="D41" s="26"/>
      <c r="E41" s="58"/>
      <c r="F41" s="58"/>
      <c r="G41" s="36"/>
      <c r="H41" s="1"/>
      <c r="I41" s="1"/>
      <c r="J41" s="1"/>
      <c r="K41" s="1"/>
      <c r="L41" s="1"/>
      <c r="M41" s="1"/>
      <c r="N41" s="1"/>
      <c r="O41" s="1"/>
    </row>
    <row r="42" spans="1:15" x14ac:dyDescent="0.2">
      <c r="B42" s="5"/>
      <c r="C42" s="26"/>
      <c r="D42" s="26"/>
      <c r="E42" s="58"/>
      <c r="F42" s="58"/>
      <c r="G42" s="36"/>
      <c r="H42" s="1"/>
      <c r="I42" s="1"/>
      <c r="J42" s="1"/>
      <c r="K42" s="1"/>
      <c r="L42" s="1"/>
      <c r="M42" s="1"/>
      <c r="N42" s="1"/>
      <c r="O42" s="1"/>
    </row>
    <row r="43" spans="1:15" x14ac:dyDescent="0.2">
      <c r="A43" s="319" t="s">
        <v>291</v>
      </c>
      <c r="B43" s="323" t="s">
        <v>284</v>
      </c>
      <c r="C43" s="329">
        <f>'Purchased Power Model'!K$231</f>
        <v>0</v>
      </c>
      <c r="D43" s="329">
        <f>'Purchased Power Model'!K$232</f>
        <v>0</v>
      </c>
      <c r="E43" s="329">
        <f>'Purchased Power Model'!K$233</f>
        <v>1</v>
      </c>
      <c r="F43" s="329">
        <f>'Purchased Power Model'!K$234</f>
        <v>1</v>
      </c>
      <c r="G43" s="329">
        <f>'Purchased Power Model'!K$235</f>
        <v>1</v>
      </c>
      <c r="H43" s="329">
        <f>'Purchased Power Model'!K$236</f>
        <v>0</v>
      </c>
      <c r="I43" s="329">
        <f>'Purchased Power Model'!K$237</f>
        <v>0</v>
      </c>
      <c r="J43" s="329">
        <f>'Purchased Power Model'!K$238</f>
        <v>0</v>
      </c>
      <c r="K43" s="329">
        <f>'Purchased Power Model'!K$239</f>
        <v>1</v>
      </c>
      <c r="L43" s="329">
        <f>'Purchased Power Model'!K$240</f>
        <v>1</v>
      </c>
      <c r="M43" s="329">
        <f>'Purchased Power Model'!K$241</f>
        <v>1</v>
      </c>
      <c r="N43" s="329">
        <f>'Purchased Power Model'!K$242</f>
        <v>0</v>
      </c>
      <c r="O43" s="330">
        <f>SUM(C43:N43)</f>
        <v>6</v>
      </c>
    </row>
    <row r="44" spans="1:15" x14ac:dyDescent="0.2">
      <c r="B44" s="323" t="s">
        <v>285</v>
      </c>
      <c r="C44" s="329">
        <f>'Purchased Power Model'!K$219</f>
        <v>0</v>
      </c>
      <c r="D44" s="329">
        <f>'Purchased Power Model'!K$220</f>
        <v>0</v>
      </c>
      <c r="E44" s="329">
        <f>'Purchased Power Model'!K$221</f>
        <v>1</v>
      </c>
      <c r="F44" s="329">
        <f>'Purchased Power Model'!K$222</f>
        <v>1</v>
      </c>
      <c r="G44" s="329">
        <f>'Purchased Power Model'!K$223</f>
        <v>1</v>
      </c>
      <c r="H44" s="329">
        <f>'Purchased Power Model'!K$224</f>
        <v>0</v>
      </c>
      <c r="I44" s="329">
        <f>'Purchased Power Model'!K$225</f>
        <v>0</v>
      </c>
      <c r="J44" s="329">
        <f>'Purchased Power Model'!K$226</f>
        <v>0</v>
      </c>
      <c r="K44" s="329">
        <f>'Purchased Power Model'!K$227</f>
        <v>1</v>
      </c>
      <c r="L44" s="329">
        <f>'Purchased Power Model'!K$228</f>
        <v>1</v>
      </c>
      <c r="M44" s="329">
        <f>'Purchased Power Model'!K$229</f>
        <v>1</v>
      </c>
      <c r="N44" s="329">
        <f>'Purchased Power Model'!K$230</f>
        <v>0</v>
      </c>
      <c r="O44" s="330">
        <f>SUM(C44:N44)</f>
        <v>6</v>
      </c>
    </row>
    <row r="45" spans="1:15" x14ac:dyDescent="0.2">
      <c r="B45" s="323" t="s">
        <v>45</v>
      </c>
      <c r="C45" s="329">
        <f>C43-C44</f>
        <v>0</v>
      </c>
      <c r="D45" s="329">
        <f t="shared" ref="D45:N45" si="11">D43-D44</f>
        <v>0</v>
      </c>
      <c r="E45" s="329">
        <f t="shared" si="11"/>
        <v>0</v>
      </c>
      <c r="F45" s="329">
        <f t="shared" si="11"/>
        <v>0</v>
      </c>
      <c r="G45" s="329">
        <f t="shared" si="11"/>
        <v>0</v>
      </c>
      <c r="H45" s="329">
        <f t="shared" si="11"/>
        <v>0</v>
      </c>
      <c r="I45" s="329">
        <f t="shared" si="11"/>
        <v>0</v>
      </c>
      <c r="J45" s="329">
        <f t="shared" si="11"/>
        <v>0</v>
      </c>
      <c r="K45" s="329">
        <f t="shared" si="11"/>
        <v>0</v>
      </c>
      <c r="L45" s="329">
        <f t="shared" si="11"/>
        <v>0</v>
      </c>
      <c r="M45" s="329">
        <f t="shared" si="11"/>
        <v>0</v>
      </c>
      <c r="N45" s="329">
        <f t="shared" si="11"/>
        <v>0</v>
      </c>
      <c r="O45" s="330">
        <f>SUM(C45:N45)</f>
        <v>0</v>
      </c>
    </row>
    <row r="46" spans="1:15" x14ac:dyDescent="0.2">
      <c r="B46" s="323" t="s">
        <v>295</v>
      </c>
      <c r="C46" s="329">
        <f>'Purchased Power Model'!$S$24</f>
        <v>-5190218.4103884846</v>
      </c>
      <c r="D46" s="329">
        <f>'Purchased Power Model'!$S$24</f>
        <v>-5190218.4103884846</v>
      </c>
      <c r="E46" s="329">
        <f>'Purchased Power Model'!$S$24</f>
        <v>-5190218.4103884846</v>
      </c>
      <c r="F46" s="329">
        <f>'Purchased Power Model'!$S$24</f>
        <v>-5190218.4103884846</v>
      </c>
      <c r="G46" s="329">
        <f>'Purchased Power Model'!$S$24</f>
        <v>-5190218.4103884846</v>
      </c>
      <c r="H46" s="329">
        <f>'Purchased Power Model'!$S$24</f>
        <v>-5190218.4103884846</v>
      </c>
      <c r="I46" s="329">
        <f>'Purchased Power Model'!$S$24</f>
        <v>-5190218.4103884846</v>
      </c>
      <c r="J46" s="329">
        <f>'Purchased Power Model'!$S$24</f>
        <v>-5190218.4103884846</v>
      </c>
      <c r="K46" s="329">
        <f>'Purchased Power Model'!$S$24</f>
        <v>-5190218.4103884846</v>
      </c>
      <c r="L46" s="329">
        <f>'Purchased Power Model'!$S$24</f>
        <v>-5190218.4103884846</v>
      </c>
      <c r="M46" s="329">
        <f>'Purchased Power Model'!$S$24</f>
        <v>-5190218.4103884846</v>
      </c>
      <c r="N46" s="329">
        <f>'Purchased Power Model'!$S$24</f>
        <v>-5190218.4103884846</v>
      </c>
      <c r="O46" s="330"/>
    </row>
    <row r="47" spans="1:15" x14ac:dyDescent="0.2">
      <c r="B47" s="323" t="s">
        <v>286</v>
      </c>
      <c r="C47" s="324">
        <f>C45*C46</f>
        <v>0</v>
      </c>
      <c r="D47" s="324">
        <f t="shared" ref="D47:N47" si="12">D45*D46</f>
        <v>0</v>
      </c>
      <c r="E47" s="324">
        <f t="shared" si="12"/>
        <v>0</v>
      </c>
      <c r="F47" s="324">
        <f t="shared" si="12"/>
        <v>0</v>
      </c>
      <c r="G47" s="324">
        <f t="shared" si="12"/>
        <v>0</v>
      </c>
      <c r="H47" s="324">
        <f t="shared" si="12"/>
        <v>0</v>
      </c>
      <c r="I47" s="324">
        <f t="shared" si="12"/>
        <v>0</v>
      </c>
      <c r="J47" s="324">
        <f t="shared" si="12"/>
        <v>0</v>
      </c>
      <c r="K47" s="324">
        <f t="shared" si="12"/>
        <v>0</v>
      </c>
      <c r="L47" s="324">
        <f t="shared" si="12"/>
        <v>0</v>
      </c>
      <c r="M47" s="324">
        <f t="shared" si="12"/>
        <v>0</v>
      </c>
      <c r="N47" s="324">
        <f t="shared" si="12"/>
        <v>0</v>
      </c>
      <c r="O47" s="328">
        <f>SUM(C47:N47)</f>
        <v>0</v>
      </c>
    </row>
    <row r="48" spans="1:15" x14ac:dyDescent="0.2">
      <c r="B48" s="5"/>
      <c r="C48" s="26"/>
      <c r="D48" s="26"/>
      <c r="E48" s="58"/>
      <c r="F48" s="58"/>
      <c r="G48" s="36"/>
      <c r="H48" s="1"/>
      <c r="I48" s="1"/>
      <c r="J48" s="1"/>
      <c r="K48" s="1"/>
      <c r="L48" s="1"/>
      <c r="M48" s="1"/>
      <c r="N48" s="1"/>
      <c r="O48" s="1"/>
    </row>
    <row r="49" spans="1:15" x14ac:dyDescent="0.2">
      <c r="B49" s="5"/>
      <c r="C49" s="26"/>
      <c r="D49" s="26"/>
      <c r="E49" s="58"/>
      <c r="F49" s="58"/>
      <c r="G49" s="36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319" t="s">
        <v>21</v>
      </c>
      <c r="B50" s="323" t="s">
        <v>284</v>
      </c>
      <c r="C50" s="329">
        <f>'Purchased Power Model'!L$231</f>
        <v>136625.86433995163</v>
      </c>
      <c r="D50" s="329">
        <f>'Purchased Power Model'!L$232</f>
        <v>136671.66046395025</v>
      </c>
      <c r="E50" s="329">
        <f>'Purchased Power Model'!L$233</f>
        <v>136717.45658794887</v>
      </c>
      <c r="F50" s="329">
        <f>'Purchased Power Model'!L$234</f>
        <v>136763.25271194748</v>
      </c>
      <c r="G50" s="329">
        <f>'Purchased Power Model'!L$235</f>
        <v>136809.0488359461</v>
      </c>
      <c r="H50" s="329">
        <f>'Purchased Power Model'!L$236</f>
        <v>136854.84495994472</v>
      </c>
      <c r="I50" s="329">
        <f>'Purchased Power Model'!L$237</f>
        <v>136900.64108394334</v>
      </c>
      <c r="J50" s="329">
        <f>'Purchased Power Model'!L$238</f>
        <v>136946.43720794196</v>
      </c>
      <c r="K50" s="329">
        <f>'Purchased Power Model'!L$239</f>
        <v>136992.23333194057</v>
      </c>
      <c r="L50" s="329">
        <f>'Purchased Power Model'!L$240</f>
        <v>137038.02945593919</v>
      </c>
      <c r="M50" s="329">
        <f>'Purchased Power Model'!L$241</f>
        <v>137083.82557993781</v>
      </c>
      <c r="N50" s="329">
        <f>'Purchased Power Model'!L$242</f>
        <v>137129.62170393643</v>
      </c>
      <c r="O50" s="330">
        <f>SUM(C50:N50)</f>
        <v>1642532.9162633284</v>
      </c>
    </row>
    <row r="51" spans="1:15" x14ac:dyDescent="0.2">
      <c r="B51" s="323" t="s">
        <v>285</v>
      </c>
      <c r="C51" s="329">
        <f>'Purchased Power Model'!L$219</f>
        <v>136076.31085196821</v>
      </c>
      <c r="D51" s="329">
        <f>'Purchased Power Model'!L$220</f>
        <v>136122.10697596683</v>
      </c>
      <c r="E51" s="329">
        <f>'Purchased Power Model'!L$221</f>
        <v>136167.90309996545</v>
      </c>
      <c r="F51" s="329">
        <f>'Purchased Power Model'!L$222</f>
        <v>136213.69922396407</v>
      </c>
      <c r="G51" s="329">
        <f>'Purchased Power Model'!L$223</f>
        <v>136259.49534796269</v>
      </c>
      <c r="H51" s="329">
        <f>'Purchased Power Model'!L$224</f>
        <v>136305.2914719613</v>
      </c>
      <c r="I51" s="329">
        <f>'Purchased Power Model'!L$225</f>
        <v>136351.08759595992</v>
      </c>
      <c r="J51" s="329">
        <f>'Purchased Power Model'!L$226</f>
        <v>136396.88371995854</v>
      </c>
      <c r="K51" s="329">
        <f>'Purchased Power Model'!L$227</f>
        <v>136442.67984395716</v>
      </c>
      <c r="L51" s="329">
        <f>'Purchased Power Model'!L$228</f>
        <v>136488.47596795578</v>
      </c>
      <c r="M51" s="329">
        <f>'Purchased Power Model'!L$229</f>
        <v>136534.27209195439</v>
      </c>
      <c r="N51" s="329">
        <f>'Purchased Power Model'!L$230</f>
        <v>136580.06821595301</v>
      </c>
      <c r="O51" s="330">
        <f>SUM(C51:N51)</f>
        <v>1635938.2744075272</v>
      </c>
    </row>
    <row r="52" spans="1:15" x14ac:dyDescent="0.2">
      <c r="B52" s="323" t="s">
        <v>45</v>
      </c>
      <c r="C52" s="329">
        <f>C50-C51</f>
        <v>549.55348798341583</v>
      </c>
      <c r="D52" s="329">
        <f t="shared" ref="D52:N52" si="13">D50-D51</f>
        <v>549.55348798341583</v>
      </c>
      <c r="E52" s="329">
        <f t="shared" si="13"/>
        <v>549.55348798341583</v>
      </c>
      <c r="F52" s="329">
        <f t="shared" si="13"/>
        <v>549.55348798341583</v>
      </c>
      <c r="G52" s="329">
        <f t="shared" si="13"/>
        <v>549.55348798341583</v>
      </c>
      <c r="H52" s="329">
        <f t="shared" si="13"/>
        <v>549.55348798341583</v>
      </c>
      <c r="I52" s="329">
        <f t="shared" si="13"/>
        <v>549.55348798341583</v>
      </c>
      <c r="J52" s="329">
        <f t="shared" si="13"/>
        <v>549.55348798341583</v>
      </c>
      <c r="K52" s="329">
        <f t="shared" si="13"/>
        <v>549.55348798341583</v>
      </c>
      <c r="L52" s="329">
        <f t="shared" si="13"/>
        <v>549.55348798341583</v>
      </c>
      <c r="M52" s="329">
        <f t="shared" si="13"/>
        <v>549.55348798341583</v>
      </c>
      <c r="N52" s="329">
        <f t="shared" si="13"/>
        <v>549.55348798341583</v>
      </c>
      <c r="O52" s="330">
        <f>SUM(C52:N52)</f>
        <v>6594.64185580099</v>
      </c>
    </row>
    <row r="53" spans="1:15" x14ac:dyDescent="0.2">
      <c r="B53" s="323" t="s">
        <v>295</v>
      </c>
      <c r="C53" s="329">
        <f>'Purchased Power Model'!$S$25</f>
        <v>1320.7051505733818</v>
      </c>
      <c r="D53" s="329">
        <f>'Purchased Power Model'!$S$25</f>
        <v>1320.7051505733818</v>
      </c>
      <c r="E53" s="329">
        <f>'Purchased Power Model'!$S$25</f>
        <v>1320.7051505733818</v>
      </c>
      <c r="F53" s="329">
        <f>'Purchased Power Model'!$S$25</f>
        <v>1320.7051505733818</v>
      </c>
      <c r="G53" s="329">
        <f>'Purchased Power Model'!$S$25</f>
        <v>1320.7051505733818</v>
      </c>
      <c r="H53" s="329">
        <f>'Purchased Power Model'!$S$25</f>
        <v>1320.7051505733818</v>
      </c>
      <c r="I53" s="329">
        <f>'Purchased Power Model'!$S$25</f>
        <v>1320.7051505733818</v>
      </c>
      <c r="J53" s="329">
        <f>'Purchased Power Model'!$S$25</f>
        <v>1320.7051505733818</v>
      </c>
      <c r="K53" s="329">
        <f>'Purchased Power Model'!$S$25</f>
        <v>1320.7051505733818</v>
      </c>
      <c r="L53" s="329">
        <f>'Purchased Power Model'!$S$25</f>
        <v>1320.7051505733818</v>
      </c>
      <c r="M53" s="329">
        <f>'Purchased Power Model'!$S$25</f>
        <v>1320.7051505733818</v>
      </c>
      <c r="N53" s="329">
        <f>'Purchased Power Model'!$S$25</f>
        <v>1320.7051505733818</v>
      </c>
      <c r="O53" s="330"/>
    </row>
    <row r="54" spans="1:15" x14ac:dyDescent="0.2">
      <c r="B54" s="323" t="s">
        <v>286</v>
      </c>
      <c r="C54" s="324">
        <f>C52*C53</f>
        <v>725798.12209526438</v>
      </c>
      <c r="D54" s="324">
        <f t="shared" ref="D54:N54" si="14">D52*D53</f>
        <v>725798.12209526438</v>
      </c>
      <c r="E54" s="324">
        <f t="shared" si="14"/>
        <v>725798.12209526438</v>
      </c>
      <c r="F54" s="324">
        <f t="shared" si="14"/>
        <v>725798.12209526438</v>
      </c>
      <c r="G54" s="324">
        <f t="shared" si="14"/>
        <v>725798.12209526438</v>
      </c>
      <c r="H54" s="324">
        <f t="shared" si="14"/>
        <v>725798.12209526438</v>
      </c>
      <c r="I54" s="324">
        <f t="shared" si="14"/>
        <v>725798.12209526438</v>
      </c>
      <c r="J54" s="324">
        <f t="shared" si="14"/>
        <v>725798.12209526438</v>
      </c>
      <c r="K54" s="324">
        <f t="shared" si="14"/>
        <v>725798.12209526438</v>
      </c>
      <c r="L54" s="324">
        <f t="shared" si="14"/>
        <v>725798.12209526438</v>
      </c>
      <c r="M54" s="324">
        <f t="shared" si="14"/>
        <v>725798.12209526438</v>
      </c>
      <c r="N54" s="324">
        <f t="shared" si="14"/>
        <v>725798.12209526438</v>
      </c>
      <c r="O54" s="328">
        <f>SUM(C54:N54)</f>
        <v>8709577.4651431721</v>
      </c>
    </row>
    <row r="55" spans="1:15" x14ac:dyDescent="0.2">
      <c r="B55" s="5"/>
      <c r="C55" s="26"/>
      <c r="D55" s="26"/>
      <c r="E55" s="58"/>
      <c r="F55" s="58"/>
      <c r="G55" s="36"/>
      <c r="H55" s="1"/>
      <c r="I55" s="1"/>
      <c r="J55" s="1"/>
      <c r="K55" s="1"/>
      <c r="L55" s="1"/>
      <c r="M55" s="1"/>
      <c r="N55" s="1"/>
      <c r="O55" s="1"/>
    </row>
    <row r="56" spans="1:15" x14ac:dyDescent="0.2">
      <c r="B56" s="5"/>
      <c r="C56" s="26"/>
      <c r="D56" s="26"/>
      <c r="E56" s="58"/>
      <c r="F56" s="58"/>
      <c r="G56" s="36"/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319" t="s">
        <v>292</v>
      </c>
      <c r="B57" s="323" t="s">
        <v>284</v>
      </c>
      <c r="C57" s="329">
        <f>'Purchased Power Model'!M$231</f>
        <v>320</v>
      </c>
      <c r="D57" s="329">
        <f>'Purchased Power Model'!M$232</f>
        <v>304</v>
      </c>
      <c r="E57" s="329">
        <f>'Purchased Power Model'!M$233</f>
        <v>368</v>
      </c>
      <c r="F57" s="329">
        <f>'Purchased Power Model'!M$234</f>
        <v>320</v>
      </c>
      <c r="G57" s="329">
        <f>'Purchased Power Model'!M$235</f>
        <v>320</v>
      </c>
      <c r="H57" s="329">
        <f>'Purchased Power Model'!M$236</f>
        <v>352</v>
      </c>
      <c r="I57" s="329">
        <f>'Purchased Power Model'!M$237</f>
        <v>336</v>
      </c>
      <c r="J57" s="329">
        <f>'Purchased Power Model'!M$238</f>
        <v>336</v>
      </c>
      <c r="K57" s="329">
        <f>'Purchased Power Model'!M$239</f>
        <v>336</v>
      </c>
      <c r="L57" s="329">
        <f>'Purchased Power Model'!M$240</f>
        <v>320</v>
      </c>
      <c r="M57" s="329">
        <f>'Purchased Power Model'!M$241</f>
        <v>336</v>
      </c>
      <c r="N57" s="329">
        <f>'Purchased Power Model'!M$242</f>
        <v>368</v>
      </c>
      <c r="O57" s="330">
        <f>SUM(C57:N57)</f>
        <v>4016</v>
      </c>
    </row>
    <row r="58" spans="1:15" x14ac:dyDescent="0.2">
      <c r="B58" s="323" t="s">
        <v>285</v>
      </c>
      <c r="C58" s="329">
        <f>'Purchased Power Model'!M$219</f>
        <v>320</v>
      </c>
      <c r="D58" s="329">
        <f>'Purchased Power Model'!M$220</f>
        <v>304</v>
      </c>
      <c r="E58" s="329">
        <f>'Purchased Power Model'!M$221</f>
        <v>368</v>
      </c>
      <c r="F58" s="329">
        <f>'Purchased Power Model'!M$222</f>
        <v>320</v>
      </c>
      <c r="G58" s="329">
        <f>'Purchased Power Model'!M$223</f>
        <v>320</v>
      </c>
      <c r="H58" s="329">
        <f>'Purchased Power Model'!M$224</f>
        <v>352</v>
      </c>
      <c r="I58" s="329">
        <f>'Purchased Power Model'!M$225</f>
        <v>336</v>
      </c>
      <c r="J58" s="329">
        <f>'Purchased Power Model'!M$226</f>
        <v>336</v>
      </c>
      <c r="K58" s="329">
        <f>'Purchased Power Model'!M$227</f>
        <v>336</v>
      </c>
      <c r="L58" s="329">
        <f>'Purchased Power Model'!M$228</f>
        <v>320</v>
      </c>
      <c r="M58" s="329">
        <f>'Purchased Power Model'!M$229</f>
        <v>336</v>
      </c>
      <c r="N58" s="329">
        <f>'Purchased Power Model'!M$230</f>
        <v>368</v>
      </c>
      <c r="O58" s="330">
        <f>SUM(C58:N58)</f>
        <v>4016</v>
      </c>
    </row>
    <row r="59" spans="1:15" x14ac:dyDescent="0.2">
      <c r="B59" s="323" t="s">
        <v>45</v>
      </c>
      <c r="C59" s="329">
        <f>C57-C58</f>
        <v>0</v>
      </c>
      <c r="D59" s="329">
        <f t="shared" ref="D59:N59" si="15">D57-D58</f>
        <v>0</v>
      </c>
      <c r="E59" s="329">
        <f t="shared" si="15"/>
        <v>0</v>
      </c>
      <c r="F59" s="329">
        <f t="shared" si="15"/>
        <v>0</v>
      </c>
      <c r="G59" s="329">
        <f t="shared" si="15"/>
        <v>0</v>
      </c>
      <c r="H59" s="329">
        <f t="shared" si="15"/>
        <v>0</v>
      </c>
      <c r="I59" s="329">
        <f t="shared" si="15"/>
        <v>0</v>
      </c>
      <c r="J59" s="329">
        <f t="shared" si="15"/>
        <v>0</v>
      </c>
      <c r="K59" s="329">
        <f t="shared" si="15"/>
        <v>0</v>
      </c>
      <c r="L59" s="329">
        <f t="shared" si="15"/>
        <v>0</v>
      </c>
      <c r="M59" s="329">
        <f t="shared" si="15"/>
        <v>0</v>
      </c>
      <c r="N59" s="329">
        <f t="shared" si="15"/>
        <v>0</v>
      </c>
      <c r="O59" s="330">
        <f>SUM(C59:N59)</f>
        <v>0</v>
      </c>
    </row>
    <row r="60" spans="1:15" x14ac:dyDescent="0.2">
      <c r="B60" s="323" t="s">
        <v>295</v>
      </c>
      <c r="C60" s="329">
        <f>'Purchased Power Model'!$S$26</f>
        <v>0</v>
      </c>
      <c r="D60" s="329">
        <f>'Purchased Power Model'!$S$26</f>
        <v>0</v>
      </c>
      <c r="E60" s="329">
        <f>'Purchased Power Model'!$S$26</f>
        <v>0</v>
      </c>
      <c r="F60" s="329">
        <f>'Purchased Power Model'!$S$26</f>
        <v>0</v>
      </c>
      <c r="G60" s="329">
        <f>'Purchased Power Model'!$S$26</f>
        <v>0</v>
      </c>
      <c r="H60" s="329">
        <f>'Purchased Power Model'!$S$26</f>
        <v>0</v>
      </c>
      <c r="I60" s="329">
        <f>'Purchased Power Model'!$S$26</f>
        <v>0</v>
      </c>
      <c r="J60" s="329">
        <f>'Purchased Power Model'!$S$26</f>
        <v>0</v>
      </c>
      <c r="K60" s="329">
        <f>'Purchased Power Model'!$S$26</f>
        <v>0</v>
      </c>
      <c r="L60" s="329">
        <f>'Purchased Power Model'!$S$26</f>
        <v>0</v>
      </c>
      <c r="M60" s="329">
        <f>'Purchased Power Model'!$S$26</f>
        <v>0</v>
      </c>
      <c r="N60" s="329">
        <f>'Purchased Power Model'!$S$26</f>
        <v>0</v>
      </c>
      <c r="O60" s="330"/>
    </row>
    <row r="61" spans="1:15" x14ac:dyDescent="0.2">
      <c r="B61" s="323" t="s">
        <v>286</v>
      </c>
      <c r="C61" s="324">
        <f>C59*C60</f>
        <v>0</v>
      </c>
      <c r="D61" s="324">
        <f t="shared" ref="D61:N61" si="16">D59*D60</f>
        <v>0</v>
      </c>
      <c r="E61" s="324">
        <f t="shared" si="16"/>
        <v>0</v>
      </c>
      <c r="F61" s="324">
        <f t="shared" si="16"/>
        <v>0</v>
      </c>
      <c r="G61" s="324">
        <f t="shared" si="16"/>
        <v>0</v>
      </c>
      <c r="H61" s="324">
        <f t="shared" si="16"/>
        <v>0</v>
      </c>
      <c r="I61" s="324">
        <f t="shared" si="16"/>
        <v>0</v>
      </c>
      <c r="J61" s="324">
        <f t="shared" si="16"/>
        <v>0</v>
      </c>
      <c r="K61" s="324">
        <f t="shared" si="16"/>
        <v>0</v>
      </c>
      <c r="L61" s="324">
        <f t="shared" si="16"/>
        <v>0</v>
      </c>
      <c r="M61" s="324">
        <f t="shared" si="16"/>
        <v>0</v>
      </c>
      <c r="N61" s="324">
        <f t="shared" si="16"/>
        <v>0</v>
      </c>
      <c r="O61" s="328">
        <f>SUM(C61:N61)</f>
        <v>0</v>
      </c>
    </row>
    <row r="62" spans="1:15" x14ac:dyDescent="0.2">
      <c r="B62" s="5"/>
      <c r="C62" s="26"/>
      <c r="D62" s="26"/>
      <c r="E62" s="58"/>
      <c r="F62" s="58"/>
      <c r="G62" s="36"/>
      <c r="H62" s="1"/>
      <c r="I62" s="1"/>
      <c r="J62" s="1"/>
      <c r="K62" s="1"/>
      <c r="L62" s="1"/>
      <c r="M62" s="1"/>
      <c r="N62" s="1"/>
      <c r="O62" s="1"/>
    </row>
    <row r="63" spans="1:15" x14ac:dyDescent="0.2">
      <c r="B63" s="5"/>
      <c r="C63" s="26"/>
      <c r="D63" s="26"/>
      <c r="E63" s="58"/>
      <c r="F63" s="58"/>
      <c r="G63" s="36"/>
      <c r="H63" s="1"/>
      <c r="I63" s="1"/>
      <c r="J63" s="1"/>
      <c r="K63" s="1"/>
      <c r="L63" s="1"/>
      <c r="M63" s="1"/>
      <c r="N63" s="1"/>
      <c r="O63" s="1"/>
    </row>
    <row r="64" spans="1:15" x14ac:dyDescent="0.2">
      <c r="B64" s="5"/>
      <c r="C64" s="26"/>
      <c r="D64" s="26"/>
      <c r="E64" s="58"/>
      <c r="F64" s="58"/>
      <c r="G64" s="36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319" t="s">
        <v>296</v>
      </c>
      <c r="B65" s="5"/>
      <c r="C65" s="26">
        <f>C12+C19+C26+C33+C40+C47+C54+C61</f>
        <v>-552074.17219104513</v>
      </c>
      <c r="D65" s="26">
        <f t="shared" ref="D65:O65" si="17">D12+D19+D26+D33+D40+D47+D54+D61</f>
        <v>-422444.30941695871</v>
      </c>
      <c r="E65" s="26">
        <f t="shared" si="17"/>
        <v>-206000.34108789463</v>
      </c>
      <c r="F65" s="26">
        <f t="shared" si="17"/>
        <v>10443.627241169685</v>
      </c>
      <c r="G65" s="26">
        <f t="shared" si="17"/>
        <v>226887.595570234</v>
      </c>
      <c r="H65" s="26">
        <f t="shared" si="17"/>
        <v>443331.56389929808</v>
      </c>
      <c r="I65" s="26">
        <f t="shared" si="17"/>
        <v>659775.5322283624</v>
      </c>
      <c r="J65" s="26">
        <f t="shared" si="17"/>
        <v>876219.50055742648</v>
      </c>
      <c r="K65" s="26">
        <f t="shared" si="17"/>
        <v>1092663.4688864909</v>
      </c>
      <c r="L65" s="26">
        <f t="shared" si="17"/>
        <v>1309107.437215555</v>
      </c>
      <c r="M65" s="26">
        <f t="shared" si="17"/>
        <v>1525551.4055446191</v>
      </c>
      <c r="N65" s="26">
        <f t="shared" si="17"/>
        <v>1741995.3738736832</v>
      </c>
      <c r="O65" s="26">
        <f t="shared" si="17"/>
        <v>6705456.6823209357</v>
      </c>
    </row>
    <row r="66" spans="1:15" x14ac:dyDescent="0.2">
      <c r="B66" s="5"/>
      <c r="C66" s="26"/>
      <c r="D66" s="26"/>
      <c r="E66" s="58"/>
      <c r="F66" s="58"/>
      <c r="G66" s="36"/>
      <c r="H66" s="1"/>
      <c r="I66" s="1"/>
      <c r="J66" s="1"/>
      <c r="K66" s="1"/>
      <c r="L66" s="1"/>
      <c r="M66" s="1"/>
      <c r="N66" s="1"/>
      <c r="O66" s="1"/>
    </row>
    <row r="67" spans="1:15" x14ac:dyDescent="0.2">
      <c r="B67" s="5"/>
      <c r="C67" s="26"/>
      <c r="D67" s="26"/>
      <c r="E67" s="58"/>
      <c r="F67" s="58"/>
      <c r="G67" s="36"/>
      <c r="H67" s="1"/>
      <c r="I67" s="1"/>
      <c r="J67" s="1"/>
      <c r="K67" s="1"/>
      <c r="L67" s="1"/>
      <c r="M67" s="1"/>
      <c r="N67" s="1"/>
      <c r="O67" s="1"/>
    </row>
    <row r="68" spans="1:15" x14ac:dyDescent="0.2">
      <c r="B68" s="5"/>
      <c r="C68" s="26"/>
      <c r="D68" s="26"/>
      <c r="E68" s="58"/>
      <c r="F68" s="58"/>
      <c r="G68" s="36"/>
      <c r="H68" s="1"/>
      <c r="I68" s="1"/>
      <c r="J68" s="1"/>
      <c r="K68" s="1"/>
      <c r="L68" s="1"/>
      <c r="M68" s="1"/>
      <c r="N68" s="1"/>
      <c r="O68" s="1"/>
    </row>
    <row r="69" spans="1:15" x14ac:dyDescent="0.2">
      <c r="B69" s="5"/>
      <c r="C69" s="26"/>
      <c r="D69" s="26"/>
      <c r="E69" s="58"/>
      <c r="F69" s="58"/>
      <c r="G69" s="36"/>
      <c r="H69" s="1"/>
      <c r="I69" s="1"/>
      <c r="J69" s="1"/>
      <c r="K69" s="1"/>
      <c r="L69" s="1"/>
      <c r="M69" s="1"/>
      <c r="N69" s="1"/>
      <c r="O69" s="1"/>
    </row>
    <row r="70" spans="1:15" x14ac:dyDescent="0.2">
      <c r="B70" s="5"/>
      <c r="C70" s="26"/>
      <c r="D70" s="26"/>
      <c r="E70" s="58"/>
      <c r="F70" s="58"/>
      <c r="G70" s="36"/>
      <c r="H70" s="1"/>
      <c r="I70" s="1"/>
      <c r="J70" s="1"/>
      <c r="K70" s="1"/>
      <c r="L70" s="1"/>
      <c r="M70" s="1"/>
      <c r="N70" s="1"/>
      <c r="O70" s="1"/>
    </row>
    <row r="71" spans="1:15" x14ac:dyDescent="0.2">
      <c r="B71" s="5"/>
      <c r="C71" s="26"/>
      <c r="D71" s="26"/>
      <c r="E71" s="58"/>
      <c r="F71" s="58"/>
      <c r="G71" s="36"/>
      <c r="H71" s="1"/>
      <c r="I71" s="1"/>
      <c r="J71" s="1"/>
      <c r="K71" s="1"/>
      <c r="L71" s="1"/>
      <c r="M71" s="1"/>
      <c r="N71" s="1"/>
      <c r="O71" s="1"/>
    </row>
    <row r="72" spans="1:15" x14ac:dyDescent="0.2">
      <c r="B72" s="5"/>
      <c r="C72" s="26"/>
      <c r="D72" s="26"/>
      <c r="E72" s="58"/>
      <c r="F72" s="58"/>
      <c r="G72" s="36"/>
      <c r="H72" s="1"/>
      <c r="I72" s="1"/>
      <c r="J72" s="1"/>
      <c r="K72" s="1"/>
      <c r="L72" s="1"/>
      <c r="M72" s="1"/>
      <c r="N72" s="1"/>
      <c r="O72" s="1"/>
    </row>
    <row r="73" spans="1:15" x14ac:dyDescent="0.2">
      <c r="B73" s="5"/>
      <c r="C73" s="26"/>
      <c r="D73" s="26"/>
      <c r="E73" s="58"/>
      <c r="F73" s="58"/>
      <c r="G73" s="36"/>
      <c r="H73" s="1"/>
      <c r="I73" s="1"/>
      <c r="J73" s="1"/>
      <c r="K73" s="1"/>
      <c r="L73" s="1"/>
      <c r="M73" s="1"/>
      <c r="N73" s="1"/>
      <c r="O73" s="1"/>
    </row>
    <row r="74" spans="1:15" x14ac:dyDescent="0.2">
      <c r="B74" s="5"/>
      <c r="C74" s="26"/>
      <c r="D74" s="26"/>
      <c r="E74" s="58"/>
      <c r="F74" s="58"/>
      <c r="G74" s="36"/>
      <c r="H74" s="1"/>
      <c r="I74" s="1"/>
      <c r="J74" s="1"/>
      <c r="K74" s="1"/>
      <c r="L74" s="1"/>
      <c r="M74" s="1"/>
      <c r="N74" s="1"/>
      <c r="O74" s="1"/>
    </row>
    <row r="75" spans="1:15" x14ac:dyDescent="0.2">
      <c r="B75" s="5"/>
      <c r="C75" s="26"/>
      <c r="D75" s="26"/>
      <c r="E75" s="58"/>
      <c r="F75" s="58"/>
      <c r="G75" s="36"/>
      <c r="H75" s="1"/>
      <c r="I75" s="1"/>
      <c r="J75" s="1"/>
      <c r="K75" s="1"/>
      <c r="L75" s="1"/>
      <c r="M75" s="1"/>
      <c r="N75" s="1"/>
      <c r="O75" s="1"/>
    </row>
    <row r="76" spans="1:15" x14ac:dyDescent="0.2">
      <c r="B76" s="5"/>
      <c r="C76" s="26"/>
      <c r="D76" s="26"/>
      <c r="E76" s="58"/>
      <c r="F76" s="58"/>
      <c r="G76" s="36"/>
      <c r="H76" s="1"/>
      <c r="I76" s="1"/>
      <c r="J76" s="1"/>
      <c r="K76" s="1"/>
      <c r="L76" s="1"/>
      <c r="M76" s="1"/>
      <c r="N76" s="1"/>
      <c r="O76" s="1"/>
    </row>
    <row r="77" spans="1:15" x14ac:dyDescent="0.2">
      <c r="B77" s="5"/>
      <c r="C77" s="26"/>
      <c r="D77" s="26"/>
      <c r="E77" s="58"/>
      <c r="F77" s="58"/>
      <c r="G77" s="36"/>
      <c r="H77" s="1"/>
      <c r="I77" s="1"/>
      <c r="J77" s="1"/>
      <c r="K77" s="1"/>
      <c r="L77" s="1"/>
      <c r="M77" s="1"/>
      <c r="N77" s="1"/>
      <c r="O77" s="1"/>
    </row>
    <row r="78" spans="1:15" x14ac:dyDescent="0.2">
      <c r="B78" s="5"/>
      <c r="C78" s="26"/>
      <c r="D78" s="26"/>
      <c r="E78" s="58"/>
      <c r="F78" s="58"/>
      <c r="G78" s="36"/>
      <c r="H78" s="1"/>
      <c r="I78" s="1"/>
      <c r="J78" s="1"/>
      <c r="K78" s="1"/>
      <c r="L78" s="1"/>
      <c r="M78" s="1"/>
      <c r="N78" s="1"/>
      <c r="O78" s="1"/>
    </row>
    <row r="79" spans="1:15" x14ac:dyDescent="0.2">
      <c r="B79" s="5"/>
      <c r="C79" s="26"/>
      <c r="D79" s="26"/>
      <c r="E79" s="58"/>
      <c r="F79" s="58"/>
      <c r="G79" s="36"/>
      <c r="H79" s="1"/>
      <c r="I79" s="1"/>
      <c r="J79" s="1"/>
      <c r="K79" s="1"/>
      <c r="L79" s="1"/>
      <c r="M79" s="1"/>
      <c r="N79" s="1"/>
      <c r="O79" s="1"/>
    </row>
  </sheetData>
  <pageMargins left="0.22" right="0.22" top="0.43" bottom="0.36" header="0.3" footer="0.3"/>
  <pageSetup scale="6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48"/>
  <sheetViews>
    <sheetView zoomScale="75" zoomScaleNormal="75" workbookViewId="0">
      <pane xSplit="1" ySplit="2" topLeftCell="B199" activePane="bottomRight" state="frozen"/>
      <selection pane="topRight" activeCell="B1" sqref="B1"/>
      <selection pane="bottomLeft" activeCell="A3" sqref="A3"/>
      <selection pane="bottomRight" activeCell="C207" sqref="C207:C218"/>
    </sheetView>
  </sheetViews>
  <sheetFormatPr defaultRowHeight="12.75" outlineLevelCol="1" x14ac:dyDescent="0.2"/>
  <cols>
    <col min="1" max="1" width="15.42578125" customWidth="1"/>
    <col min="2" max="2" width="13.85546875" style="5" bestFit="1" customWidth="1"/>
    <col min="3" max="3" width="10" style="26" bestFit="1" customWidth="1"/>
    <col min="4" max="4" width="13.28515625" style="26" bestFit="1" customWidth="1"/>
    <col min="5" max="5" width="14" style="26" customWidth="1"/>
    <col min="6" max="6" width="13.85546875" style="58" customWidth="1"/>
    <col min="7" max="7" width="13.42578125" style="58" customWidth="1"/>
    <col min="8" max="8" width="14.42578125" style="36" customWidth="1"/>
    <col min="9" max="9" width="12.28515625" style="1" customWidth="1"/>
    <col min="10" max="10" width="12.7109375" style="1" customWidth="1"/>
    <col min="11" max="12" width="12.42578125" style="1" customWidth="1"/>
    <col min="13" max="13" width="13" style="1" customWidth="1"/>
    <col min="14" max="14" width="14.42578125" style="1" customWidth="1"/>
    <col min="15" max="15" width="15.42578125" style="1" bestFit="1" customWidth="1"/>
    <col min="16" max="16" width="17" style="1" hidden="1" customWidth="1" outlineLevel="1"/>
    <col min="17" max="17" width="12.42578125" style="1" hidden="1" customWidth="1" outlineLevel="1"/>
    <col min="18" max="18" width="25.85546875" bestFit="1" customWidth="1" collapsed="1"/>
    <col min="19" max="21" width="18" customWidth="1"/>
    <col min="22" max="22" width="17.140625" customWidth="1"/>
    <col min="23" max="24" width="15.7109375" customWidth="1"/>
    <col min="25" max="25" width="14.140625" bestFit="1" customWidth="1"/>
    <col min="26" max="26" width="11.7109375" bestFit="1" customWidth="1"/>
    <col min="27" max="27" width="11.85546875" bestFit="1" customWidth="1"/>
    <col min="28" max="28" width="12.5703125" style="5" customWidth="1"/>
    <col min="29" max="29" width="11.28515625" style="5" customWidth="1"/>
    <col min="30" max="30" width="11.5703125" style="5" customWidth="1"/>
    <col min="31" max="31" width="9.28515625" style="5" customWidth="1"/>
    <col min="32" max="32" width="9.140625" style="5"/>
    <col min="33" max="33" width="11.7109375" style="5" bestFit="1" customWidth="1"/>
    <col min="34" max="34" width="10.7109375" style="5" bestFit="1" customWidth="1"/>
    <col min="35" max="36" width="9.140625" style="5"/>
  </cols>
  <sheetData>
    <row r="1" spans="1:30" x14ac:dyDescent="0.2">
      <c r="J1" s="1" t="s">
        <v>109</v>
      </c>
      <c r="L1" s="1">
        <v>5.6300000000000003E-2</v>
      </c>
      <c r="N1" s="1" t="s">
        <v>110</v>
      </c>
    </row>
    <row r="2" spans="1:30" ht="42" customHeight="1" x14ac:dyDescent="0.2">
      <c r="B2" s="6" t="s">
        <v>0</v>
      </c>
      <c r="C2" s="74" t="s">
        <v>108</v>
      </c>
      <c r="D2" s="73" t="s">
        <v>102</v>
      </c>
      <c r="E2" s="73" t="s">
        <v>11</v>
      </c>
      <c r="F2" s="57" t="s">
        <v>3</v>
      </c>
      <c r="G2" s="57" t="s">
        <v>4</v>
      </c>
      <c r="H2" s="34" t="s">
        <v>7</v>
      </c>
      <c r="I2" s="11" t="s">
        <v>5</v>
      </c>
      <c r="J2" s="11" t="s">
        <v>83</v>
      </c>
      <c r="K2" s="11" t="s">
        <v>20</v>
      </c>
      <c r="L2" s="11" t="s">
        <v>21</v>
      </c>
      <c r="M2" s="11" t="s">
        <v>6</v>
      </c>
      <c r="N2" s="11" t="s">
        <v>83</v>
      </c>
      <c r="O2" s="11" t="s">
        <v>12</v>
      </c>
      <c r="P2" s="11" t="s">
        <v>13</v>
      </c>
      <c r="Q2" s="11" t="s">
        <v>14</v>
      </c>
      <c r="R2" t="s">
        <v>22</v>
      </c>
      <c r="AB2" s="8"/>
      <c r="AC2" s="8"/>
      <c r="AD2" s="8"/>
    </row>
    <row r="3" spans="1:30" ht="13.5" thickBot="1" x14ac:dyDescent="0.25">
      <c r="A3" s="2">
        <v>35065</v>
      </c>
      <c r="B3" s="39">
        <v>0</v>
      </c>
      <c r="E3" s="26">
        <f t="shared" ref="E3:E66" si="0">B3+D3+C3</f>
        <v>0</v>
      </c>
      <c r="F3" s="313">
        <v>719.2</v>
      </c>
      <c r="G3" s="313">
        <v>0</v>
      </c>
      <c r="H3" s="35">
        <v>94.715305091666906</v>
      </c>
      <c r="I3" s="9">
        <v>31</v>
      </c>
      <c r="J3" s="9"/>
      <c r="K3" s="9">
        <v>0</v>
      </c>
      <c r="L3" s="45">
        <v>119960.81422560275</v>
      </c>
      <c r="M3" s="315">
        <v>352</v>
      </c>
      <c r="N3" s="9"/>
      <c r="O3" s="9">
        <f>$S$18+F3*$S$19+G3*$S$20+H3*$S$21+I3*$S$22+J3*$S$23+K3*$S$24+L3*$S$25</f>
        <v>85253160.058095798</v>
      </c>
      <c r="P3" s="9"/>
      <c r="Q3" s="13"/>
    </row>
    <row r="4" spans="1:30" x14ac:dyDescent="0.2">
      <c r="A4" s="2">
        <v>35096</v>
      </c>
      <c r="B4" s="39">
        <v>0</v>
      </c>
      <c r="E4" s="26">
        <f t="shared" si="0"/>
        <v>0</v>
      </c>
      <c r="F4" s="313">
        <v>648.20000000000005</v>
      </c>
      <c r="G4" s="313">
        <v>0</v>
      </c>
      <c r="H4" s="35">
        <v>94.800748405985075</v>
      </c>
      <c r="I4" s="9">
        <v>29</v>
      </c>
      <c r="J4" s="9"/>
      <c r="K4" s="9">
        <v>0</v>
      </c>
      <c r="L4" s="45">
        <v>120042.5495716506</v>
      </c>
      <c r="M4" s="315">
        <v>336</v>
      </c>
      <c r="N4" s="9"/>
      <c r="O4" s="9">
        <f t="shared" ref="O4:O67" si="1">$S$18+F4*$S$19+G4*$S$20+H4*$S$21+I4*$S$22+J4*$S$23+K4*$S$24+L4*$S$25</f>
        <v>77847160.398539543</v>
      </c>
      <c r="P4" s="9"/>
      <c r="Q4" s="13"/>
      <c r="R4" s="53" t="s">
        <v>23</v>
      </c>
      <c r="S4" s="53"/>
    </row>
    <row r="5" spans="1:30" x14ac:dyDescent="0.2">
      <c r="A5" s="2">
        <v>35125</v>
      </c>
      <c r="B5" s="39">
        <v>0</v>
      </c>
      <c r="E5" s="26">
        <f t="shared" si="0"/>
        <v>0</v>
      </c>
      <c r="F5" s="313">
        <v>618.5</v>
      </c>
      <c r="G5" s="313">
        <v>0</v>
      </c>
      <c r="H5" s="35">
        <v>94.886268799292239</v>
      </c>
      <c r="I5" s="9">
        <v>31</v>
      </c>
      <c r="J5" s="9"/>
      <c r="K5" s="9">
        <v>1</v>
      </c>
      <c r="L5" s="45">
        <v>120124.28491769846</v>
      </c>
      <c r="M5" s="315">
        <v>336</v>
      </c>
      <c r="N5" s="9"/>
      <c r="O5" s="9">
        <f t="shared" si="1"/>
        <v>77951661.009760857</v>
      </c>
      <c r="P5" s="9"/>
      <c r="Q5" s="13"/>
      <c r="R5" s="37" t="s">
        <v>24</v>
      </c>
      <c r="S5" s="37">
        <v>0.9731365538976201</v>
      </c>
    </row>
    <row r="6" spans="1:30" x14ac:dyDescent="0.2">
      <c r="A6" s="2">
        <v>35156</v>
      </c>
      <c r="B6" s="39">
        <v>0</v>
      </c>
      <c r="E6" s="26">
        <f t="shared" si="0"/>
        <v>0</v>
      </c>
      <c r="F6" s="313">
        <v>360.6</v>
      </c>
      <c r="G6" s="313">
        <v>0</v>
      </c>
      <c r="H6" s="35">
        <v>94.971866341121896</v>
      </c>
      <c r="I6" s="9">
        <v>30</v>
      </c>
      <c r="J6" s="9"/>
      <c r="K6" s="9">
        <v>1</v>
      </c>
      <c r="L6" s="45">
        <v>120206.02026374632</v>
      </c>
      <c r="M6" s="315">
        <v>336</v>
      </c>
      <c r="N6" s="9"/>
      <c r="O6" s="9">
        <f t="shared" si="1"/>
        <v>69055458.636821091</v>
      </c>
      <c r="P6" s="9"/>
      <c r="Q6" s="13"/>
      <c r="R6" s="37" t="s">
        <v>25</v>
      </c>
      <c r="S6" s="37">
        <v>0.9469947525317356</v>
      </c>
    </row>
    <row r="7" spans="1:30" x14ac:dyDescent="0.2">
      <c r="A7" s="2">
        <v>35186</v>
      </c>
      <c r="B7" s="39">
        <v>0</v>
      </c>
      <c r="E7" s="26">
        <f t="shared" si="0"/>
        <v>0</v>
      </c>
      <c r="F7" s="313">
        <v>240.4</v>
      </c>
      <c r="G7" s="313">
        <v>3.2</v>
      </c>
      <c r="H7" s="35">
        <v>95.057541101070257</v>
      </c>
      <c r="I7" s="9">
        <v>31</v>
      </c>
      <c r="J7" s="9"/>
      <c r="K7" s="9">
        <v>1</v>
      </c>
      <c r="L7" s="45">
        <v>120287.75560979417</v>
      </c>
      <c r="M7" s="315">
        <v>352</v>
      </c>
      <c r="N7" s="9"/>
      <c r="O7" s="9">
        <f t="shared" si="1"/>
        <v>69893931.428340614</v>
      </c>
      <c r="P7" s="9"/>
      <c r="Q7" s="13"/>
      <c r="R7" s="37" t="s">
        <v>26</v>
      </c>
      <c r="S7" s="37">
        <v>0.94426654126498666</v>
      </c>
    </row>
    <row r="8" spans="1:30" x14ac:dyDescent="0.2">
      <c r="A8" s="2">
        <v>35217</v>
      </c>
      <c r="B8" s="39">
        <v>0</v>
      </c>
      <c r="E8" s="26">
        <f t="shared" si="0"/>
        <v>0</v>
      </c>
      <c r="F8" s="313">
        <v>37.299999999999997</v>
      </c>
      <c r="G8" s="313">
        <v>21.9</v>
      </c>
      <c r="H8" s="35">
        <v>95.143293148796303</v>
      </c>
      <c r="I8" s="9">
        <v>30</v>
      </c>
      <c r="J8" s="9"/>
      <c r="K8" s="9">
        <v>0</v>
      </c>
      <c r="L8" s="45">
        <v>120369.49095584202</v>
      </c>
      <c r="M8" s="315">
        <v>320</v>
      </c>
      <c r="N8" s="9"/>
      <c r="O8" s="9">
        <f t="shared" si="1"/>
        <v>71080817.273213819</v>
      </c>
      <c r="P8" s="9"/>
      <c r="Q8" s="13"/>
      <c r="R8" s="37" t="s">
        <v>27</v>
      </c>
      <c r="S8" s="37">
        <v>2525998.943847294</v>
      </c>
    </row>
    <row r="9" spans="1:30" ht="13.5" thickBot="1" x14ac:dyDescent="0.25">
      <c r="A9" s="2">
        <v>35247</v>
      </c>
      <c r="B9" s="39">
        <v>0</v>
      </c>
      <c r="E9" s="26">
        <f t="shared" si="0"/>
        <v>0</v>
      </c>
      <c r="F9" s="313">
        <v>2.6</v>
      </c>
      <c r="G9" s="313">
        <v>72.099999999999994</v>
      </c>
      <c r="H9" s="35">
        <v>95.22912255402187</v>
      </c>
      <c r="I9" s="9">
        <v>31</v>
      </c>
      <c r="J9" s="9"/>
      <c r="K9" s="9">
        <v>0</v>
      </c>
      <c r="L9" s="45">
        <v>120451.22630188987</v>
      </c>
      <c r="M9" s="315">
        <v>352</v>
      </c>
      <c r="N9" s="9"/>
      <c r="O9" s="9">
        <f t="shared" si="1"/>
        <v>82981221.480229244</v>
      </c>
      <c r="P9" s="9"/>
      <c r="Q9" s="13"/>
      <c r="R9" s="51" t="s">
        <v>28</v>
      </c>
      <c r="S9" s="51">
        <v>144</v>
      </c>
    </row>
    <row r="10" spans="1:30" x14ac:dyDescent="0.2">
      <c r="A10" s="2">
        <v>35278</v>
      </c>
      <c r="B10" s="39">
        <v>0</v>
      </c>
      <c r="E10" s="26">
        <f t="shared" si="0"/>
        <v>0</v>
      </c>
      <c r="F10" s="313">
        <v>0.4</v>
      </c>
      <c r="G10" s="313">
        <v>115.4</v>
      </c>
      <c r="H10" s="35">
        <v>95.315029386531663</v>
      </c>
      <c r="I10" s="9">
        <v>31</v>
      </c>
      <c r="J10" s="9"/>
      <c r="K10" s="9">
        <v>0</v>
      </c>
      <c r="L10" s="45">
        <v>120532.96164793773</v>
      </c>
      <c r="M10" s="315">
        <v>336</v>
      </c>
      <c r="N10" s="9"/>
      <c r="O10" s="9">
        <f t="shared" si="1"/>
        <v>91392463.843053237</v>
      </c>
      <c r="P10" s="9"/>
      <c r="Q10" s="13"/>
    </row>
    <row r="11" spans="1:30" ht="13.5" thickBot="1" x14ac:dyDescent="0.25">
      <c r="A11" s="2">
        <v>35309</v>
      </c>
      <c r="B11" s="39">
        <v>0</v>
      </c>
      <c r="E11" s="26">
        <f t="shared" si="0"/>
        <v>0</v>
      </c>
      <c r="F11" s="313">
        <v>56</v>
      </c>
      <c r="G11" s="313">
        <v>34.799999999999997</v>
      </c>
      <c r="H11" s="35">
        <v>95.401013716173367</v>
      </c>
      <c r="I11" s="9">
        <v>30</v>
      </c>
      <c r="J11" s="9"/>
      <c r="K11" s="9">
        <v>1</v>
      </c>
      <c r="L11" s="45">
        <v>120614.69699398559</v>
      </c>
      <c r="M11" s="315">
        <v>320</v>
      </c>
      <c r="N11" s="9"/>
      <c r="O11" s="9">
        <f t="shared" si="1"/>
        <v>69220595.520748526</v>
      </c>
      <c r="P11" s="9"/>
      <c r="Q11" s="13"/>
      <c r="R11" t="s">
        <v>29</v>
      </c>
    </row>
    <row r="12" spans="1:30" x14ac:dyDescent="0.2">
      <c r="A12" s="2">
        <v>35339</v>
      </c>
      <c r="B12" s="39">
        <v>0</v>
      </c>
      <c r="E12" s="26">
        <f t="shared" si="0"/>
        <v>0</v>
      </c>
      <c r="F12" s="313">
        <v>228.3</v>
      </c>
      <c r="G12" s="313">
        <v>1.4</v>
      </c>
      <c r="H12" s="35">
        <v>95.487075612857652</v>
      </c>
      <c r="I12" s="9">
        <v>31</v>
      </c>
      <c r="J12" s="9"/>
      <c r="K12" s="9">
        <v>1</v>
      </c>
      <c r="L12" s="45">
        <v>120696.43234003344</v>
      </c>
      <c r="M12" s="315">
        <v>352</v>
      </c>
      <c r="N12" s="9"/>
      <c r="O12" s="9">
        <f t="shared" si="1"/>
        <v>69939228.450870454</v>
      </c>
      <c r="P12" s="9"/>
      <c r="Q12" s="13"/>
      <c r="R12" s="52"/>
      <c r="S12" s="52" t="s">
        <v>33</v>
      </c>
      <c r="T12" s="52" t="s">
        <v>34</v>
      </c>
      <c r="U12" s="52" t="s">
        <v>35</v>
      </c>
      <c r="V12" s="52" t="s">
        <v>36</v>
      </c>
      <c r="W12" s="52" t="s">
        <v>37</v>
      </c>
    </row>
    <row r="13" spans="1:30" x14ac:dyDescent="0.2">
      <c r="A13" s="2">
        <v>35370</v>
      </c>
      <c r="B13" s="39">
        <v>0</v>
      </c>
      <c r="E13" s="26">
        <f t="shared" si="0"/>
        <v>0</v>
      </c>
      <c r="F13" s="313">
        <v>468.9</v>
      </c>
      <c r="G13" s="313">
        <v>0</v>
      </c>
      <c r="H13" s="35">
        <v>95.573215146558283</v>
      </c>
      <c r="I13" s="9">
        <v>30</v>
      </c>
      <c r="J13" s="9"/>
      <c r="K13" s="9">
        <v>1</v>
      </c>
      <c r="L13" s="45">
        <v>120778.16768608129</v>
      </c>
      <c r="M13" s="315">
        <v>320</v>
      </c>
      <c r="N13" s="9"/>
      <c r="O13" s="9">
        <f t="shared" si="1"/>
        <v>72566133.234406859</v>
      </c>
      <c r="P13" s="9"/>
      <c r="Q13" s="13"/>
      <c r="R13" s="37" t="s">
        <v>30</v>
      </c>
      <c r="S13" s="37">
        <v>7</v>
      </c>
      <c r="T13" s="37">
        <v>1.5503649579014386E+16</v>
      </c>
      <c r="U13" s="37">
        <v>2214807082716340.7</v>
      </c>
      <c r="V13" s="37">
        <v>347.11195722764904</v>
      </c>
      <c r="W13" s="37">
        <v>1.9172036677921083E-83</v>
      </c>
    </row>
    <row r="14" spans="1:30" x14ac:dyDescent="0.2">
      <c r="A14" s="2">
        <v>35400</v>
      </c>
      <c r="B14" s="39">
        <v>0</v>
      </c>
      <c r="E14" s="26">
        <f t="shared" si="0"/>
        <v>0</v>
      </c>
      <c r="F14" s="313">
        <v>496.2</v>
      </c>
      <c r="G14" s="313">
        <v>0</v>
      </c>
      <c r="H14" s="35">
        <v>95.659432387312208</v>
      </c>
      <c r="I14" s="9">
        <v>31</v>
      </c>
      <c r="J14" s="9"/>
      <c r="K14" s="9">
        <v>0</v>
      </c>
      <c r="L14" s="45">
        <v>120859.90303212915</v>
      </c>
      <c r="M14" s="315">
        <v>320</v>
      </c>
      <c r="N14" s="9"/>
      <c r="O14" s="9">
        <f t="shared" si="1"/>
        <v>81468717.234191433</v>
      </c>
      <c r="P14" s="9"/>
      <c r="Q14" s="13"/>
      <c r="R14" s="37" t="s">
        <v>31</v>
      </c>
      <c r="S14" s="37">
        <v>136</v>
      </c>
      <c r="T14" s="37">
        <v>867771210347199.5</v>
      </c>
      <c r="U14" s="37">
        <v>6380670664317.6436</v>
      </c>
      <c r="V14" s="37"/>
      <c r="W14" s="37"/>
    </row>
    <row r="15" spans="1:30" ht="13.5" thickBot="1" x14ac:dyDescent="0.25">
      <c r="A15" s="2">
        <v>35431</v>
      </c>
      <c r="B15" s="39">
        <v>0</v>
      </c>
      <c r="E15" s="26">
        <f t="shared" si="0"/>
        <v>0</v>
      </c>
      <c r="F15" s="313">
        <v>606.29999999999995</v>
      </c>
      <c r="G15" s="313">
        <v>0</v>
      </c>
      <c r="H15" s="35">
        <v>96.013834907485574</v>
      </c>
      <c r="I15" s="9">
        <v>31</v>
      </c>
      <c r="J15" s="9"/>
      <c r="K15" s="9">
        <v>0</v>
      </c>
      <c r="L15" s="45">
        <v>120947.938378177</v>
      </c>
      <c r="M15" s="315">
        <v>352</v>
      </c>
      <c r="N15" s="9"/>
      <c r="O15" s="9">
        <f t="shared" si="1"/>
        <v>84303279.186849371</v>
      </c>
      <c r="P15" s="9"/>
      <c r="Q15" s="13"/>
      <c r="R15" s="51" t="s">
        <v>11</v>
      </c>
      <c r="S15" s="51">
        <v>143</v>
      </c>
      <c r="T15" s="51">
        <v>1.6371420789361586E+16</v>
      </c>
      <c r="U15" s="51"/>
      <c r="V15" s="51"/>
      <c r="W15" s="51"/>
    </row>
    <row r="16" spans="1:30" ht="13.5" thickBot="1" x14ac:dyDescent="0.25">
      <c r="A16" s="2">
        <v>35462</v>
      </c>
      <c r="B16" s="39">
        <v>0</v>
      </c>
      <c r="E16" s="26">
        <f t="shared" si="0"/>
        <v>0</v>
      </c>
      <c r="F16" s="313">
        <v>503.8</v>
      </c>
      <c r="G16" s="313">
        <v>0</v>
      </c>
      <c r="H16" s="35">
        <v>96.369550430916135</v>
      </c>
      <c r="I16" s="9">
        <v>28</v>
      </c>
      <c r="J16" s="9"/>
      <c r="K16" s="9">
        <v>0</v>
      </c>
      <c r="L16" s="45">
        <v>121035.97372422487</v>
      </c>
      <c r="M16" s="315">
        <v>320</v>
      </c>
      <c r="N16" s="9"/>
      <c r="O16" s="9">
        <f t="shared" si="1"/>
        <v>73316340.127602339</v>
      </c>
      <c r="P16" s="9"/>
      <c r="Q16" s="13"/>
    </row>
    <row r="17" spans="1:26" x14ac:dyDescent="0.2">
      <c r="A17" s="2">
        <v>35490</v>
      </c>
      <c r="B17" s="39">
        <v>0</v>
      </c>
      <c r="E17" s="26">
        <f t="shared" si="0"/>
        <v>0</v>
      </c>
      <c r="F17" s="313">
        <v>500.5</v>
      </c>
      <c r="G17" s="313">
        <v>0</v>
      </c>
      <c r="H17" s="35">
        <v>96.726583822065777</v>
      </c>
      <c r="I17" s="9">
        <v>31</v>
      </c>
      <c r="J17" s="9"/>
      <c r="K17" s="9">
        <v>1</v>
      </c>
      <c r="L17" s="45">
        <v>121124.00907027273</v>
      </c>
      <c r="M17" s="315">
        <v>304</v>
      </c>
      <c r="N17" s="9"/>
      <c r="O17" s="9">
        <f t="shared" si="1"/>
        <v>77071808.521756142</v>
      </c>
      <c r="P17" s="9"/>
      <c r="Q17" s="13"/>
      <c r="R17" s="52"/>
      <c r="S17" s="52" t="s">
        <v>38</v>
      </c>
      <c r="T17" s="52" t="s">
        <v>27</v>
      </c>
      <c r="U17" s="52" t="s">
        <v>39</v>
      </c>
      <c r="V17" s="52" t="s">
        <v>40</v>
      </c>
      <c r="W17" s="52" t="s">
        <v>41</v>
      </c>
      <c r="X17" s="52" t="s">
        <v>42</v>
      </c>
      <c r="Y17" s="52" t="s">
        <v>43</v>
      </c>
      <c r="Z17" s="52" t="s">
        <v>44</v>
      </c>
    </row>
    <row r="18" spans="1:26" x14ac:dyDescent="0.2">
      <c r="A18" s="2">
        <v>35521</v>
      </c>
      <c r="B18" s="39">
        <v>0</v>
      </c>
      <c r="E18" s="26">
        <f t="shared" si="0"/>
        <v>0</v>
      </c>
      <c r="F18" s="313">
        <v>320.89999999999998</v>
      </c>
      <c r="G18" s="313">
        <v>0</v>
      </c>
      <c r="H18" s="35">
        <v>97.084939963418421</v>
      </c>
      <c r="I18" s="9">
        <v>30</v>
      </c>
      <c r="J18" s="9"/>
      <c r="K18" s="9">
        <v>1</v>
      </c>
      <c r="L18" s="45">
        <v>121212.04441632057</v>
      </c>
      <c r="M18" s="315">
        <v>352</v>
      </c>
      <c r="N18" s="9"/>
      <c r="O18" s="9">
        <f t="shared" si="1"/>
        <v>70123754.500174105</v>
      </c>
      <c r="P18" s="9"/>
      <c r="Q18" s="13"/>
      <c r="R18" s="37" t="s">
        <v>32</v>
      </c>
      <c r="S18" s="37">
        <v>-211475540.33737734</v>
      </c>
      <c r="T18" s="37">
        <v>31669468.996510476</v>
      </c>
      <c r="U18" s="37">
        <v>-6.6775840277170078</v>
      </c>
      <c r="V18" s="37">
        <v>5.6810404959464653E-10</v>
      </c>
      <c r="W18" s="37">
        <v>-274103840.03932565</v>
      </c>
      <c r="X18" s="37">
        <v>-148847240.63542899</v>
      </c>
      <c r="Y18" s="37">
        <v>-274103840.03932565</v>
      </c>
      <c r="Z18" s="37">
        <v>-148847240.63542899</v>
      </c>
    </row>
    <row r="19" spans="1:26" x14ac:dyDescent="0.2">
      <c r="A19" s="2">
        <v>35551</v>
      </c>
      <c r="B19" s="39">
        <v>0</v>
      </c>
      <c r="E19" s="26">
        <f t="shared" si="0"/>
        <v>0</v>
      </c>
      <c r="F19" s="313">
        <v>259.3</v>
      </c>
      <c r="G19" s="313">
        <v>0</v>
      </c>
      <c r="H19" s="35">
        <v>97.444623755546786</v>
      </c>
      <c r="I19" s="9">
        <v>31</v>
      </c>
      <c r="J19" s="9"/>
      <c r="K19" s="9">
        <v>1</v>
      </c>
      <c r="L19" s="45">
        <v>121300.07976236843</v>
      </c>
      <c r="M19" s="315">
        <v>336</v>
      </c>
      <c r="N19" s="9"/>
      <c r="O19" s="9">
        <f t="shared" si="1"/>
        <v>71829321.893610865</v>
      </c>
      <c r="P19" s="9"/>
      <c r="Q19" s="13"/>
      <c r="R19" s="37" t="s">
        <v>3</v>
      </c>
      <c r="S19" s="37">
        <v>23655.346605099494</v>
      </c>
      <c r="T19" s="37">
        <v>1563.8345654695402</v>
      </c>
      <c r="U19" s="37">
        <v>15.126501950669567</v>
      </c>
      <c r="V19" s="37">
        <v>6.2206897556136038E-31</v>
      </c>
      <c r="W19" s="37">
        <v>20562.768707399846</v>
      </c>
      <c r="X19" s="37">
        <v>26747.924502799142</v>
      </c>
      <c r="Y19" s="37">
        <v>20562.768707399846</v>
      </c>
      <c r="Z19" s="37">
        <v>26747.924502799142</v>
      </c>
    </row>
    <row r="20" spans="1:26" x14ac:dyDescent="0.2">
      <c r="A20" s="2">
        <v>35582</v>
      </c>
      <c r="B20" s="39">
        <v>0</v>
      </c>
      <c r="E20" s="26">
        <f t="shared" si="0"/>
        <v>0</v>
      </c>
      <c r="F20" s="313">
        <v>39.4</v>
      </c>
      <c r="G20" s="313">
        <v>64.400000000000006</v>
      </c>
      <c r="H20" s="35">
        <v>97.805640117179436</v>
      </c>
      <c r="I20" s="9">
        <v>30</v>
      </c>
      <c r="J20" s="9"/>
      <c r="K20" s="9">
        <v>0</v>
      </c>
      <c r="L20" s="45">
        <v>121388.1151084163</v>
      </c>
      <c r="M20" s="315">
        <v>336</v>
      </c>
      <c r="N20" s="9"/>
      <c r="O20" s="9">
        <f t="shared" si="1"/>
        <v>81504862.544542387</v>
      </c>
      <c r="P20" s="9"/>
      <c r="Q20" s="13"/>
      <c r="R20" s="37" t="s">
        <v>4</v>
      </c>
      <c r="S20" s="37">
        <v>192326.58736832521</v>
      </c>
      <c r="T20" s="37">
        <v>7655.588226446218</v>
      </c>
      <c r="U20" s="37">
        <v>25.122378800878202</v>
      </c>
      <c r="V20" s="37">
        <v>6.102064435332814E-53</v>
      </c>
      <c r="W20" s="37">
        <v>177187.19637021879</v>
      </c>
      <c r="X20" s="37">
        <v>207465.97836643163</v>
      </c>
      <c r="Y20" s="37">
        <v>177187.19637021879</v>
      </c>
      <c r="Z20" s="37">
        <v>207465.97836643163</v>
      </c>
    </row>
    <row r="21" spans="1:26" x14ac:dyDescent="0.2">
      <c r="A21" s="2">
        <v>35612</v>
      </c>
      <c r="B21" s="39">
        <v>0</v>
      </c>
      <c r="E21" s="26">
        <f t="shared" si="0"/>
        <v>0</v>
      </c>
      <c r="F21" s="313">
        <v>9.6999999999999993</v>
      </c>
      <c r="G21" s="313">
        <v>94.1</v>
      </c>
      <c r="H21" s="35">
        <v>98.167993985267998</v>
      </c>
      <c r="I21" s="9">
        <v>31</v>
      </c>
      <c r="J21" s="9"/>
      <c r="K21" s="9">
        <v>0</v>
      </c>
      <c r="L21" s="45">
        <v>121476.15045446415</v>
      </c>
      <c r="M21" s="315">
        <v>352</v>
      </c>
      <c r="N21" s="9"/>
      <c r="O21" s="9">
        <f t="shared" si="1"/>
        <v>89677992.809107944</v>
      </c>
      <c r="P21" s="9"/>
      <c r="Q21" s="13"/>
      <c r="R21" s="37" t="s">
        <v>7</v>
      </c>
      <c r="S21" s="37">
        <v>321215.4259593364</v>
      </c>
      <c r="T21" s="37">
        <v>131593.13338708362</v>
      </c>
      <c r="U21" s="37">
        <v>2.4409740667430975</v>
      </c>
      <c r="V21" s="37">
        <v>1.5933479096837146E-2</v>
      </c>
      <c r="W21" s="37">
        <v>60982.006908551935</v>
      </c>
      <c r="X21" s="37">
        <v>581448.84501012089</v>
      </c>
      <c r="Y21" s="37">
        <v>60982.006908551935</v>
      </c>
      <c r="Z21" s="37">
        <v>581448.84501012089</v>
      </c>
    </row>
    <row r="22" spans="1:26" x14ac:dyDescent="0.2">
      <c r="A22" s="2">
        <v>35643</v>
      </c>
      <c r="B22" s="39">
        <v>0</v>
      </c>
      <c r="E22" s="26">
        <f t="shared" si="0"/>
        <v>0</v>
      </c>
      <c r="F22" s="313">
        <v>9</v>
      </c>
      <c r="G22" s="313">
        <v>58.5</v>
      </c>
      <c r="H22" s="35">
        <v>98.531690315054689</v>
      </c>
      <c r="I22" s="9">
        <v>31</v>
      </c>
      <c r="J22" s="9"/>
      <c r="K22" s="9">
        <v>0</v>
      </c>
      <c r="L22" s="45">
        <v>121564.185800512</v>
      </c>
      <c r="M22" s="315">
        <v>320</v>
      </c>
      <c r="N22" s="9"/>
      <c r="O22" s="9">
        <f t="shared" si="1"/>
        <v>83047701.162622198</v>
      </c>
      <c r="P22" s="9"/>
      <c r="Q22" s="13"/>
      <c r="R22" s="37" t="s">
        <v>5</v>
      </c>
      <c r="S22" s="37">
        <v>2930932.0268537784</v>
      </c>
      <c r="T22" s="37">
        <v>270901.27598213492</v>
      </c>
      <c r="U22" s="37">
        <v>10.819188710824175</v>
      </c>
      <c r="V22" s="37">
        <v>4.5735185748732232E-20</v>
      </c>
      <c r="W22" s="37">
        <v>2395208.2891517417</v>
      </c>
      <c r="X22" s="37">
        <v>3466655.7645558151</v>
      </c>
      <c r="Y22" s="37">
        <v>2395208.2891517417</v>
      </c>
      <c r="Z22" s="37">
        <v>3466655.7645558151</v>
      </c>
    </row>
    <row r="23" spans="1:26" x14ac:dyDescent="0.2">
      <c r="A23" s="2">
        <v>35674</v>
      </c>
      <c r="B23" s="39">
        <v>0</v>
      </c>
      <c r="E23" s="26">
        <f t="shared" si="0"/>
        <v>0</v>
      </c>
      <c r="F23" s="313">
        <v>48.7</v>
      </c>
      <c r="G23" s="313">
        <v>18.3</v>
      </c>
      <c r="H23" s="35">
        <v>98.896734080140092</v>
      </c>
      <c r="I23" s="9">
        <v>30</v>
      </c>
      <c r="J23" s="9"/>
      <c r="K23" s="9">
        <v>1</v>
      </c>
      <c r="L23" s="45">
        <v>121652.22114655987</v>
      </c>
      <c r="M23" s="315">
        <v>336</v>
      </c>
      <c r="N23" s="9"/>
      <c r="O23" s="9">
        <f t="shared" si="1"/>
        <v>68367665.596849352</v>
      </c>
      <c r="P23" s="9"/>
      <c r="Q23" s="13"/>
      <c r="R23" s="37" t="s">
        <v>83</v>
      </c>
      <c r="S23" s="37">
        <v>-5.3104861857736232</v>
      </c>
      <c r="T23" s="37">
        <v>0.73173842216326646</v>
      </c>
      <c r="U23" s="37">
        <v>-7.2573559415863782</v>
      </c>
      <c r="V23" s="37">
        <v>2.732982856893957E-11</v>
      </c>
      <c r="W23" s="37">
        <v>-6.7575433881448213</v>
      </c>
      <c r="X23" s="37">
        <v>-3.8634289834024251</v>
      </c>
      <c r="Y23" s="37">
        <v>-6.7575433881448213</v>
      </c>
      <c r="Z23" s="37">
        <v>-3.8634289834024251</v>
      </c>
    </row>
    <row r="24" spans="1:26" x14ac:dyDescent="0.2">
      <c r="A24" s="2">
        <v>35704</v>
      </c>
      <c r="B24" s="39">
        <v>0</v>
      </c>
      <c r="E24" s="26">
        <f t="shared" si="0"/>
        <v>0</v>
      </c>
      <c r="F24" s="313">
        <v>221.5</v>
      </c>
      <c r="G24" s="313">
        <v>2.1</v>
      </c>
      <c r="H24" s="35">
        <v>99.26313027255118</v>
      </c>
      <c r="I24" s="9">
        <v>31</v>
      </c>
      <c r="J24" s="9"/>
      <c r="K24" s="9">
        <v>1</v>
      </c>
      <c r="L24" s="45">
        <v>121740.25649260773</v>
      </c>
      <c r="M24" s="315">
        <v>352</v>
      </c>
      <c r="N24" s="9"/>
      <c r="O24" s="9">
        <f t="shared" si="1"/>
        <v>72504511.645670563</v>
      </c>
      <c r="P24" s="9"/>
      <c r="Q24" s="13"/>
      <c r="R24" s="37" t="s">
        <v>20</v>
      </c>
      <c r="S24" s="37">
        <v>-5190218.4103884846</v>
      </c>
      <c r="T24" s="37">
        <v>577566.50415245327</v>
      </c>
      <c r="U24" s="37">
        <v>-8.9863563296573812</v>
      </c>
      <c r="V24" s="37">
        <v>1.8985539838417527E-15</v>
      </c>
      <c r="W24" s="37">
        <v>-6332391.2748546386</v>
      </c>
      <c r="X24" s="37">
        <v>-4048045.5459223306</v>
      </c>
      <c r="Y24" s="37">
        <v>-6332391.2748546386</v>
      </c>
      <c r="Z24" s="37">
        <v>-4048045.5459223306</v>
      </c>
    </row>
    <row r="25" spans="1:26" ht="13.5" thickBot="1" x14ac:dyDescent="0.25">
      <c r="A25" s="2">
        <v>35735</v>
      </c>
      <c r="B25" s="39">
        <v>0</v>
      </c>
      <c r="E25" s="26">
        <f t="shared" si="0"/>
        <v>0</v>
      </c>
      <c r="F25" s="313">
        <v>384.9</v>
      </c>
      <c r="G25" s="313">
        <v>0</v>
      </c>
      <c r="H25" s="35">
        <v>99.630883902809558</v>
      </c>
      <c r="I25" s="9">
        <v>30</v>
      </c>
      <c r="J25" s="9"/>
      <c r="K25" s="9">
        <v>1</v>
      </c>
      <c r="L25" s="45">
        <v>121828.29183865558</v>
      </c>
      <c r="M25" s="315">
        <v>304</v>
      </c>
      <c r="N25" s="9"/>
      <c r="O25" s="9">
        <f t="shared" si="1"/>
        <v>73269374.294566005</v>
      </c>
      <c r="P25" s="9"/>
      <c r="Q25" s="13"/>
      <c r="R25" s="51" t="s">
        <v>21</v>
      </c>
      <c r="S25" s="51">
        <v>1320.7051505733818</v>
      </c>
      <c r="T25" s="51">
        <v>344.49904819753311</v>
      </c>
      <c r="U25" s="51">
        <v>3.8336975311934669</v>
      </c>
      <c r="V25" s="51">
        <v>1.9226001298376579E-4</v>
      </c>
      <c r="W25" s="51">
        <v>639.43734529605467</v>
      </c>
      <c r="X25" s="51">
        <v>2001.972955850709</v>
      </c>
      <c r="Y25" s="51">
        <v>639.43734529605467</v>
      </c>
      <c r="Z25" s="51">
        <v>2001.972955850709</v>
      </c>
    </row>
    <row r="26" spans="1:26" x14ac:dyDescent="0.2">
      <c r="A26" s="2">
        <v>35765</v>
      </c>
      <c r="B26" s="39">
        <v>0</v>
      </c>
      <c r="E26" s="26">
        <f t="shared" si="0"/>
        <v>0</v>
      </c>
      <c r="F26" s="313">
        <v>490</v>
      </c>
      <c r="G26" s="313">
        <v>0</v>
      </c>
      <c r="H26" s="35">
        <v>100</v>
      </c>
      <c r="I26" s="9">
        <v>31</v>
      </c>
      <c r="J26" s="9"/>
      <c r="K26" s="9">
        <v>0</v>
      </c>
      <c r="L26" s="45">
        <v>121916.32718470343</v>
      </c>
      <c r="M26" s="315">
        <v>336</v>
      </c>
      <c r="N26" s="9"/>
      <c r="O26" s="9">
        <f t="shared" si="1"/>
        <v>84111536.179349646</v>
      </c>
      <c r="P26" s="9"/>
      <c r="Q26" s="13"/>
    </row>
    <row r="27" spans="1:26" x14ac:dyDescent="0.2">
      <c r="A27" s="2">
        <v>35796</v>
      </c>
      <c r="B27" s="39">
        <v>0</v>
      </c>
      <c r="E27" s="26">
        <f t="shared" si="0"/>
        <v>0</v>
      </c>
      <c r="F27" s="313">
        <v>524.9</v>
      </c>
      <c r="G27" s="313">
        <v>0</v>
      </c>
      <c r="H27" s="35">
        <v>100.39254461560812</v>
      </c>
      <c r="I27" s="9">
        <v>31</v>
      </c>
      <c r="J27" s="9"/>
      <c r="K27" s="9">
        <v>0</v>
      </c>
      <c r="L27" s="45">
        <v>122004.3625307513</v>
      </c>
      <c r="M27" s="316">
        <v>336.28800000000001</v>
      </c>
      <c r="N27" s="9"/>
      <c r="O27" s="9">
        <f t="shared" si="1"/>
        <v>85179467.8967361</v>
      </c>
      <c r="P27" s="9"/>
      <c r="Q27" s="13"/>
    </row>
    <row r="28" spans="1:26" x14ac:dyDescent="0.2">
      <c r="A28" s="2">
        <v>35827</v>
      </c>
      <c r="B28" s="39">
        <v>0</v>
      </c>
      <c r="E28" s="26">
        <f t="shared" si="0"/>
        <v>0</v>
      </c>
      <c r="F28" s="313">
        <v>462.9</v>
      </c>
      <c r="G28" s="313">
        <v>0</v>
      </c>
      <c r="H28" s="35">
        <v>100.78663014396867</v>
      </c>
      <c r="I28" s="9">
        <v>28</v>
      </c>
      <c r="J28" s="9"/>
      <c r="K28" s="9">
        <v>0</v>
      </c>
      <c r="L28" s="45">
        <v>122092.39787679915</v>
      </c>
      <c r="M28" s="316">
        <v>319.87200000000001</v>
      </c>
      <c r="N28" s="9"/>
      <c r="O28" s="9">
        <f t="shared" si="1"/>
        <v>75162895.412473261</v>
      </c>
      <c r="P28" s="9"/>
      <c r="Q28" s="13"/>
    </row>
    <row r="29" spans="1:26" x14ac:dyDescent="0.2">
      <c r="A29" s="2">
        <v>35855</v>
      </c>
      <c r="B29" s="39">
        <v>0</v>
      </c>
      <c r="E29" s="26">
        <f t="shared" si="0"/>
        <v>0</v>
      </c>
      <c r="F29" s="313">
        <v>462.3</v>
      </c>
      <c r="G29" s="313">
        <v>5.5</v>
      </c>
      <c r="H29" s="35">
        <v>101.18226263385168</v>
      </c>
      <c r="I29" s="9">
        <v>31</v>
      </c>
      <c r="J29" s="9"/>
      <c r="K29" s="9">
        <v>1</v>
      </c>
      <c r="L29" s="45">
        <v>122180.433222847</v>
      </c>
      <c r="M29" s="316">
        <v>351.91199999999998</v>
      </c>
      <c r="N29" s="9"/>
      <c r="O29" s="9">
        <f t="shared" si="1"/>
        <v>80052428.098927855</v>
      </c>
      <c r="P29" s="9"/>
      <c r="Q29" s="13"/>
    </row>
    <row r="30" spans="1:26" x14ac:dyDescent="0.2">
      <c r="A30" s="2">
        <v>35886</v>
      </c>
      <c r="B30" s="39">
        <v>0</v>
      </c>
      <c r="E30" s="26">
        <f t="shared" si="0"/>
        <v>0</v>
      </c>
      <c r="F30" s="313">
        <v>258.89999999999998</v>
      </c>
      <c r="G30" s="313">
        <v>0</v>
      </c>
      <c r="H30" s="35">
        <v>101.57944815777132</v>
      </c>
      <c r="I30" s="9">
        <v>30</v>
      </c>
      <c r="J30" s="9"/>
      <c r="K30" s="9">
        <v>1</v>
      </c>
      <c r="L30" s="45">
        <v>122268.46856889487</v>
      </c>
      <c r="M30" s="316">
        <v>336.24</v>
      </c>
      <c r="N30" s="9"/>
      <c r="O30" s="9">
        <f t="shared" si="1"/>
        <v>71496053.19427973</v>
      </c>
      <c r="P30" s="9"/>
      <c r="Q30" s="13"/>
    </row>
    <row r="31" spans="1:26" x14ac:dyDescent="0.2">
      <c r="A31" s="2">
        <v>35916</v>
      </c>
      <c r="B31" s="39">
        <v>0</v>
      </c>
      <c r="E31" s="26">
        <f t="shared" si="0"/>
        <v>0</v>
      </c>
      <c r="F31" s="313">
        <v>107.6</v>
      </c>
      <c r="G31" s="313">
        <v>16.8</v>
      </c>
      <c r="H31" s="35">
        <v>101.97819281207909</v>
      </c>
      <c r="I31" s="9">
        <v>31</v>
      </c>
      <c r="J31" s="9"/>
      <c r="K31" s="9">
        <v>1</v>
      </c>
      <c r="L31" s="45">
        <v>122356.50391494273</v>
      </c>
      <c r="M31" s="316">
        <v>319.92</v>
      </c>
      <c r="N31" s="9"/>
      <c r="O31" s="9">
        <f t="shared" si="1"/>
        <v>74323369.616510183</v>
      </c>
      <c r="P31" s="9"/>
      <c r="Q31" s="13"/>
    </row>
    <row r="32" spans="1:26" x14ac:dyDescent="0.2">
      <c r="A32" s="2">
        <v>35947</v>
      </c>
      <c r="B32" s="39">
        <v>0</v>
      </c>
      <c r="E32" s="26">
        <f t="shared" si="0"/>
        <v>0</v>
      </c>
      <c r="F32" s="313">
        <v>47.6</v>
      </c>
      <c r="G32" s="313">
        <v>92.2</v>
      </c>
      <c r="H32" s="35">
        <v>102.37850271705736</v>
      </c>
      <c r="I32" s="9">
        <v>30</v>
      </c>
      <c r="J32" s="9"/>
      <c r="K32" s="9">
        <v>0</v>
      </c>
      <c r="L32" s="45">
        <v>122444.53926099058</v>
      </c>
      <c r="M32" s="316">
        <v>352.08</v>
      </c>
      <c r="N32" s="9"/>
      <c r="O32" s="9">
        <f t="shared" si="1"/>
        <v>89909614.342911944</v>
      </c>
      <c r="P32" s="9"/>
      <c r="Q32" s="13"/>
    </row>
    <row r="33" spans="1:17" x14ac:dyDescent="0.2">
      <c r="A33" s="2">
        <v>35977</v>
      </c>
      <c r="B33" s="39">
        <v>0</v>
      </c>
      <c r="E33" s="26">
        <f t="shared" si="0"/>
        <v>0</v>
      </c>
      <c r="F33" s="313">
        <v>0</v>
      </c>
      <c r="G33" s="313">
        <v>127.8</v>
      </c>
      <c r="H33" s="35">
        <v>102.78038401701338</v>
      </c>
      <c r="I33" s="9">
        <v>31</v>
      </c>
      <c r="J33" s="9"/>
      <c r="K33" s="9">
        <v>0</v>
      </c>
      <c r="L33" s="45">
        <v>122532.57460703843</v>
      </c>
      <c r="M33" s="316">
        <v>351.91199999999998</v>
      </c>
      <c r="N33" s="9"/>
      <c r="O33" s="9">
        <f t="shared" si="1"/>
        <v>98806737.58958371</v>
      </c>
      <c r="P33" s="9"/>
      <c r="Q33" s="13"/>
    </row>
    <row r="34" spans="1:17" x14ac:dyDescent="0.2">
      <c r="A34" s="2">
        <v>36008</v>
      </c>
      <c r="B34" s="39">
        <v>0</v>
      </c>
      <c r="E34" s="26">
        <f t="shared" si="0"/>
        <v>0</v>
      </c>
      <c r="F34" s="313">
        <v>0</v>
      </c>
      <c r="G34" s="313">
        <v>135.6</v>
      </c>
      <c r="H34" s="35">
        <v>103.1838428803735</v>
      </c>
      <c r="I34" s="9">
        <v>31</v>
      </c>
      <c r="J34" s="9"/>
      <c r="K34" s="9">
        <v>0</v>
      </c>
      <c r="L34" s="45">
        <v>122620.6099530863</v>
      </c>
      <c r="M34" s="316">
        <v>319.92</v>
      </c>
      <c r="N34" s="9"/>
      <c r="O34" s="9">
        <f t="shared" si="1"/>
        <v>100552750.91666587</v>
      </c>
      <c r="P34" s="9"/>
      <c r="Q34" s="13"/>
    </row>
    <row r="35" spans="1:17" x14ac:dyDescent="0.2">
      <c r="A35" s="2">
        <v>36039</v>
      </c>
      <c r="B35" s="39">
        <v>0</v>
      </c>
      <c r="E35" s="26">
        <f t="shared" si="0"/>
        <v>0</v>
      </c>
      <c r="F35" s="313">
        <v>14.1</v>
      </c>
      <c r="G35" s="313">
        <v>64</v>
      </c>
      <c r="H35" s="35">
        <v>103.58888549977794</v>
      </c>
      <c r="I35" s="9">
        <v>30</v>
      </c>
      <c r="J35" s="9"/>
      <c r="K35" s="9">
        <v>1</v>
      </c>
      <c r="L35" s="45">
        <v>122708.64529913416</v>
      </c>
      <c r="M35" s="316">
        <v>336.24</v>
      </c>
      <c r="N35" s="9"/>
      <c r="O35" s="9">
        <f t="shared" si="1"/>
        <v>79240931.883465052</v>
      </c>
      <c r="P35" s="9"/>
      <c r="Q35" s="13"/>
    </row>
    <row r="36" spans="1:17" x14ac:dyDescent="0.2">
      <c r="A36" s="2">
        <v>36069</v>
      </c>
      <c r="B36" s="39">
        <v>0</v>
      </c>
      <c r="E36" s="26">
        <f t="shared" si="0"/>
        <v>0</v>
      </c>
      <c r="F36" s="313">
        <v>157</v>
      </c>
      <c r="G36" s="313">
        <v>0.3</v>
      </c>
      <c r="H36" s="35">
        <v>103.99551809217577</v>
      </c>
      <c r="I36" s="9">
        <v>31</v>
      </c>
      <c r="J36" s="9"/>
      <c r="K36" s="9">
        <v>1</v>
      </c>
      <c r="L36" s="45">
        <v>122796.68064518202</v>
      </c>
      <c r="M36" s="316">
        <v>336.28800000000001</v>
      </c>
      <c r="N36" s="9"/>
      <c r="O36" s="9">
        <f t="shared" si="1"/>
        <v>73547894.72115916</v>
      </c>
      <c r="P36" s="9"/>
      <c r="Q36" s="13"/>
    </row>
    <row r="37" spans="1:17" x14ac:dyDescent="0.2">
      <c r="A37" s="2">
        <v>36100</v>
      </c>
      <c r="B37" s="39">
        <v>0</v>
      </c>
      <c r="E37" s="26">
        <f t="shared" si="0"/>
        <v>0</v>
      </c>
      <c r="F37" s="313">
        <v>340.5</v>
      </c>
      <c r="G37" s="313">
        <v>0</v>
      </c>
      <c r="H37" s="35">
        <v>104.40374689892037</v>
      </c>
      <c r="I37" s="9">
        <v>30</v>
      </c>
      <c r="J37" s="9"/>
      <c r="K37" s="9">
        <v>1</v>
      </c>
      <c r="L37" s="45">
        <v>122884.71599122987</v>
      </c>
      <c r="M37" s="316">
        <v>336.24</v>
      </c>
      <c r="N37" s="9"/>
      <c r="O37" s="9">
        <f t="shared" si="1"/>
        <v>75147418.945135862</v>
      </c>
      <c r="P37" s="9"/>
      <c r="Q37" s="13"/>
    </row>
    <row r="38" spans="1:17" x14ac:dyDescent="0.2">
      <c r="A38" s="2">
        <v>36130</v>
      </c>
      <c r="B38" s="39">
        <v>0</v>
      </c>
      <c r="E38" s="26">
        <f t="shared" si="0"/>
        <v>0</v>
      </c>
      <c r="F38" s="313">
        <v>466.2</v>
      </c>
      <c r="G38" s="313">
        <v>0</v>
      </c>
      <c r="H38" s="35">
        <v>104.81357818586534</v>
      </c>
      <c r="I38" s="9">
        <v>31</v>
      </c>
      <c r="J38" s="9"/>
      <c r="K38" s="9">
        <v>0</v>
      </c>
      <c r="L38" s="45">
        <v>122972.75133727773</v>
      </c>
      <c r="M38" s="316">
        <v>336.28800000000001</v>
      </c>
      <c r="N38" s="9"/>
      <c r="O38" s="9">
        <f t="shared" si="1"/>
        <v>86489959.317004547</v>
      </c>
      <c r="P38" s="9"/>
      <c r="Q38" s="13"/>
    </row>
    <row r="39" spans="1:17" x14ac:dyDescent="0.2">
      <c r="A39" s="2">
        <v>36161</v>
      </c>
      <c r="B39" s="39">
        <v>0</v>
      </c>
      <c r="E39" s="26">
        <f t="shared" si="0"/>
        <v>0</v>
      </c>
      <c r="F39" s="313">
        <v>671.9</v>
      </c>
      <c r="G39" s="313">
        <v>0</v>
      </c>
      <c r="H39" s="35">
        <v>105.44819844915847</v>
      </c>
      <c r="I39" s="9">
        <v>31</v>
      </c>
      <c r="J39" s="9"/>
      <c r="K39" s="9">
        <v>0</v>
      </c>
      <c r="L39" s="45">
        <v>123060.78668332558</v>
      </c>
      <c r="M39" s="316">
        <v>319.92</v>
      </c>
      <c r="N39" s="9"/>
      <c r="O39" s="9">
        <f t="shared" si="1"/>
        <v>91675982.666827574</v>
      </c>
      <c r="P39" s="9"/>
      <c r="Q39" s="13"/>
    </row>
    <row r="40" spans="1:17" x14ac:dyDescent="0.2">
      <c r="A40" s="2">
        <v>36192</v>
      </c>
      <c r="B40" s="39">
        <v>0</v>
      </c>
      <c r="E40" s="26">
        <f t="shared" si="0"/>
        <v>0</v>
      </c>
      <c r="F40" s="313">
        <v>502.7</v>
      </c>
      <c r="G40" s="313">
        <v>0</v>
      </c>
      <c r="H40" s="35">
        <v>106.08666118100913</v>
      </c>
      <c r="I40" s="9">
        <v>28</v>
      </c>
      <c r="J40" s="9"/>
      <c r="K40" s="9">
        <v>0</v>
      </c>
      <c r="L40" s="45">
        <v>123148.82202937343</v>
      </c>
      <c r="M40" s="316">
        <v>319.87200000000001</v>
      </c>
      <c r="N40" s="9"/>
      <c r="O40" s="9">
        <f t="shared" si="1"/>
        <v>79202054.754011869</v>
      </c>
      <c r="P40" s="9"/>
      <c r="Q40" s="13"/>
    </row>
    <row r="41" spans="1:17" x14ac:dyDescent="0.2">
      <c r="A41" s="2">
        <v>36220</v>
      </c>
      <c r="B41" s="39">
        <v>0</v>
      </c>
      <c r="E41" s="26">
        <f t="shared" si="0"/>
        <v>0</v>
      </c>
      <c r="F41" s="313">
        <v>517.70000000000005</v>
      </c>
      <c r="G41" s="313">
        <v>0</v>
      </c>
      <c r="H41" s="35">
        <v>106.72898964661303</v>
      </c>
      <c r="I41" s="9">
        <v>31</v>
      </c>
      <c r="J41" s="9"/>
      <c r="K41" s="9">
        <v>1</v>
      </c>
      <c r="L41" s="45">
        <v>123236.8573754213</v>
      </c>
      <c r="M41" s="316">
        <v>368.28</v>
      </c>
      <c r="N41" s="9"/>
      <c r="O41" s="9">
        <f t="shared" si="1"/>
        <v>83482057.169903904</v>
      </c>
      <c r="P41" s="9"/>
      <c r="Q41" s="13"/>
    </row>
    <row r="42" spans="1:17" x14ac:dyDescent="0.2">
      <c r="A42" s="2">
        <v>36251</v>
      </c>
      <c r="B42" s="39">
        <v>0</v>
      </c>
      <c r="E42" s="26">
        <f t="shared" si="0"/>
        <v>0</v>
      </c>
      <c r="F42" s="313">
        <v>312.5</v>
      </c>
      <c r="G42" s="313">
        <v>0</v>
      </c>
      <c r="H42" s="35">
        <v>107.37520725203085</v>
      </c>
      <c r="I42" s="9">
        <v>30</v>
      </c>
      <c r="J42" s="9"/>
      <c r="K42" s="9">
        <v>1</v>
      </c>
      <c r="L42" s="45">
        <v>123324.89272146916</v>
      </c>
      <c r="M42" s="316">
        <v>336.24</v>
      </c>
      <c r="N42" s="9"/>
      <c r="O42" s="9">
        <f t="shared" si="1"/>
        <v>76020891.818028331</v>
      </c>
      <c r="P42" s="9"/>
      <c r="Q42" s="13"/>
    </row>
    <row r="43" spans="1:17" x14ac:dyDescent="0.2">
      <c r="A43" s="2">
        <v>36281</v>
      </c>
      <c r="B43" s="39">
        <v>0</v>
      </c>
      <c r="E43" s="26">
        <f t="shared" si="0"/>
        <v>0</v>
      </c>
      <c r="F43" s="313">
        <v>137.30000000000001</v>
      </c>
      <c r="G43" s="313">
        <v>14.1</v>
      </c>
      <c r="H43" s="35">
        <v>108.02533754504118</v>
      </c>
      <c r="I43" s="9">
        <v>31</v>
      </c>
      <c r="J43" s="9"/>
      <c r="K43" s="9">
        <v>1</v>
      </c>
      <c r="L43" s="45">
        <v>123412.92806751702</v>
      </c>
      <c r="M43" s="316">
        <v>319.92</v>
      </c>
      <c r="N43" s="9"/>
      <c r="O43" s="9">
        <f t="shared" si="1"/>
        <v>77844312.615518332</v>
      </c>
      <c r="P43" s="9"/>
      <c r="Q43" s="13"/>
    </row>
    <row r="44" spans="1:17" x14ac:dyDescent="0.2">
      <c r="A44" s="2">
        <v>36312</v>
      </c>
      <c r="B44" s="39">
        <v>0</v>
      </c>
      <c r="E44" s="26">
        <f t="shared" si="0"/>
        <v>0</v>
      </c>
      <c r="F44" s="313">
        <v>17.7</v>
      </c>
      <c r="G44" s="313">
        <v>72.599999999999994</v>
      </c>
      <c r="H44" s="35">
        <v>108.6794042159986</v>
      </c>
      <c r="I44" s="9">
        <v>30</v>
      </c>
      <c r="J44" s="9"/>
      <c r="K44" s="9">
        <v>0</v>
      </c>
      <c r="L44" s="45">
        <v>123500.96341356487</v>
      </c>
      <c r="M44" s="316">
        <v>352.08</v>
      </c>
      <c r="N44" s="9"/>
      <c r="O44" s="9">
        <f t="shared" si="1"/>
        <v>88851889.945405468</v>
      </c>
      <c r="P44" s="9"/>
      <c r="Q44" s="13"/>
    </row>
    <row r="45" spans="1:17" x14ac:dyDescent="0.2">
      <c r="A45" s="2">
        <v>36342</v>
      </c>
      <c r="B45" s="39">
        <v>0</v>
      </c>
      <c r="E45" s="26">
        <f t="shared" si="0"/>
        <v>0</v>
      </c>
      <c r="F45" s="313">
        <v>0.2</v>
      </c>
      <c r="G45" s="313">
        <v>184.1</v>
      </c>
      <c r="H45" s="35">
        <v>109.33743109869688</v>
      </c>
      <c r="I45" s="9">
        <v>31</v>
      </c>
      <c r="J45" s="9"/>
      <c r="K45" s="9">
        <v>0</v>
      </c>
      <c r="L45" s="45">
        <v>123588.99875961273</v>
      </c>
      <c r="M45" s="316">
        <v>336.28800000000001</v>
      </c>
      <c r="N45" s="9"/>
      <c r="O45" s="9">
        <f t="shared" si="1"/>
        <v>113140905.01861478</v>
      </c>
      <c r="P45" s="9"/>
      <c r="Q45" s="13"/>
    </row>
    <row r="46" spans="1:17" x14ac:dyDescent="0.2">
      <c r="A46" s="2">
        <v>36373</v>
      </c>
      <c r="B46" s="39">
        <v>0</v>
      </c>
      <c r="E46" s="26">
        <f t="shared" si="0"/>
        <v>0</v>
      </c>
      <c r="F46" s="313">
        <v>1.6</v>
      </c>
      <c r="G46" s="313">
        <v>91</v>
      </c>
      <c r="H46" s="35">
        <v>109.99944217123755</v>
      </c>
      <c r="I46" s="9">
        <v>31</v>
      </c>
      <c r="J46" s="9"/>
      <c r="K46" s="9">
        <v>0</v>
      </c>
      <c r="L46" s="45">
        <v>123677.0341056606</v>
      </c>
      <c r="M46" s="316">
        <v>336.28800000000001</v>
      </c>
      <c r="N46" s="9"/>
      <c r="O46" s="9">
        <f t="shared" si="1"/>
        <v>95597334.123484775</v>
      </c>
      <c r="P46" s="9"/>
      <c r="Q46" s="13"/>
    </row>
    <row r="47" spans="1:17" x14ac:dyDescent="0.2">
      <c r="A47" s="2">
        <v>36404</v>
      </c>
      <c r="B47" s="39">
        <v>0</v>
      </c>
      <c r="E47" s="26">
        <f t="shared" si="0"/>
        <v>0</v>
      </c>
      <c r="F47" s="313">
        <v>25.2</v>
      </c>
      <c r="G47" s="313">
        <v>59.6</v>
      </c>
      <c r="H47" s="35">
        <v>110.66546155690358</v>
      </c>
      <c r="I47" s="9">
        <v>30</v>
      </c>
      <c r="J47" s="9"/>
      <c r="K47" s="9">
        <v>1</v>
      </c>
      <c r="L47" s="45">
        <v>123765.06945170845</v>
      </c>
      <c r="M47" s="316">
        <v>336.24</v>
      </c>
      <c r="N47" s="9"/>
      <c r="O47" s="9">
        <f t="shared" si="1"/>
        <v>82325599.458379239</v>
      </c>
      <c r="P47" s="9"/>
      <c r="Q47" s="13"/>
    </row>
    <row r="48" spans="1:17" x14ac:dyDescent="0.2">
      <c r="A48" s="2">
        <v>36434</v>
      </c>
      <c r="B48" s="39">
        <v>0</v>
      </c>
      <c r="E48" s="26">
        <f t="shared" si="0"/>
        <v>0</v>
      </c>
      <c r="F48" s="313">
        <v>201</v>
      </c>
      <c r="G48" s="313">
        <v>1</v>
      </c>
      <c r="H48" s="35">
        <v>111.33551352503846</v>
      </c>
      <c r="I48" s="9">
        <v>31</v>
      </c>
      <c r="J48" s="9"/>
      <c r="K48" s="9">
        <v>1</v>
      </c>
      <c r="L48" s="45">
        <v>123853.1047977563</v>
      </c>
      <c r="M48" s="316">
        <v>319.92</v>
      </c>
      <c r="N48" s="9"/>
      <c r="O48" s="9">
        <f t="shared" si="1"/>
        <v>78476303.161942899</v>
      </c>
      <c r="P48" s="9"/>
      <c r="Q48" s="13"/>
    </row>
    <row r="49" spans="1:17" x14ac:dyDescent="0.2">
      <c r="A49" s="2">
        <v>36465</v>
      </c>
      <c r="B49" s="39">
        <v>0</v>
      </c>
      <c r="E49" s="26">
        <f t="shared" si="0"/>
        <v>0</v>
      </c>
      <c r="F49" s="313">
        <v>322.10000000000002</v>
      </c>
      <c r="G49" s="313">
        <v>0</v>
      </c>
      <c r="H49" s="35">
        <v>112.00962249193054</v>
      </c>
      <c r="I49" s="9">
        <v>30</v>
      </c>
      <c r="J49" s="9"/>
      <c r="K49" s="9">
        <v>1</v>
      </c>
      <c r="L49" s="45">
        <v>123941.14014380416</v>
      </c>
      <c r="M49" s="316">
        <v>352.08</v>
      </c>
      <c r="N49" s="9"/>
      <c r="O49" s="9">
        <f t="shared" si="1"/>
        <v>78550509.95549953</v>
      </c>
      <c r="P49" s="9"/>
      <c r="Q49" s="13"/>
    </row>
    <row r="50" spans="1:17" x14ac:dyDescent="0.2">
      <c r="A50" s="2">
        <v>36495</v>
      </c>
      <c r="B50" s="39">
        <v>0</v>
      </c>
      <c r="E50" s="26">
        <f t="shared" si="0"/>
        <v>0</v>
      </c>
      <c r="F50" s="313">
        <v>516</v>
      </c>
      <c r="G50" s="313">
        <v>0</v>
      </c>
      <c r="H50" s="35">
        <v>112.68781302170287</v>
      </c>
      <c r="I50" s="9">
        <v>31</v>
      </c>
      <c r="J50" s="9"/>
      <c r="K50" s="9">
        <v>0</v>
      </c>
      <c r="L50" s="45">
        <v>124029.17548985202</v>
      </c>
      <c r="M50" s="316">
        <v>336.28800000000001</v>
      </c>
      <c r="N50" s="9"/>
      <c r="O50" s="9">
        <f t="shared" si="1"/>
        <v>91592546.094330892</v>
      </c>
      <c r="P50" s="9"/>
      <c r="Q50" s="13"/>
    </row>
    <row r="51" spans="1:17" x14ac:dyDescent="0.2">
      <c r="A51" s="2">
        <v>36526</v>
      </c>
      <c r="B51" s="39">
        <v>0</v>
      </c>
      <c r="E51" s="26">
        <f t="shared" si="0"/>
        <v>0</v>
      </c>
      <c r="F51" s="313">
        <v>662.5</v>
      </c>
      <c r="G51" s="313">
        <v>0</v>
      </c>
      <c r="H51" s="35">
        <v>113.20550742744629</v>
      </c>
      <c r="I51" s="9">
        <v>31</v>
      </c>
      <c r="J51" s="9"/>
      <c r="K51" s="9">
        <v>0</v>
      </c>
      <c r="L51" s="45">
        <v>124117.21083589987</v>
      </c>
      <c r="M51" s="316">
        <v>319.92</v>
      </c>
      <c r="N51" s="9"/>
      <c r="O51" s="9">
        <f t="shared" si="1"/>
        <v>95340614.535993502</v>
      </c>
      <c r="P51" s="9"/>
      <c r="Q51" s="13"/>
    </row>
    <row r="52" spans="1:17" x14ac:dyDescent="0.2">
      <c r="A52" s="2">
        <v>36557</v>
      </c>
      <c r="B52" s="39">
        <v>0</v>
      </c>
      <c r="E52" s="26">
        <f t="shared" si="0"/>
        <v>0</v>
      </c>
      <c r="F52" s="313">
        <v>542.5</v>
      </c>
      <c r="G52" s="313">
        <v>0</v>
      </c>
      <c r="H52" s="35">
        <v>113.72558015157706</v>
      </c>
      <c r="I52" s="9">
        <v>29</v>
      </c>
      <c r="J52" s="9"/>
      <c r="K52" s="9">
        <v>0</v>
      </c>
      <c r="L52" s="45">
        <v>124205.24618194773</v>
      </c>
      <c r="M52" s="316">
        <v>336.16799999999995</v>
      </c>
      <c r="N52" s="9"/>
      <c r="O52" s="9">
        <f t="shared" si="1"/>
        <v>86923433.006243438</v>
      </c>
      <c r="P52" s="9"/>
      <c r="Q52" s="13"/>
    </row>
    <row r="53" spans="1:17" x14ac:dyDescent="0.2">
      <c r="A53" s="2">
        <v>36586</v>
      </c>
      <c r="B53" s="39">
        <v>0</v>
      </c>
      <c r="E53" s="26">
        <f t="shared" si="0"/>
        <v>0</v>
      </c>
      <c r="F53" s="313">
        <v>426.9</v>
      </c>
      <c r="G53" s="313">
        <v>0</v>
      </c>
      <c r="H53" s="35">
        <v>114.24804212022897</v>
      </c>
      <c r="I53" s="9">
        <v>31</v>
      </c>
      <c r="J53" s="9"/>
      <c r="K53" s="9">
        <v>1</v>
      </c>
      <c r="L53" s="45">
        <v>124293.2815279956</v>
      </c>
      <c r="M53" s="316">
        <v>368.28</v>
      </c>
      <c r="N53" s="9"/>
      <c r="O53" s="9">
        <f t="shared" si="1"/>
        <v>85144612.160778999</v>
      </c>
      <c r="P53" s="9"/>
      <c r="Q53" s="13"/>
    </row>
    <row r="54" spans="1:17" x14ac:dyDescent="0.2">
      <c r="A54" s="2">
        <v>36617</v>
      </c>
      <c r="B54" s="39">
        <v>0</v>
      </c>
      <c r="E54" s="26">
        <f t="shared" si="0"/>
        <v>0</v>
      </c>
      <c r="F54" s="313">
        <v>337.1</v>
      </c>
      <c r="G54" s="313">
        <v>0</v>
      </c>
      <c r="H54" s="35">
        <v>114.77290430973115</v>
      </c>
      <c r="I54" s="9">
        <v>30</v>
      </c>
      <c r="J54" s="9"/>
      <c r="K54" s="9">
        <v>1</v>
      </c>
      <c r="L54" s="45">
        <v>124381.31687404345</v>
      </c>
      <c r="M54" s="316">
        <v>303.83999999999997</v>
      </c>
      <c r="N54" s="9"/>
      <c r="O54" s="9">
        <f t="shared" si="1"/>
        <v>80374292.575516105</v>
      </c>
      <c r="P54" s="9"/>
      <c r="Q54" s="13"/>
    </row>
    <row r="55" spans="1:17" x14ac:dyDescent="0.2">
      <c r="A55" s="2">
        <v>36647</v>
      </c>
      <c r="B55" s="39">
        <v>0</v>
      </c>
      <c r="E55" s="26">
        <f t="shared" si="0"/>
        <v>0</v>
      </c>
      <c r="F55" s="313">
        <v>149.19999999999999</v>
      </c>
      <c r="G55" s="313">
        <v>0</v>
      </c>
      <c r="H55" s="35">
        <v>115.30017774683859</v>
      </c>
      <c r="I55" s="9">
        <v>31</v>
      </c>
      <c r="J55" s="9"/>
      <c r="K55" s="9">
        <v>1</v>
      </c>
      <c r="L55" s="45">
        <v>124469.3522200913</v>
      </c>
      <c r="M55" s="316">
        <v>351.91199999999998</v>
      </c>
      <c r="N55" s="9"/>
      <c r="O55" s="9">
        <f t="shared" si="1"/>
        <v>79146022.071927071</v>
      </c>
      <c r="P55" s="9"/>
      <c r="Q55" s="13"/>
    </row>
    <row r="56" spans="1:17" x14ac:dyDescent="0.2">
      <c r="A56" s="2">
        <v>36678</v>
      </c>
      <c r="B56" s="39">
        <v>0</v>
      </c>
      <c r="E56" s="26">
        <f t="shared" si="0"/>
        <v>0</v>
      </c>
      <c r="F56" s="313">
        <v>44.8</v>
      </c>
      <c r="G56" s="313">
        <v>33.1</v>
      </c>
      <c r="H56" s="35">
        <v>115.82987350896386</v>
      </c>
      <c r="I56" s="9">
        <v>30</v>
      </c>
      <c r="J56" s="9"/>
      <c r="K56" s="9">
        <v>0</v>
      </c>
      <c r="L56" s="45">
        <v>124557.38756613916</v>
      </c>
      <c r="M56" s="316">
        <v>352.08</v>
      </c>
      <c r="N56" s="9"/>
      <c r="O56" s="9">
        <f t="shared" si="1"/>
        <v>85588115.496598825</v>
      </c>
      <c r="P56" s="9"/>
      <c r="Q56" s="13"/>
    </row>
    <row r="57" spans="1:17" x14ac:dyDescent="0.2">
      <c r="A57" s="2">
        <v>36708</v>
      </c>
      <c r="B57" s="39">
        <v>0</v>
      </c>
      <c r="E57" s="26">
        <f t="shared" si="0"/>
        <v>0</v>
      </c>
      <c r="F57" s="313">
        <v>0.2</v>
      </c>
      <c r="G57" s="313">
        <v>83.7</v>
      </c>
      <c r="H57" s="35">
        <v>116.36200272440982</v>
      </c>
      <c r="I57" s="9">
        <v>31</v>
      </c>
      <c r="J57" s="9"/>
      <c r="K57" s="9">
        <v>0</v>
      </c>
      <c r="L57" s="45">
        <v>124645.42291218703</v>
      </c>
      <c r="M57" s="316">
        <v>319.92</v>
      </c>
      <c r="N57" s="9"/>
      <c r="O57" s="9">
        <f t="shared" si="1"/>
        <v>97482941.233265206</v>
      </c>
      <c r="P57" s="9"/>
      <c r="Q57" s="13"/>
    </row>
    <row r="58" spans="1:17" x14ac:dyDescent="0.2">
      <c r="A58" s="2">
        <v>36739</v>
      </c>
      <c r="B58" s="39">
        <v>0</v>
      </c>
      <c r="E58" s="26">
        <f t="shared" si="0"/>
        <v>0</v>
      </c>
      <c r="F58" s="313">
        <v>2.8</v>
      </c>
      <c r="G58" s="313">
        <v>109.1</v>
      </c>
      <c r="H58" s="35">
        <v>116.89657657260338</v>
      </c>
      <c r="I58" s="9">
        <v>31</v>
      </c>
      <c r="J58" s="9"/>
      <c r="K58" s="9">
        <v>0</v>
      </c>
      <c r="L58" s="45">
        <v>124733.45825823488</v>
      </c>
      <c r="M58" s="316">
        <v>351.91199999999998</v>
      </c>
      <c r="N58" s="9"/>
      <c r="O58" s="9">
        <f t="shared" si="1"/>
        <v>102717522.55490606</v>
      </c>
      <c r="P58" s="9"/>
      <c r="Q58" s="13"/>
    </row>
    <row r="59" spans="1:17" x14ac:dyDescent="0.2">
      <c r="A59" s="2">
        <v>36770</v>
      </c>
      <c r="B59" s="39">
        <v>0</v>
      </c>
      <c r="E59" s="26">
        <f t="shared" si="0"/>
        <v>0</v>
      </c>
      <c r="F59" s="313">
        <v>60.3</v>
      </c>
      <c r="G59" s="313">
        <v>50.3</v>
      </c>
      <c r="H59" s="35">
        <v>117.43360628433041</v>
      </c>
      <c r="I59" s="9">
        <v>30</v>
      </c>
      <c r="J59" s="9"/>
      <c r="K59" s="9">
        <v>1</v>
      </c>
      <c r="L59" s="45">
        <v>124821.49360428273</v>
      </c>
      <c r="M59" s="316">
        <v>319.68</v>
      </c>
      <c r="N59" s="9"/>
      <c r="O59" s="9">
        <f t="shared" si="1"/>
        <v>84936522.172762662</v>
      </c>
      <c r="P59" s="9"/>
      <c r="Q59" s="13"/>
    </row>
    <row r="60" spans="1:17" x14ac:dyDescent="0.2">
      <c r="A60" s="2">
        <v>36800</v>
      </c>
      <c r="B60" s="39">
        <v>0</v>
      </c>
      <c r="E60" s="26">
        <f t="shared" si="0"/>
        <v>0</v>
      </c>
      <c r="F60" s="313">
        <v>196.6</v>
      </c>
      <c r="G60" s="313">
        <v>0</v>
      </c>
      <c r="H60" s="35">
        <v>117.97310314197166</v>
      </c>
      <c r="I60" s="9">
        <v>31</v>
      </c>
      <c r="J60" s="9"/>
      <c r="K60" s="9">
        <v>1</v>
      </c>
      <c r="L60" s="45">
        <v>124909.5289503306</v>
      </c>
      <c r="M60" s="316">
        <v>336.28800000000001</v>
      </c>
      <c r="N60" s="9"/>
      <c r="O60" s="9">
        <f t="shared" si="1"/>
        <v>81707214.045153588</v>
      </c>
      <c r="P60" s="9"/>
      <c r="Q60" s="13"/>
    </row>
    <row r="61" spans="1:17" x14ac:dyDescent="0.2">
      <c r="A61" s="2">
        <v>36831</v>
      </c>
      <c r="B61" s="39">
        <v>0</v>
      </c>
      <c r="E61" s="26">
        <f t="shared" si="0"/>
        <v>0</v>
      </c>
      <c r="F61" s="313">
        <v>376.8</v>
      </c>
      <c r="G61" s="313">
        <v>0</v>
      </c>
      <c r="H61" s="35">
        <v>118.51507847973981</v>
      </c>
      <c r="I61" s="9">
        <v>30</v>
      </c>
      <c r="J61" s="9"/>
      <c r="K61" s="9">
        <v>1</v>
      </c>
      <c r="L61" s="45">
        <v>124997.56429637845</v>
      </c>
      <c r="M61" s="316">
        <v>352.08</v>
      </c>
      <c r="N61" s="9"/>
      <c r="O61" s="9">
        <f t="shared" si="1"/>
        <v>83329335.050477296</v>
      </c>
      <c r="P61" s="9"/>
      <c r="Q61" s="13"/>
    </row>
    <row r="62" spans="1:17" x14ac:dyDescent="0.2">
      <c r="A62" s="2">
        <v>36861</v>
      </c>
      <c r="B62" s="39">
        <v>0</v>
      </c>
      <c r="E62" s="26">
        <f t="shared" si="0"/>
        <v>0</v>
      </c>
      <c r="F62" s="313">
        <v>628.6</v>
      </c>
      <c r="G62" s="313">
        <v>0</v>
      </c>
      <c r="H62" s="35">
        <v>119.05954368391765</v>
      </c>
      <c r="I62" s="9">
        <v>31</v>
      </c>
      <c r="J62" s="9"/>
      <c r="K62" s="9">
        <v>0</v>
      </c>
      <c r="L62" s="45">
        <v>125085.5996424263</v>
      </c>
      <c r="M62" s="316">
        <v>304.29599999999999</v>
      </c>
      <c r="N62" s="9"/>
      <c r="O62" s="9">
        <f t="shared" si="1"/>
        <v>97698061.120321527</v>
      </c>
      <c r="P62" s="9"/>
      <c r="Q62" s="13"/>
    </row>
    <row r="63" spans="1:17" x14ac:dyDescent="0.2">
      <c r="A63" s="2">
        <v>36892</v>
      </c>
      <c r="B63" s="39">
        <v>0</v>
      </c>
      <c r="E63" s="26">
        <f t="shared" si="0"/>
        <v>0</v>
      </c>
      <c r="F63" s="313">
        <v>621.5</v>
      </c>
      <c r="G63" s="313">
        <v>0</v>
      </c>
      <c r="H63" s="35">
        <v>119.23206305749976</v>
      </c>
      <c r="I63" s="9">
        <v>31</v>
      </c>
      <c r="J63" s="9"/>
      <c r="K63" s="9">
        <v>0</v>
      </c>
      <c r="L63" s="45">
        <v>125173.63498847416</v>
      </c>
      <c r="M63" s="316">
        <v>351.91199999999998</v>
      </c>
      <c r="N63" s="9"/>
      <c r="O63" s="9">
        <f t="shared" si="1"/>
        <v>97701792.778454676</v>
      </c>
      <c r="P63" s="9"/>
      <c r="Q63" s="13"/>
    </row>
    <row r="64" spans="1:17" x14ac:dyDescent="0.2">
      <c r="A64" s="2">
        <v>36925</v>
      </c>
      <c r="B64" s="39">
        <v>0</v>
      </c>
      <c r="E64" s="26">
        <f t="shared" si="0"/>
        <v>0</v>
      </c>
      <c r="F64" s="313">
        <v>530.30000000000007</v>
      </c>
      <c r="G64" s="313">
        <v>0</v>
      </c>
      <c r="H64" s="35">
        <v>119.40483241468957</v>
      </c>
      <c r="I64" s="9">
        <v>28</v>
      </c>
      <c r="J64" s="9"/>
      <c r="K64" s="9">
        <v>0</v>
      </c>
      <c r="L64" s="45">
        <v>125261.67033452203</v>
      </c>
      <c r="M64" s="316">
        <v>319.87200000000001</v>
      </c>
      <c r="N64" s="9"/>
      <c r="O64" s="9">
        <f t="shared" si="1"/>
        <v>86923394.005128622</v>
      </c>
      <c r="P64" s="9"/>
      <c r="Q64" s="13"/>
    </row>
    <row r="65" spans="1:36" x14ac:dyDescent="0.2">
      <c r="A65" s="2">
        <v>36958</v>
      </c>
      <c r="B65" s="39">
        <v>0</v>
      </c>
      <c r="E65" s="26">
        <f t="shared" si="0"/>
        <v>0</v>
      </c>
      <c r="F65" s="313">
        <v>520.5</v>
      </c>
      <c r="G65" s="313">
        <v>0</v>
      </c>
      <c r="H65" s="35">
        <v>119.57785211771773</v>
      </c>
      <c r="I65" s="9">
        <v>31</v>
      </c>
      <c r="J65" s="9"/>
      <c r="K65" s="9">
        <v>1</v>
      </c>
      <c r="L65" s="45">
        <v>125349.70568056988</v>
      </c>
      <c r="M65" s="316">
        <v>351.91199999999998</v>
      </c>
      <c r="N65" s="9"/>
      <c r="O65" s="9">
        <f t="shared" si="1"/>
        <v>90465994.611136943</v>
      </c>
      <c r="P65" s="9"/>
      <c r="Q65" s="13"/>
    </row>
    <row r="66" spans="1:36" x14ac:dyDescent="0.2">
      <c r="A66" s="2">
        <v>36991</v>
      </c>
      <c r="B66" s="39">
        <v>0</v>
      </c>
      <c r="E66" s="26">
        <f t="shared" si="0"/>
        <v>0</v>
      </c>
      <c r="F66" s="313">
        <v>322.8</v>
      </c>
      <c r="G66" s="313">
        <v>0</v>
      </c>
      <c r="H66" s="35">
        <v>119.75112252933975</v>
      </c>
      <c r="I66" s="9">
        <v>30</v>
      </c>
      <c r="J66" s="9"/>
      <c r="K66" s="9">
        <v>1</v>
      </c>
      <c r="L66" s="45">
        <v>125437.74102661773</v>
      </c>
      <c r="M66" s="316">
        <v>319.68</v>
      </c>
      <c r="N66" s="9"/>
      <c r="O66" s="9">
        <f t="shared" si="1"/>
        <v>83030326.424488246</v>
      </c>
      <c r="P66" s="9"/>
      <c r="Q66" s="13"/>
    </row>
    <row r="67" spans="1:36" x14ac:dyDescent="0.2">
      <c r="A67" s="2">
        <v>37024</v>
      </c>
      <c r="B67" s="39">
        <v>0</v>
      </c>
      <c r="E67" s="26">
        <f t="shared" ref="E67:E130" si="2">B67+D67+C67</f>
        <v>0</v>
      </c>
      <c r="F67" s="313">
        <v>129.4</v>
      </c>
      <c r="G67" s="313">
        <v>2.2000000000000002</v>
      </c>
      <c r="H67" s="35">
        <v>119.92464401283681</v>
      </c>
      <c r="I67" s="9">
        <v>31</v>
      </c>
      <c r="J67" s="9"/>
      <c r="K67" s="9">
        <v>1</v>
      </c>
      <c r="L67" s="45">
        <v>125525.7763726656</v>
      </c>
      <c r="M67" s="316">
        <v>351.91199999999998</v>
      </c>
      <c r="N67" s="9"/>
      <c r="O67" s="9">
        <f t="shared" si="1"/>
        <v>81981439.422318637</v>
      </c>
      <c r="P67" s="9"/>
      <c r="Q67" s="13"/>
    </row>
    <row r="68" spans="1:36" x14ac:dyDescent="0.2">
      <c r="A68" s="2">
        <v>37057</v>
      </c>
      <c r="B68" s="39">
        <v>0</v>
      </c>
      <c r="E68" s="26">
        <f t="shared" si="2"/>
        <v>0</v>
      </c>
      <c r="F68" s="313">
        <v>27.7</v>
      </c>
      <c r="G68" s="313">
        <v>61</v>
      </c>
      <c r="H68" s="35">
        <v>120.09841693201646</v>
      </c>
      <c r="I68" s="9">
        <v>30</v>
      </c>
      <c r="J68" s="9"/>
      <c r="K68" s="9">
        <v>0</v>
      </c>
      <c r="L68" s="45">
        <v>125613.81171871346</v>
      </c>
      <c r="M68" s="316">
        <v>336.24</v>
      </c>
      <c r="N68" s="9"/>
      <c r="O68" s="9">
        <f t="shared" ref="O68:O131" si="3">$S$18+F68*$S$19+G68*$S$20+H68*$S$21+I68*$S$22+J68*$S$23+K68*$S$24+L68*$S$25</f>
        <v>93315867.670584664</v>
      </c>
      <c r="P68" s="9"/>
      <c r="Q68" s="13"/>
    </row>
    <row r="69" spans="1:36" x14ac:dyDescent="0.2">
      <c r="A69" s="2">
        <v>37090</v>
      </c>
      <c r="B69" s="39">
        <v>0</v>
      </c>
      <c r="E69" s="26">
        <f t="shared" si="2"/>
        <v>0</v>
      </c>
      <c r="F69" s="313">
        <v>1.8</v>
      </c>
      <c r="G69" s="313">
        <v>91</v>
      </c>
      <c r="H69" s="35">
        <v>120.27244165121344</v>
      </c>
      <c r="I69" s="9">
        <v>31</v>
      </c>
      <c r="J69" s="9"/>
      <c r="K69" s="9">
        <v>0</v>
      </c>
      <c r="L69" s="45">
        <v>125701.84706476131</v>
      </c>
      <c r="M69" s="316">
        <v>336.28800000000001</v>
      </c>
      <c r="N69" s="9"/>
      <c r="O69" s="9">
        <f t="shared" si="3"/>
        <v>101576092.00067832</v>
      </c>
      <c r="P69" s="9"/>
      <c r="Q69" s="13"/>
    </row>
    <row r="70" spans="1:36" x14ac:dyDescent="0.2">
      <c r="A70" s="2">
        <v>37123</v>
      </c>
      <c r="B70" s="39">
        <v>0</v>
      </c>
      <c r="E70" s="26">
        <f t="shared" si="2"/>
        <v>0</v>
      </c>
      <c r="F70" s="313">
        <v>0</v>
      </c>
      <c r="G70" s="313">
        <v>0</v>
      </c>
      <c r="H70" s="35">
        <v>120.4467185352904</v>
      </c>
      <c r="I70" s="9">
        <v>31</v>
      </c>
      <c r="J70" s="9"/>
      <c r="K70" s="9">
        <v>0</v>
      </c>
      <c r="L70" s="45">
        <v>125789.88241080916</v>
      </c>
      <c r="M70" s="316">
        <v>351.91199999999998</v>
      </c>
      <c r="N70" s="9"/>
      <c r="O70" s="9">
        <f t="shared" si="3"/>
        <v>84204042.084783122</v>
      </c>
      <c r="P70" s="9"/>
      <c r="Q70" s="13"/>
    </row>
    <row r="71" spans="1:36" x14ac:dyDescent="0.2">
      <c r="A71" s="2">
        <v>37156</v>
      </c>
      <c r="B71" s="39">
        <v>0</v>
      </c>
      <c r="E71" s="26">
        <f t="shared" si="2"/>
        <v>0</v>
      </c>
      <c r="F71" s="313">
        <v>43.6</v>
      </c>
      <c r="G71" s="313">
        <v>45.2</v>
      </c>
      <c r="H71" s="35">
        <v>120.62124794963869</v>
      </c>
      <c r="I71" s="9">
        <v>30</v>
      </c>
      <c r="J71" s="9"/>
      <c r="K71" s="9">
        <v>1</v>
      </c>
      <c r="L71" s="45">
        <v>125877.91775685703</v>
      </c>
      <c r="M71" s="316">
        <v>303.83999999999997</v>
      </c>
      <c r="N71" s="9"/>
      <c r="O71" s="9">
        <f t="shared" si="3"/>
        <v>85979756.783701748</v>
      </c>
      <c r="P71" s="9"/>
      <c r="Q71" s="13"/>
    </row>
    <row r="72" spans="1:36" x14ac:dyDescent="0.2">
      <c r="A72" s="2">
        <v>37189</v>
      </c>
      <c r="B72" s="39">
        <v>0</v>
      </c>
      <c r="E72" s="26">
        <f t="shared" si="2"/>
        <v>0</v>
      </c>
      <c r="F72" s="313">
        <v>184.9</v>
      </c>
      <c r="G72" s="313">
        <v>3.8</v>
      </c>
      <c r="H72" s="35">
        <v>120.79603026017911</v>
      </c>
      <c r="I72" s="9">
        <v>31</v>
      </c>
      <c r="J72" s="9"/>
      <c r="K72" s="9">
        <v>1</v>
      </c>
      <c r="L72" s="45">
        <v>125965.95310290488</v>
      </c>
      <c r="M72" s="316">
        <v>351.91199999999998</v>
      </c>
      <c r="N72" s="9"/>
      <c r="O72" s="9">
        <f t="shared" si="3"/>
        <v>84463280.078095734</v>
      </c>
      <c r="P72" s="9"/>
      <c r="Q72" s="13"/>
    </row>
    <row r="73" spans="1:36" x14ac:dyDescent="0.2">
      <c r="A73" s="2">
        <v>37222</v>
      </c>
      <c r="B73" s="39">
        <v>0</v>
      </c>
      <c r="E73" s="26">
        <f t="shared" si="2"/>
        <v>0</v>
      </c>
      <c r="F73" s="313">
        <v>290.39999999999998</v>
      </c>
      <c r="G73" s="313">
        <v>0</v>
      </c>
      <c r="H73" s="35">
        <v>120.9710658333627</v>
      </c>
      <c r="I73" s="9">
        <v>30</v>
      </c>
      <c r="J73" s="9"/>
      <c r="K73" s="9">
        <v>1</v>
      </c>
      <c r="L73" s="45">
        <v>126053.98844895273</v>
      </c>
      <c r="M73" s="316">
        <v>352.08</v>
      </c>
      <c r="N73" s="9"/>
      <c r="O73" s="9">
        <f t="shared" si="3"/>
        <v>83469638.947236419</v>
      </c>
      <c r="P73" s="9"/>
      <c r="Q73" s="13"/>
    </row>
    <row r="74" spans="1:36" x14ac:dyDescent="0.2">
      <c r="A74" s="2">
        <v>37255</v>
      </c>
      <c r="B74" s="39">
        <v>0</v>
      </c>
      <c r="E74" s="26">
        <f t="shared" si="2"/>
        <v>0</v>
      </c>
      <c r="F74" s="313">
        <v>455</v>
      </c>
      <c r="G74" s="313">
        <v>0</v>
      </c>
      <c r="H74" s="35">
        <v>121.1463550361714</v>
      </c>
      <c r="I74" s="9">
        <v>31</v>
      </c>
      <c r="J74" s="9"/>
      <c r="K74" s="9">
        <v>0</v>
      </c>
      <c r="L74" s="45">
        <v>126144.02379500039</v>
      </c>
      <c r="M74" s="316">
        <v>304.29599999999999</v>
      </c>
      <c r="N74" s="9"/>
      <c r="O74" s="9">
        <f t="shared" si="3"/>
        <v>95659675.176883116</v>
      </c>
      <c r="P74" s="9"/>
      <c r="Q74" s="13"/>
    </row>
    <row r="75" spans="1:36" s="14" customFormat="1" x14ac:dyDescent="0.2">
      <c r="A75" s="12">
        <v>37275</v>
      </c>
      <c r="B75" s="39">
        <v>98398774.076027989</v>
      </c>
      <c r="C75" s="26"/>
      <c r="D75" s="26"/>
      <c r="E75" s="26">
        <f t="shared" si="2"/>
        <v>98398774.076027989</v>
      </c>
      <c r="F75" s="313">
        <v>530.29999999999995</v>
      </c>
      <c r="G75" s="313">
        <v>0</v>
      </c>
      <c r="H75" s="35">
        <v>121.50450639216388</v>
      </c>
      <c r="I75" s="9">
        <v>31</v>
      </c>
      <c r="J75" s="9">
        <v>0</v>
      </c>
      <c r="K75" s="9">
        <v>0</v>
      </c>
      <c r="L75" s="45">
        <v>126247.54999841705</v>
      </c>
      <c r="M75" s="316">
        <v>351.91199999999998</v>
      </c>
      <c r="N75" s="9"/>
      <c r="O75" s="9">
        <f t="shared" si="3"/>
        <v>97692694.106691822</v>
      </c>
      <c r="P75" s="9"/>
      <c r="Q75" s="13"/>
      <c r="R75"/>
      <c r="S75"/>
      <c r="T75"/>
      <c r="U75"/>
      <c r="V75"/>
      <c r="W75"/>
      <c r="X75"/>
      <c r="Y75"/>
      <c r="Z75"/>
      <c r="AA75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 x14ac:dyDescent="0.2">
      <c r="A76" s="2">
        <v>37308</v>
      </c>
      <c r="B76" s="39">
        <v>87515454.445915431</v>
      </c>
      <c r="E76" s="26">
        <f t="shared" si="2"/>
        <v>87515454.445915431</v>
      </c>
      <c r="F76" s="313">
        <v>492.3</v>
      </c>
      <c r="G76" s="313">
        <v>0</v>
      </c>
      <c r="H76" s="35">
        <v>121.86371656989111</v>
      </c>
      <c r="I76" s="9">
        <v>28</v>
      </c>
      <c r="J76" s="9">
        <v>0</v>
      </c>
      <c r="K76" s="9">
        <v>0</v>
      </c>
      <c r="L76" s="45">
        <v>126351.0762018337</v>
      </c>
      <c r="M76" s="316">
        <v>319.87200000000001</v>
      </c>
      <c r="N76" s="9"/>
      <c r="O76" s="9">
        <f t="shared" si="3"/>
        <v>88253106.295455962</v>
      </c>
      <c r="P76" s="9"/>
      <c r="Q76" s="13"/>
    </row>
    <row r="77" spans="1:36" x14ac:dyDescent="0.2">
      <c r="A77" s="2">
        <v>37341</v>
      </c>
      <c r="B77" s="39">
        <v>94028461.32406956</v>
      </c>
      <c r="E77" s="26">
        <f t="shared" si="2"/>
        <v>94028461.32406956</v>
      </c>
      <c r="F77" s="313">
        <v>513.5</v>
      </c>
      <c r="G77" s="313">
        <v>0</v>
      </c>
      <c r="H77" s="35">
        <v>122.22398869960362</v>
      </c>
      <c r="I77" s="9">
        <v>31</v>
      </c>
      <c r="J77" s="9">
        <v>0</v>
      </c>
      <c r="K77" s="9">
        <v>1</v>
      </c>
      <c r="L77" s="45">
        <v>126454.60240525035</v>
      </c>
      <c r="M77" s="316">
        <v>319.92</v>
      </c>
      <c r="N77" s="9"/>
      <c r="O77" s="9">
        <f t="shared" si="3"/>
        <v>92609629.869335502</v>
      </c>
      <c r="P77" s="9"/>
      <c r="Q77" s="13"/>
    </row>
    <row r="78" spans="1:36" x14ac:dyDescent="0.2">
      <c r="A78" s="2">
        <v>37374</v>
      </c>
      <c r="B78" s="39">
        <v>86184465.624160141</v>
      </c>
      <c r="E78" s="26">
        <f t="shared" si="2"/>
        <v>86184465.624160141</v>
      </c>
      <c r="F78" s="313">
        <v>314.10000000000002</v>
      </c>
      <c r="G78" s="313">
        <v>0</v>
      </c>
      <c r="H78" s="35">
        <v>122.58532592080604</v>
      </c>
      <c r="I78" s="9">
        <v>30</v>
      </c>
      <c r="J78" s="9">
        <v>0</v>
      </c>
      <c r="K78" s="9">
        <v>1</v>
      </c>
      <c r="L78" s="45">
        <v>126558.128608667</v>
      </c>
      <c r="M78" s="316">
        <v>352.08</v>
      </c>
      <c r="N78" s="9"/>
      <c r="O78" s="9">
        <f t="shared" si="3"/>
        <v>85214616.408920079</v>
      </c>
      <c r="P78" s="9"/>
      <c r="Q78" s="13"/>
    </row>
    <row r="79" spans="1:36" x14ac:dyDescent="0.2">
      <c r="A79" s="2">
        <v>37407</v>
      </c>
      <c r="B79" s="39">
        <v>85447299.005604059</v>
      </c>
      <c r="E79" s="26">
        <f t="shared" si="2"/>
        <v>85447299.005604059</v>
      </c>
      <c r="F79" s="313">
        <v>224.5</v>
      </c>
      <c r="G79" s="313">
        <v>2.4</v>
      </c>
      <c r="H79" s="35">
        <v>122.9477313822845</v>
      </c>
      <c r="I79" s="9">
        <v>31</v>
      </c>
      <c r="J79" s="9">
        <v>0</v>
      </c>
      <c r="K79" s="9">
        <v>1</v>
      </c>
      <c r="L79" s="45">
        <v>126661.65481208365</v>
      </c>
      <c r="M79" s="316">
        <v>351.91199999999998</v>
      </c>
      <c r="N79" s="9"/>
      <c r="O79" s="9">
        <f t="shared" si="3"/>
        <v>86740751.004391372</v>
      </c>
      <c r="P79" s="9"/>
      <c r="Q79" s="13"/>
    </row>
    <row r="80" spans="1:36" x14ac:dyDescent="0.2">
      <c r="A80" s="2">
        <v>37408</v>
      </c>
      <c r="B80" s="39">
        <v>95651672.755143687</v>
      </c>
      <c r="E80" s="26">
        <f t="shared" si="2"/>
        <v>95651672.755143687</v>
      </c>
      <c r="F80" s="313">
        <v>39.299999999999997</v>
      </c>
      <c r="G80" s="313">
        <v>54.8</v>
      </c>
      <c r="H80" s="35">
        <v>123.31120824213403</v>
      </c>
      <c r="I80" s="9">
        <v>30</v>
      </c>
      <c r="J80" s="9">
        <v>0</v>
      </c>
      <c r="K80" s="9">
        <v>0</v>
      </c>
      <c r="L80" s="45">
        <v>126765.1810155003</v>
      </c>
      <c r="M80" s="316">
        <v>319.68</v>
      </c>
      <c r="N80" s="9"/>
      <c r="O80" s="9">
        <f t="shared" si="3"/>
        <v>94950462.339196518</v>
      </c>
      <c r="P80" s="9"/>
      <c r="Q80" s="13"/>
    </row>
    <row r="81" spans="1:36" x14ac:dyDescent="0.2">
      <c r="A81" s="2">
        <v>37440</v>
      </c>
      <c r="B81" s="39">
        <v>119450096.05526412</v>
      </c>
      <c r="E81" s="26">
        <f t="shared" si="2"/>
        <v>119450096.05526412</v>
      </c>
      <c r="F81" s="313">
        <v>0</v>
      </c>
      <c r="G81" s="313">
        <v>191.6</v>
      </c>
      <c r="H81" s="35">
        <v>123.67575966778612</v>
      </c>
      <c r="I81" s="9">
        <v>31</v>
      </c>
      <c r="J81" s="9">
        <v>0</v>
      </c>
      <c r="K81" s="9">
        <v>0</v>
      </c>
      <c r="L81" s="45">
        <v>126868.70721891696</v>
      </c>
      <c r="M81" s="316">
        <v>351.91199999999998</v>
      </c>
      <c r="N81" s="9"/>
      <c r="O81" s="9">
        <f t="shared" si="3"/>
        <v>123515843.52800335</v>
      </c>
      <c r="P81" s="9"/>
      <c r="Q81" s="13"/>
    </row>
    <row r="82" spans="1:36" x14ac:dyDescent="0.2">
      <c r="A82" s="2">
        <v>37473</v>
      </c>
      <c r="B82" s="39">
        <v>114483162.95551597</v>
      </c>
      <c r="E82" s="26">
        <f t="shared" si="2"/>
        <v>114483162.95551597</v>
      </c>
      <c r="F82" s="313">
        <v>0</v>
      </c>
      <c r="G82" s="313">
        <v>155</v>
      </c>
      <c r="H82" s="35">
        <v>124.04138883603632</v>
      </c>
      <c r="I82" s="9">
        <v>31</v>
      </c>
      <c r="J82" s="9">
        <v>0</v>
      </c>
      <c r="K82" s="9">
        <v>0</v>
      </c>
      <c r="L82" s="45">
        <v>126972.23342233361</v>
      </c>
      <c r="M82" s="316">
        <v>336.28800000000001</v>
      </c>
      <c r="N82" s="9"/>
      <c r="O82" s="9">
        <f t="shared" si="3"/>
        <v>116730863.74941696</v>
      </c>
      <c r="P82" s="9"/>
      <c r="Q82" s="13"/>
    </row>
    <row r="83" spans="1:36" x14ac:dyDescent="0.2">
      <c r="A83" s="2">
        <v>37506</v>
      </c>
      <c r="B83" s="39">
        <v>96936653.295243025</v>
      </c>
      <c r="E83" s="26">
        <f t="shared" si="2"/>
        <v>96936653.295243025</v>
      </c>
      <c r="F83" s="313">
        <v>9.8000000000000007</v>
      </c>
      <c r="G83" s="313">
        <v>92.3</v>
      </c>
      <c r="H83" s="35">
        <v>124.40809893307186</v>
      </c>
      <c r="I83" s="9">
        <v>30</v>
      </c>
      <c r="J83" s="9">
        <v>0</v>
      </c>
      <c r="K83" s="9">
        <v>1</v>
      </c>
      <c r="L83" s="45">
        <v>127075.75962575026</v>
      </c>
      <c r="M83" s="316">
        <v>319.68</v>
      </c>
      <c r="N83" s="9"/>
      <c r="O83" s="9">
        <f t="shared" si="3"/>
        <v>97037179.211005241</v>
      </c>
      <c r="P83" s="9"/>
      <c r="Q83" s="13"/>
    </row>
    <row r="84" spans="1:36" x14ac:dyDescent="0.2">
      <c r="A84" s="2">
        <v>37539</v>
      </c>
      <c r="B84" s="39">
        <v>90917730.905905664</v>
      </c>
      <c r="E84" s="26">
        <f t="shared" si="2"/>
        <v>90917730.905905664</v>
      </c>
      <c r="F84" s="313">
        <v>234.60000000000002</v>
      </c>
      <c r="G84" s="313">
        <v>11.4</v>
      </c>
      <c r="H84" s="35">
        <v>124.7758931544995</v>
      </c>
      <c r="I84" s="9">
        <v>31</v>
      </c>
      <c r="J84" s="9">
        <v>0</v>
      </c>
      <c r="K84" s="9">
        <v>1</v>
      </c>
      <c r="L84" s="45">
        <v>127179.28582916691</v>
      </c>
      <c r="M84" s="316">
        <v>351.91199999999998</v>
      </c>
      <c r="N84" s="9"/>
      <c r="O84" s="9">
        <f t="shared" si="3"/>
        <v>89981481.004160821</v>
      </c>
      <c r="P84" s="9"/>
      <c r="Q84" s="13"/>
    </row>
    <row r="85" spans="1:36" x14ac:dyDescent="0.2">
      <c r="A85" s="2">
        <v>37572</v>
      </c>
      <c r="B85" s="39">
        <v>90920617.540786162</v>
      </c>
      <c r="E85" s="26">
        <f t="shared" si="2"/>
        <v>90920617.540786162</v>
      </c>
      <c r="F85" s="313">
        <v>381.2</v>
      </c>
      <c r="G85" s="313">
        <v>0</v>
      </c>
      <c r="H85" s="35">
        <v>125.14477470537335</v>
      </c>
      <c r="I85" s="9">
        <v>30</v>
      </c>
      <c r="J85" s="9">
        <v>0</v>
      </c>
      <c r="K85" s="9">
        <v>1</v>
      </c>
      <c r="L85" s="45">
        <v>127282.81203258356</v>
      </c>
      <c r="M85" s="316">
        <v>336.24</v>
      </c>
      <c r="N85" s="9"/>
      <c r="O85" s="9">
        <f t="shared" si="3"/>
        <v>88581117.728179902</v>
      </c>
      <c r="P85" s="9"/>
      <c r="Q85" s="13"/>
    </row>
    <row r="86" spans="1:36" s="33" customFormat="1" x14ac:dyDescent="0.2">
      <c r="A86" s="32">
        <v>37605</v>
      </c>
      <c r="B86" s="39">
        <v>102776285.79676101</v>
      </c>
      <c r="C86" s="26"/>
      <c r="D86" s="26"/>
      <c r="E86" s="26">
        <f t="shared" si="2"/>
        <v>102776285.79676101</v>
      </c>
      <c r="F86" s="313">
        <v>567.20000000000005</v>
      </c>
      <c r="G86" s="313">
        <v>0</v>
      </c>
      <c r="H86" s="35">
        <v>125.51474680022261</v>
      </c>
      <c r="I86" s="17">
        <v>31</v>
      </c>
      <c r="J86" s="9">
        <v>0</v>
      </c>
      <c r="K86" s="17">
        <v>0</v>
      </c>
      <c r="L86" s="45">
        <v>127386.33823600021</v>
      </c>
      <c r="M86" s="315">
        <v>319.92</v>
      </c>
      <c r="N86" s="9"/>
      <c r="O86" s="9">
        <f t="shared" si="3"/>
        <v>101357730.96808238</v>
      </c>
      <c r="P86" s="17"/>
      <c r="Q86" s="31"/>
      <c r="R86"/>
      <c r="S86"/>
      <c r="T86"/>
      <c r="U86"/>
      <c r="V86"/>
      <c r="W86"/>
      <c r="X86"/>
      <c r="Y86"/>
      <c r="Z86"/>
      <c r="AA86"/>
      <c r="AB86" s="26"/>
      <c r="AC86" s="26"/>
      <c r="AD86" s="26"/>
      <c r="AE86" s="26"/>
      <c r="AF86" s="26"/>
      <c r="AG86" s="26"/>
      <c r="AH86" s="26"/>
      <c r="AI86" s="26"/>
      <c r="AJ86" s="26"/>
    </row>
    <row r="87" spans="1:36" x14ac:dyDescent="0.2">
      <c r="A87" s="2">
        <v>37622</v>
      </c>
      <c r="B87" s="39">
        <v>104493534.93325901</v>
      </c>
      <c r="E87" s="26">
        <f t="shared" si="2"/>
        <v>104493534.93325901</v>
      </c>
      <c r="F87" s="313">
        <v>707.7</v>
      </c>
      <c r="G87" s="313">
        <v>0</v>
      </c>
      <c r="H87" s="35">
        <v>125.66024937363977</v>
      </c>
      <c r="I87" s="9">
        <v>31</v>
      </c>
      <c r="J87" s="9">
        <v>0</v>
      </c>
      <c r="K87" s="9">
        <v>0</v>
      </c>
      <c r="L87" s="45">
        <v>127489.86443941687</v>
      </c>
      <c r="M87" s="316">
        <v>351.91199999999998</v>
      </c>
      <c r="N87" s="9"/>
      <c r="O87" s="9">
        <f t="shared" si="3"/>
        <v>104864772.42726891</v>
      </c>
      <c r="P87" s="9"/>
      <c r="Q87" s="13"/>
      <c r="AB87" s="10"/>
      <c r="AC87" s="10"/>
      <c r="AD87" s="10"/>
    </row>
    <row r="88" spans="1:36" x14ac:dyDescent="0.2">
      <c r="A88" s="2">
        <v>37653</v>
      </c>
      <c r="B88" s="39">
        <v>96011347.461254403</v>
      </c>
      <c r="E88" s="26">
        <f t="shared" si="2"/>
        <v>96011347.461254403</v>
      </c>
      <c r="F88" s="313">
        <v>625.69999999999993</v>
      </c>
      <c r="G88" s="313">
        <v>0</v>
      </c>
      <c r="H88" s="35">
        <v>125.80592062045517</v>
      </c>
      <c r="I88" s="9">
        <v>28</v>
      </c>
      <c r="J88" s="9">
        <v>0</v>
      </c>
      <c r="K88" s="9">
        <v>0</v>
      </c>
      <c r="L88" s="45">
        <v>127593.39064283352</v>
      </c>
      <c r="M88" s="316">
        <v>319.87200000000001</v>
      </c>
      <c r="N88" s="9"/>
      <c r="O88" s="9">
        <f t="shared" si="3"/>
        <v>94315757.366756946</v>
      </c>
      <c r="P88" s="9"/>
      <c r="Q88" s="13"/>
    </row>
    <row r="89" spans="1:36" x14ac:dyDescent="0.2">
      <c r="A89" s="2">
        <v>37681</v>
      </c>
      <c r="B89" s="39">
        <v>95684640.116261721</v>
      </c>
      <c r="E89" s="26">
        <f t="shared" si="2"/>
        <v>95684640.116261721</v>
      </c>
      <c r="F89" s="313">
        <v>547.70000000000005</v>
      </c>
      <c r="G89" s="313">
        <v>0</v>
      </c>
      <c r="H89" s="35">
        <v>125.9517607362029</v>
      </c>
      <c r="I89" s="9">
        <v>31</v>
      </c>
      <c r="J89" s="9">
        <v>0</v>
      </c>
      <c r="K89" s="9">
        <v>1</v>
      </c>
      <c r="L89" s="45">
        <v>127696.91684625015</v>
      </c>
      <c r="M89" s="316">
        <v>336.28800000000001</v>
      </c>
      <c r="N89" s="9"/>
      <c r="O89" s="9">
        <f t="shared" si="3"/>
        <v>96256791.686705559</v>
      </c>
      <c r="P89" s="9"/>
      <c r="Q89" s="13"/>
    </row>
    <row r="90" spans="1:36" x14ac:dyDescent="0.2">
      <c r="A90" s="2">
        <v>37712</v>
      </c>
      <c r="B90" s="39">
        <v>86343957.476882041</v>
      </c>
      <c r="E90" s="26">
        <f t="shared" si="2"/>
        <v>86343957.476882041</v>
      </c>
      <c r="F90" s="313">
        <v>398.3</v>
      </c>
      <c r="G90" s="313">
        <v>0</v>
      </c>
      <c r="H90" s="35">
        <v>126.09776991664374</v>
      </c>
      <c r="I90" s="9">
        <v>30</v>
      </c>
      <c r="J90" s="9">
        <v>0</v>
      </c>
      <c r="K90" s="9">
        <v>1</v>
      </c>
      <c r="L90" s="45">
        <v>127800.44304966682</v>
      </c>
      <c r="M90" s="316">
        <v>336.24</v>
      </c>
      <c r="N90" s="9"/>
      <c r="O90" s="9">
        <f t="shared" si="3"/>
        <v>89975378.868210882</v>
      </c>
      <c r="P90" s="9"/>
      <c r="Q90" s="13"/>
    </row>
    <row r="91" spans="1:36" x14ac:dyDescent="0.2">
      <c r="A91" s="2">
        <v>37742</v>
      </c>
      <c r="B91" s="39">
        <v>84100206.046006992</v>
      </c>
      <c r="E91" s="26">
        <f t="shared" si="2"/>
        <v>84100206.046006992</v>
      </c>
      <c r="F91" s="313">
        <v>235.4</v>
      </c>
      <c r="G91" s="313">
        <v>0</v>
      </c>
      <c r="H91" s="35">
        <v>126.2439483577654</v>
      </c>
      <c r="I91" s="9">
        <v>31</v>
      </c>
      <c r="J91" s="9">
        <v>0</v>
      </c>
      <c r="K91" s="9">
        <v>1</v>
      </c>
      <c r="L91" s="45">
        <v>127903.96925308346</v>
      </c>
      <c r="M91" s="316">
        <v>336.28800000000001</v>
      </c>
      <c r="N91" s="9"/>
      <c r="O91" s="9">
        <f t="shared" si="3"/>
        <v>89236537.293396592</v>
      </c>
      <c r="P91" s="9"/>
      <c r="Q91" s="13"/>
    </row>
    <row r="92" spans="1:36" x14ac:dyDescent="0.2">
      <c r="A92" s="2">
        <v>37773</v>
      </c>
      <c r="B92" s="39">
        <v>90485412.539940089</v>
      </c>
      <c r="E92" s="26">
        <f t="shared" si="2"/>
        <v>90485412.539940089</v>
      </c>
      <c r="F92" s="313">
        <v>74.099999999999994</v>
      </c>
      <c r="G92" s="313">
        <v>44.6</v>
      </c>
      <c r="H92" s="35">
        <v>126.3902962557828</v>
      </c>
      <c r="I92" s="9">
        <v>30</v>
      </c>
      <c r="J92" s="9">
        <v>0</v>
      </c>
      <c r="K92" s="9">
        <v>0</v>
      </c>
      <c r="L92" s="45">
        <v>128007.49545650012</v>
      </c>
      <c r="M92" s="316">
        <v>336.24</v>
      </c>
      <c r="N92" s="9"/>
      <c r="O92" s="9">
        <f t="shared" si="3"/>
        <v>96441718.858627662</v>
      </c>
      <c r="P92" s="9"/>
      <c r="Q92" s="13"/>
    </row>
    <row r="93" spans="1:36" x14ac:dyDescent="0.2">
      <c r="A93" s="2">
        <v>37803</v>
      </c>
      <c r="B93" s="39">
        <v>107838219.04581785</v>
      </c>
      <c r="E93" s="26">
        <f t="shared" si="2"/>
        <v>107838219.04581785</v>
      </c>
      <c r="F93" s="313">
        <v>3.4</v>
      </c>
      <c r="G93" s="313">
        <v>105</v>
      </c>
      <c r="H93" s="35">
        <v>126.5368138071383</v>
      </c>
      <c r="I93" s="9">
        <v>31</v>
      </c>
      <c r="J93" s="9">
        <v>0</v>
      </c>
      <c r="K93" s="9">
        <v>0</v>
      </c>
      <c r="L93" s="45">
        <v>128111.02165991676</v>
      </c>
      <c r="M93" s="316">
        <v>351.91199999999998</v>
      </c>
      <c r="N93" s="9"/>
      <c r="O93" s="9">
        <f t="shared" si="3"/>
        <v>109500535.04528858</v>
      </c>
      <c r="P93" s="9"/>
      <c r="Q93" s="13"/>
    </row>
    <row r="94" spans="1:36" x14ac:dyDescent="0.2">
      <c r="A94" s="2">
        <v>37834</v>
      </c>
      <c r="B94" s="39">
        <v>111720633.46704757</v>
      </c>
      <c r="E94" s="26">
        <f t="shared" si="2"/>
        <v>111720633.46704757</v>
      </c>
      <c r="F94" s="313">
        <v>0</v>
      </c>
      <c r="G94" s="313">
        <v>143.5</v>
      </c>
      <c r="H94" s="35">
        <v>126.68350120850199</v>
      </c>
      <c r="I94" s="9">
        <v>31</v>
      </c>
      <c r="J94" s="9">
        <v>0</v>
      </c>
      <c r="K94" s="9">
        <v>0</v>
      </c>
      <c r="L94" s="45">
        <v>128214.54786333343</v>
      </c>
      <c r="M94" s="316">
        <v>319.92</v>
      </c>
      <c r="N94" s="9"/>
      <c r="O94" s="9">
        <f t="shared" si="3"/>
        <v>117008526.3266954</v>
      </c>
      <c r="P94" s="9"/>
      <c r="Q94" s="13"/>
    </row>
    <row r="95" spans="1:36" x14ac:dyDescent="0.2">
      <c r="A95" s="2">
        <v>37865</v>
      </c>
      <c r="B95" s="39">
        <v>90994823.965041861</v>
      </c>
      <c r="E95" s="26">
        <f t="shared" si="2"/>
        <v>90994823.965041861</v>
      </c>
      <c r="F95" s="313">
        <v>26.8</v>
      </c>
      <c r="G95" s="313">
        <v>27.4</v>
      </c>
      <c r="H95" s="35">
        <v>126.83035865677196</v>
      </c>
      <c r="I95" s="9">
        <v>30</v>
      </c>
      <c r="J95" s="9">
        <v>0</v>
      </c>
      <c r="K95" s="9">
        <v>1</v>
      </c>
      <c r="L95" s="45">
        <v>128318.07406675006</v>
      </c>
      <c r="M95" s="316">
        <v>336.24</v>
      </c>
      <c r="N95" s="9"/>
      <c r="O95" s="9">
        <f t="shared" si="3"/>
        <v>87376122.85288021</v>
      </c>
      <c r="P95" s="9"/>
      <c r="Q95" s="13"/>
    </row>
    <row r="96" spans="1:36" x14ac:dyDescent="0.2">
      <c r="A96" s="2">
        <v>37895</v>
      </c>
      <c r="B96" s="39">
        <v>90574201.447299004</v>
      </c>
      <c r="E96" s="26">
        <f t="shared" si="2"/>
        <v>90574201.447299004</v>
      </c>
      <c r="F96" s="313">
        <v>245.3</v>
      </c>
      <c r="G96" s="313">
        <v>0</v>
      </c>
      <c r="H96" s="35">
        <v>126.97738634907456</v>
      </c>
      <c r="I96" s="9">
        <v>31</v>
      </c>
      <c r="J96" s="9">
        <v>0</v>
      </c>
      <c r="K96" s="9">
        <v>1</v>
      </c>
      <c r="L96" s="45">
        <v>128421.60027016673</v>
      </c>
      <c r="M96" s="316">
        <v>351.91199999999998</v>
      </c>
      <c r="N96" s="9"/>
      <c r="O96" s="9">
        <f t="shared" si="3"/>
        <v>90389954.771938622</v>
      </c>
      <c r="P96" s="9"/>
      <c r="Q96" s="13"/>
    </row>
    <row r="97" spans="1:30" x14ac:dyDescent="0.2">
      <c r="A97" s="2">
        <v>37926</v>
      </c>
      <c r="B97" s="39">
        <v>91660392.38326548</v>
      </c>
      <c r="E97" s="26">
        <f t="shared" si="2"/>
        <v>91660392.38326548</v>
      </c>
      <c r="F97" s="313">
        <v>348</v>
      </c>
      <c r="G97" s="313">
        <v>0</v>
      </c>
      <c r="H97" s="35">
        <v>127.12458448276465</v>
      </c>
      <c r="I97" s="9">
        <v>30</v>
      </c>
      <c r="J97" s="9">
        <v>0</v>
      </c>
      <c r="K97" s="9">
        <v>1</v>
      </c>
      <c r="L97" s="45">
        <v>128525.12647358337</v>
      </c>
      <c r="M97" s="316">
        <v>319.68</v>
      </c>
      <c r="N97" s="9"/>
      <c r="O97" s="9">
        <f t="shared" si="3"/>
        <v>90072436.742713898</v>
      </c>
      <c r="P97" s="9"/>
      <c r="Q97" s="13"/>
    </row>
    <row r="98" spans="1:30" x14ac:dyDescent="0.2">
      <c r="A98" s="2">
        <v>37956</v>
      </c>
      <c r="B98" s="39">
        <v>102135791.28634423</v>
      </c>
      <c r="E98" s="26">
        <f t="shared" si="2"/>
        <v>102135791.28634423</v>
      </c>
      <c r="F98" s="313">
        <v>510.1</v>
      </c>
      <c r="G98" s="313">
        <v>0</v>
      </c>
      <c r="H98" s="35">
        <v>127.27195325542573</v>
      </c>
      <c r="I98" s="9">
        <v>31</v>
      </c>
      <c r="J98" s="9">
        <v>0</v>
      </c>
      <c r="K98" s="9">
        <v>0</v>
      </c>
      <c r="L98" s="45">
        <v>128628.65267700003</v>
      </c>
      <c r="M98" s="316">
        <v>336.28800000000001</v>
      </c>
      <c r="N98" s="9"/>
      <c r="O98" s="9">
        <f t="shared" si="3"/>
        <v>102212183.57779793</v>
      </c>
      <c r="P98" s="9"/>
      <c r="Q98" s="13"/>
    </row>
    <row r="99" spans="1:30" x14ac:dyDescent="0.2">
      <c r="A99" s="2">
        <v>37987</v>
      </c>
      <c r="B99" s="39">
        <v>110906403.35247804</v>
      </c>
      <c r="E99" s="26">
        <f t="shared" si="2"/>
        <v>110906403.35247804</v>
      </c>
      <c r="F99" s="313">
        <v>750.2</v>
      </c>
      <c r="G99" s="313">
        <v>0</v>
      </c>
      <c r="H99" s="35">
        <v>127.53411264087498</v>
      </c>
      <c r="I99" s="9">
        <v>31</v>
      </c>
      <c r="J99" s="9">
        <v>0</v>
      </c>
      <c r="K99" s="9">
        <v>0</v>
      </c>
      <c r="L99" s="45">
        <v>128732.17888041667</v>
      </c>
      <c r="M99" s="316">
        <v>336.28800000000001</v>
      </c>
      <c r="N99" s="9"/>
      <c r="O99" s="9">
        <f t="shared" si="3"/>
        <v>108112769.52642031</v>
      </c>
      <c r="P99" s="9"/>
      <c r="Q99" s="13"/>
      <c r="AB99" s="10"/>
      <c r="AC99" s="10"/>
      <c r="AD99" s="10"/>
    </row>
    <row r="100" spans="1:30" x14ac:dyDescent="0.2">
      <c r="A100" s="2">
        <v>38018</v>
      </c>
      <c r="B100" s="39">
        <v>98773309.576660067</v>
      </c>
      <c r="E100" s="26">
        <f t="shared" si="2"/>
        <v>98773309.576660067</v>
      </c>
      <c r="F100" s="313">
        <v>578.9</v>
      </c>
      <c r="G100" s="313">
        <v>0</v>
      </c>
      <c r="H100" s="35">
        <v>127.79681203173486</v>
      </c>
      <c r="I100" s="9">
        <v>29</v>
      </c>
      <c r="J100" s="9">
        <v>0</v>
      </c>
      <c r="K100" s="9">
        <v>0</v>
      </c>
      <c r="L100" s="45">
        <v>128835.70508383334</v>
      </c>
      <c r="M100" s="316">
        <v>320.16000000000003</v>
      </c>
      <c r="N100" s="9"/>
      <c r="O100" s="9">
        <f t="shared" si="3"/>
        <v>98419855.286065191</v>
      </c>
      <c r="P100" s="9"/>
      <c r="Q100" s="13"/>
    </row>
    <row r="101" spans="1:30" x14ac:dyDescent="0.2">
      <c r="A101" s="2">
        <v>38047</v>
      </c>
      <c r="B101" s="39">
        <v>100169246.38921793</v>
      </c>
      <c r="E101" s="26">
        <f t="shared" si="2"/>
        <v>100169246.38921793</v>
      </c>
      <c r="F101" s="313">
        <v>479.8</v>
      </c>
      <c r="G101" s="313">
        <v>0</v>
      </c>
      <c r="H101" s="35">
        <v>128.06005254032812</v>
      </c>
      <c r="I101" s="9">
        <v>31</v>
      </c>
      <c r="J101" s="9">
        <v>0</v>
      </c>
      <c r="K101" s="9">
        <v>1</v>
      </c>
      <c r="L101" s="45">
        <v>128939.23128724998</v>
      </c>
      <c r="M101" s="316">
        <v>368.28</v>
      </c>
      <c r="N101" s="9"/>
      <c r="O101" s="9">
        <f t="shared" si="3"/>
        <v>96968540.582988113</v>
      </c>
      <c r="P101" s="9"/>
      <c r="Q101" s="13"/>
    </row>
    <row r="102" spans="1:30" x14ac:dyDescent="0.2">
      <c r="A102" s="2">
        <v>38078</v>
      </c>
      <c r="B102" s="39">
        <v>89485332.908633038</v>
      </c>
      <c r="E102" s="26">
        <f t="shared" si="2"/>
        <v>89485332.908633038</v>
      </c>
      <c r="F102" s="313">
        <v>332.5</v>
      </c>
      <c r="G102" s="313">
        <v>0.5</v>
      </c>
      <c r="H102" s="35">
        <v>128.32383528126866</v>
      </c>
      <c r="I102" s="9">
        <v>30</v>
      </c>
      <c r="J102" s="9">
        <v>0</v>
      </c>
      <c r="K102" s="9">
        <v>1</v>
      </c>
      <c r="L102" s="45">
        <v>129042.75749066664</v>
      </c>
      <c r="M102" s="316">
        <v>336.24</v>
      </c>
      <c r="N102" s="9"/>
      <c r="O102" s="9">
        <f t="shared" si="3"/>
        <v>90870797.970450997</v>
      </c>
      <c r="P102" s="9"/>
      <c r="Q102" s="13"/>
    </row>
    <row r="103" spans="1:30" x14ac:dyDescent="0.2">
      <c r="A103" s="2">
        <v>38108</v>
      </c>
      <c r="B103" s="39">
        <v>90686143.157182246</v>
      </c>
      <c r="E103" s="26">
        <f t="shared" si="2"/>
        <v>90686143.157182246</v>
      </c>
      <c r="F103" s="313">
        <v>169.7</v>
      </c>
      <c r="G103" s="313">
        <v>1.2</v>
      </c>
      <c r="H103" s="35">
        <v>128.58816137146633</v>
      </c>
      <c r="I103" s="9">
        <v>31</v>
      </c>
      <c r="J103" s="9">
        <v>0</v>
      </c>
      <c r="K103" s="9">
        <v>1</v>
      </c>
      <c r="L103" s="45">
        <v>129146.28369408328</v>
      </c>
      <c r="M103" s="316">
        <v>319.92</v>
      </c>
      <c r="N103" s="9"/>
      <c r="O103" s="9">
        <f t="shared" si="3"/>
        <v>90306901.388879061</v>
      </c>
      <c r="P103" s="9"/>
      <c r="Q103" s="13"/>
    </row>
    <row r="104" spans="1:30" x14ac:dyDescent="0.2">
      <c r="A104" s="2">
        <v>38139</v>
      </c>
      <c r="B104" s="39">
        <v>96517444.233200282</v>
      </c>
      <c r="E104" s="26">
        <f t="shared" si="2"/>
        <v>96517444.233200282</v>
      </c>
      <c r="F104" s="313">
        <v>45.6</v>
      </c>
      <c r="G104" s="313">
        <v>26.3</v>
      </c>
      <c r="H104" s="35">
        <v>128.85303193013166</v>
      </c>
      <c r="I104" s="9">
        <v>30</v>
      </c>
      <c r="J104" s="9">
        <v>0</v>
      </c>
      <c r="K104" s="9">
        <v>0</v>
      </c>
      <c r="L104" s="45">
        <v>129249.80989749994</v>
      </c>
      <c r="M104" s="316">
        <v>352.08</v>
      </c>
      <c r="N104" s="9"/>
      <c r="O104" s="9">
        <f t="shared" si="3"/>
        <v>94679764.70106335</v>
      </c>
      <c r="P104" s="9"/>
      <c r="Q104" s="13"/>
    </row>
    <row r="105" spans="1:30" x14ac:dyDescent="0.2">
      <c r="A105" s="2">
        <v>38169</v>
      </c>
      <c r="B105" s="39">
        <v>110297641.91792004</v>
      </c>
      <c r="E105" s="26">
        <f t="shared" si="2"/>
        <v>110297641.91792004</v>
      </c>
      <c r="F105" s="313">
        <v>1.9</v>
      </c>
      <c r="G105" s="313">
        <v>79.3</v>
      </c>
      <c r="H105" s="35">
        <v>129.11844807878055</v>
      </c>
      <c r="I105" s="9">
        <v>31</v>
      </c>
      <c r="J105" s="9">
        <v>0</v>
      </c>
      <c r="K105" s="9">
        <v>0</v>
      </c>
      <c r="L105" s="45">
        <v>129353.33610091658</v>
      </c>
      <c r="M105" s="316">
        <v>336.28800000000001</v>
      </c>
      <c r="N105" s="9"/>
      <c r="O105" s="9">
        <f t="shared" si="3"/>
        <v>106992250.56311192</v>
      </c>
      <c r="P105" s="9"/>
      <c r="Q105" s="13"/>
    </row>
    <row r="106" spans="1:30" x14ac:dyDescent="0.2">
      <c r="A106" s="2">
        <v>38200</v>
      </c>
      <c r="B106" s="39">
        <v>109063695.09172532</v>
      </c>
      <c r="E106" s="26">
        <f t="shared" si="2"/>
        <v>109063695.09172532</v>
      </c>
      <c r="F106" s="313">
        <v>1.8</v>
      </c>
      <c r="G106" s="313">
        <v>85</v>
      </c>
      <c r="H106" s="35">
        <v>129.38441094123903</v>
      </c>
      <c r="I106" s="9">
        <v>31</v>
      </c>
      <c r="J106" s="9">
        <v>0</v>
      </c>
      <c r="K106" s="9">
        <v>0</v>
      </c>
      <c r="L106" s="45">
        <v>129456.86230433325</v>
      </c>
      <c r="M106" s="316">
        <v>336.28800000000001</v>
      </c>
      <c r="N106" s="9"/>
      <c r="O106" s="9">
        <f t="shared" si="3"/>
        <v>108308305.54067652</v>
      </c>
      <c r="P106" s="9"/>
      <c r="Q106" s="13"/>
    </row>
    <row r="107" spans="1:30" x14ac:dyDescent="0.2">
      <c r="A107" s="2">
        <v>38231</v>
      </c>
      <c r="B107" s="39">
        <v>103094592.03886008</v>
      </c>
      <c r="E107" s="26">
        <f t="shared" si="2"/>
        <v>103094592.03886008</v>
      </c>
      <c r="F107" s="313">
        <v>14.6</v>
      </c>
      <c r="G107" s="313">
        <v>65.3</v>
      </c>
      <c r="H107" s="35">
        <v>129.65092164364802</v>
      </c>
      <c r="I107" s="9">
        <v>30</v>
      </c>
      <c r="J107" s="9">
        <v>0</v>
      </c>
      <c r="K107" s="9">
        <v>1</v>
      </c>
      <c r="L107" s="45">
        <v>129560.38850774989</v>
      </c>
      <c r="M107" s="316">
        <v>336.24</v>
      </c>
      <c r="N107" s="9"/>
      <c r="O107" s="9">
        <f t="shared" si="3"/>
        <v>96923444.707692236</v>
      </c>
      <c r="P107" s="9"/>
      <c r="Q107" s="13"/>
    </row>
    <row r="108" spans="1:30" x14ac:dyDescent="0.2">
      <c r="A108" s="2">
        <v>38261</v>
      </c>
      <c r="B108" s="39">
        <v>93329245.592904851</v>
      </c>
      <c r="E108" s="26">
        <f t="shared" si="2"/>
        <v>93329245.592904851</v>
      </c>
      <c r="F108" s="313">
        <v>196.4</v>
      </c>
      <c r="G108" s="313">
        <v>2.6</v>
      </c>
      <c r="H108" s="35">
        <v>129.91798131446814</v>
      </c>
      <c r="I108" s="9">
        <v>31</v>
      </c>
      <c r="J108" s="9">
        <v>0</v>
      </c>
      <c r="K108" s="9">
        <v>1</v>
      </c>
      <c r="L108" s="45">
        <v>129663.91471116655</v>
      </c>
      <c r="M108" s="316">
        <v>319.92</v>
      </c>
      <c r="N108" s="9"/>
      <c r="O108" s="9">
        <f t="shared" si="3"/>
        <v>92318552.995349854</v>
      </c>
      <c r="P108" s="9"/>
      <c r="Q108" s="13"/>
    </row>
    <row r="109" spans="1:30" x14ac:dyDescent="0.2">
      <c r="A109" s="2">
        <v>38292</v>
      </c>
      <c r="B109" s="39">
        <v>94434398.733862221</v>
      </c>
      <c r="E109" s="26">
        <f t="shared" si="2"/>
        <v>94434398.733862221</v>
      </c>
      <c r="F109" s="313">
        <v>341</v>
      </c>
      <c r="G109" s="313">
        <v>0</v>
      </c>
      <c r="H109" s="35">
        <v>130.18559108448443</v>
      </c>
      <c r="I109" s="9">
        <v>30</v>
      </c>
      <c r="J109" s="9">
        <v>0</v>
      </c>
      <c r="K109" s="9">
        <v>1</v>
      </c>
      <c r="L109" s="45">
        <v>129767.44091458319</v>
      </c>
      <c r="M109" s="316">
        <v>352.08</v>
      </c>
      <c r="N109" s="9"/>
      <c r="O109" s="9">
        <f t="shared" si="3"/>
        <v>92530822.936774135</v>
      </c>
      <c r="P109" s="9"/>
      <c r="Q109" s="13"/>
    </row>
    <row r="110" spans="1:30" x14ac:dyDescent="0.2">
      <c r="A110" s="2">
        <v>38322</v>
      </c>
      <c r="B110" s="39">
        <v>108483620.83553149</v>
      </c>
      <c r="E110" s="26">
        <f t="shared" si="2"/>
        <v>108483620.83553149</v>
      </c>
      <c r="F110" s="313">
        <v>566.70000000000005</v>
      </c>
      <c r="G110" s="313">
        <v>0</v>
      </c>
      <c r="H110" s="35">
        <v>130.45375208681136</v>
      </c>
      <c r="I110" s="9">
        <v>31</v>
      </c>
      <c r="J110" s="9">
        <v>0</v>
      </c>
      <c r="K110" s="9">
        <v>0</v>
      </c>
      <c r="L110" s="45">
        <v>129870.96711799984</v>
      </c>
      <c r="M110" s="316">
        <v>336.28800000000001</v>
      </c>
      <c r="N110" s="9"/>
      <c r="O110" s="9">
        <f t="shared" si="3"/>
        <v>106213850.14344715</v>
      </c>
      <c r="P110" s="9"/>
      <c r="Q110" s="13"/>
    </row>
    <row r="111" spans="1:30" x14ac:dyDescent="0.2">
      <c r="A111" s="2">
        <v>38353</v>
      </c>
      <c r="B111" s="39">
        <v>111357551.02040815</v>
      </c>
      <c r="E111" s="26">
        <f t="shared" si="2"/>
        <v>111357551.02040815</v>
      </c>
      <c r="F111" s="313">
        <v>693.3</v>
      </c>
      <c r="G111" s="313">
        <v>0</v>
      </c>
      <c r="H111" s="35">
        <v>130.74370215685079</v>
      </c>
      <c r="I111" s="9">
        <v>31</v>
      </c>
      <c r="J111" s="9">
        <v>0</v>
      </c>
      <c r="K111" s="9">
        <v>0</v>
      </c>
      <c r="L111" s="45">
        <v>129974.49332141649</v>
      </c>
      <c r="M111" s="316">
        <v>319.92</v>
      </c>
      <c r="N111" s="75">
        <v>64075.591666666667</v>
      </c>
      <c r="O111" s="9">
        <f t="shared" si="3"/>
        <v>109438481.04897909</v>
      </c>
      <c r="P111" s="9"/>
      <c r="Q111" s="13"/>
      <c r="AB111" s="10"/>
      <c r="AC111" s="10"/>
      <c r="AD111" s="10"/>
    </row>
    <row r="112" spans="1:30" x14ac:dyDescent="0.2">
      <c r="A112" s="2">
        <v>38384</v>
      </c>
      <c r="B112" s="39">
        <v>97354644.101543054</v>
      </c>
      <c r="E112" s="26">
        <f t="shared" si="2"/>
        <v>97354644.101543054</v>
      </c>
      <c r="F112" s="313">
        <v>582</v>
      </c>
      <c r="G112" s="313">
        <v>0</v>
      </c>
      <c r="H112" s="35">
        <v>131.0342966778299</v>
      </c>
      <c r="I112" s="9">
        <v>28</v>
      </c>
      <c r="J112" s="9">
        <v>0</v>
      </c>
      <c r="K112" s="9">
        <v>0</v>
      </c>
      <c r="L112" s="45">
        <v>130078.01952483314</v>
      </c>
      <c r="M112" s="316">
        <v>319.87200000000001</v>
      </c>
      <c r="N112" s="75">
        <v>64075.591666666667</v>
      </c>
      <c r="O112" s="9">
        <f t="shared" si="3"/>
        <v>98242915.924179614</v>
      </c>
      <c r="P112" s="9"/>
      <c r="Q112" s="13"/>
    </row>
    <row r="113" spans="1:30" x14ac:dyDescent="0.2">
      <c r="A113" s="2">
        <v>38412</v>
      </c>
      <c r="B113" s="39">
        <v>103696306.62020905</v>
      </c>
      <c r="E113" s="26">
        <f t="shared" si="2"/>
        <v>103696306.62020905</v>
      </c>
      <c r="F113" s="313">
        <v>576.1</v>
      </c>
      <c r="G113" s="313">
        <v>0</v>
      </c>
      <c r="H113" s="35">
        <v>131.32553708212293</v>
      </c>
      <c r="I113" s="9">
        <v>31</v>
      </c>
      <c r="J113" s="9">
        <v>0</v>
      </c>
      <c r="K113" s="9">
        <v>1</v>
      </c>
      <c r="L113" s="45">
        <v>130181.5457282498</v>
      </c>
      <c r="M113" s="316">
        <v>351.91199999999998</v>
      </c>
      <c r="N113" s="75">
        <v>64075.591666666667</v>
      </c>
      <c r="O113" s="9">
        <f t="shared" si="3"/>
        <v>101936205.5499756</v>
      </c>
      <c r="P113" s="9"/>
      <c r="Q113" s="13"/>
    </row>
    <row r="114" spans="1:30" x14ac:dyDescent="0.2">
      <c r="A114" s="2">
        <v>38443</v>
      </c>
      <c r="B114" s="39">
        <v>91002648.083623707</v>
      </c>
      <c r="E114" s="26">
        <f t="shared" si="2"/>
        <v>91002648.083623707</v>
      </c>
      <c r="F114" s="313">
        <v>345.1</v>
      </c>
      <c r="G114" s="313">
        <v>0</v>
      </c>
      <c r="H114" s="35">
        <v>131.61742480528775</v>
      </c>
      <c r="I114" s="9">
        <v>30</v>
      </c>
      <c r="J114" s="9">
        <v>0</v>
      </c>
      <c r="K114" s="9">
        <v>1</v>
      </c>
      <c r="L114" s="45">
        <v>130285.07193166645</v>
      </c>
      <c r="M114" s="316">
        <v>336.24</v>
      </c>
      <c r="N114" s="75">
        <v>64075.591666666667</v>
      </c>
      <c r="O114" s="9">
        <f t="shared" si="3"/>
        <v>93771374.886744231</v>
      </c>
      <c r="P114" s="9"/>
      <c r="Q114" s="13"/>
    </row>
    <row r="115" spans="1:30" x14ac:dyDescent="0.2">
      <c r="A115" s="2">
        <v>38473</v>
      </c>
      <c r="B115" s="39">
        <v>90914554.504728734</v>
      </c>
      <c r="E115" s="26">
        <f t="shared" si="2"/>
        <v>90914554.504728734</v>
      </c>
      <c r="F115" s="313">
        <v>215.3</v>
      </c>
      <c r="G115" s="313">
        <v>0</v>
      </c>
      <c r="H115" s="35">
        <v>131.90996128607298</v>
      </c>
      <c r="I115" s="9">
        <v>31</v>
      </c>
      <c r="J115" s="9">
        <v>0</v>
      </c>
      <c r="K115" s="9">
        <v>1</v>
      </c>
      <c r="L115" s="45">
        <v>130388.5981350831</v>
      </c>
      <c r="M115" s="316">
        <v>336.28800000000001</v>
      </c>
      <c r="N115" s="75">
        <v>64075.591666666667</v>
      </c>
      <c r="O115" s="9">
        <f t="shared" si="3"/>
        <v>93862537.74461183</v>
      </c>
      <c r="P115" s="9"/>
      <c r="Q115" s="13"/>
    </row>
    <row r="116" spans="1:30" x14ac:dyDescent="0.2">
      <c r="A116" s="2">
        <v>38504</v>
      </c>
      <c r="B116" s="39">
        <v>117110313.58885016</v>
      </c>
      <c r="E116" s="26">
        <f t="shared" si="2"/>
        <v>117110313.58885016</v>
      </c>
      <c r="F116" s="313">
        <v>10.4</v>
      </c>
      <c r="G116" s="313">
        <v>107.8</v>
      </c>
      <c r="H116" s="35">
        <v>132.20314796642501</v>
      </c>
      <c r="I116" s="9">
        <v>30</v>
      </c>
      <c r="J116" s="9">
        <v>0</v>
      </c>
      <c r="K116" s="9">
        <v>0</v>
      </c>
      <c r="L116" s="45">
        <v>130492.12433849975</v>
      </c>
      <c r="M116" s="316">
        <v>352.08</v>
      </c>
      <c r="N116" s="75">
        <v>64075.591666666667</v>
      </c>
      <c r="O116" s="9">
        <f t="shared" si="3"/>
        <v>112238553.40155365</v>
      </c>
      <c r="P116" s="9"/>
      <c r="Q116" s="13"/>
    </row>
    <row r="117" spans="1:30" x14ac:dyDescent="0.2">
      <c r="A117" s="2">
        <v>38534</v>
      </c>
      <c r="B117" s="39">
        <v>130492623.1956197</v>
      </c>
      <c r="E117" s="26">
        <f t="shared" si="2"/>
        <v>130492623.1956197</v>
      </c>
      <c r="F117" s="313">
        <v>0</v>
      </c>
      <c r="G117" s="313">
        <v>183.5</v>
      </c>
      <c r="H117" s="35">
        <v>132.49698629149512</v>
      </c>
      <c r="I117" s="9">
        <v>31</v>
      </c>
      <c r="J117" s="9">
        <v>0</v>
      </c>
      <c r="K117" s="9">
        <v>0</v>
      </c>
      <c r="L117" s="45">
        <v>130595.6505419164</v>
      </c>
      <c r="M117" s="316">
        <v>319.92</v>
      </c>
      <c r="N117" s="75">
        <v>64075.591666666667</v>
      </c>
      <c r="O117" s="9">
        <f t="shared" si="3"/>
        <v>129713705.48031889</v>
      </c>
      <c r="P117" s="9"/>
      <c r="Q117" s="13"/>
    </row>
    <row r="118" spans="1:30" x14ac:dyDescent="0.2">
      <c r="A118" s="2">
        <v>38565</v>
      </c>
      <c r="B118" s="39">
        <v>125304430.0647088</v>
      </c>
      <c r="E118" s="26">
        <f t="shared" si="2"/>
        <v>125304430.0647088</v>
      </c>
      <c r="F118" s="313">
        <v>0</v>
      </c>
      <c r="G118" s="313">
        <v>165.7</v>
      </c>
      <c r="H118" s="35">
        <v>132.79147770964664</v>
      </c>
      <c r="I118" s="9">
        <v>31</v>
      </c>
      <c r="J118" s="9">
        <v>0</v>
      </c>
      <c r="K118" s="9">
        <v>0</v>
      </c>
      <c r="L118" s="45">
        <v>130699.17674533305</v>
      </c>
      <c r="M118" s="316">
        <v>351.91199999999998</v>
      </c>
      <c r="N118" s="75">
        <v>64075.591666666667</v>
      </c>
      <c r="O118" s="9">
        <f t="shared" si="3"/>
        <v>126521615.00155728</v>
      </c>
      <c r="P118" s="9"/>
      <c r="Q118" s="13"/>
    </row>
    <row r="119" spans="1:30" x14ac:dyDescent="0.2">
      <c r="A119" s="2">
        <v>38596</v>
      </c>
      <c r="B119" s="39">
        <v>103515709.3081135</v>
      </c>
      <c r="E119" s="26">
        <f t="shared" si="2"/>
        <v>103515709.3081135</v>
      </c>
      <c r="F119" s="313">
        <v>7.3</v>
      </c>
      <c r="G119" s="313">
        <v>76.599999999999994</v>
      </c>
      <c r="H119" s="35">
        <v>133.08662367246211</v>
      </c>
      <c r="I119" s="9">
        <v>30</v>
      </c>
      <c r="J119" s="9">
        <v>0</v>
      </c>
      <c r="K119" s="9">
        <v>1</v>
      </c>
      <c r="L119" s="45">
        <v>130802.70294874971</v>
      </c>
      <c r="M119" s="316">
        <v>336.24</v>
      </c>
      <c r="N119" s="75">
        <v>64075.591666666667</v>
      </c>
      <c r="O119" s="9">
        <f t="shared" si="3"/>
        <v>101668382.68625212</v>
      </c>
      <c r="P119" s="9"/>
      <c r="Q119" s="13"/>
    </row>
    <row r="120" spans="1:30" x14ac:dyDescent="0.2">
      <c r="A120" s="2">
        <v>38626</v>
      </c>
      <c r="B120" s="39">
        <v>95683703.334992543</v>
      </c>
      <c r="E120" s="26">
        <f t="shared" si="2"/>
        <v>95683703.334992543</v>
      </c>
      <c r="F120" s="313">
        <v>216.6</v>
      </c>
      <c r="G120" s="313">
        <v>13.4</v>
      </c>
      <c r="H120" s="35">
        <v>133.38242563475035</v>
      </c>
      <c r="I120" s="9">
        <v>31</v>
      </c>
      <c r="J120" s="9">
        <v>0</v>
      </c>
      <c r="K120" s="9">
        <v>1</v>
      </c>
      <c r="L120" s="45">
        <v>130906.22915216636</v>
      </c>
      <c r="M120" s="316">
        <v>319.92</v>
      </c>
      <c r="N120" s="75">
        <v>64075.591666666667</v>
      </c>
      <c r="O120" s="9">
        <f t="shared" si="3"/>
        <v>97627082.179262757</v>
      </c>
      <c r="P120" s="9"/>
      <c r="Q120" s="13"/>
    </row>
    <row r="121" spans="1:30" x14ac:dyDescent="0.2">
      <c r="A121" s="2">
        <v>38657</v>
      </c>
      <c r="B121" s="39">
        <v>95832424.091587856</v>
      </c>
      <c r="E121" s="26">
        <f t="shared" si="2"/>
        <v>95832424.091587856</v>
      </c>
      <c r="F121" s="313">
        <v>369.3</v>
      </c>
      <c r="G121" s="313">
        <v>0</v>
      </c>
      <c r="H121" s="35">
        <v>133.67888505455369</v>
      </c>
      <c r="I121" s="9">
        <v>30</v>
      </c>
      <c r="J121" s="9">
        <v>0</v>
      </c>
      <c r="K121" s="9">
        <v>1</v>
      </c>
      <c r="L121" s="45">
        <v>131009.75535558301</v>
      </c>
      <c r="M121" s="316">
        <v>352.08</v>
      </c>
      <c r="N121" s="75">
        <v>64075.591666666667</v>
      </c>
      <c r="O121" s="9">
        <f t="shared" si="3"/>
        <v>95963100.237155557</v>
      </c>
      <c r="P121" s="9"/>
      <c r="Q121" s="13"/>
    </row>
    <row r="122" spans="1:30" x14ac:dyDescent="0.2">
      <c r="A122" s="2">
        <v>38687</v>
      </c>
      <c r="B122" s="39">
        <v>109926431.06022897</v>
      </c>
      <c r="E122" s="26">
        <f t="shared" si="2"/>
        <v>109926431.06022897</v>
      </c>
      <c r="F122" s="313">
        <v>640.79999999999995</v>
      </c>
      <c r="G122" s="313">
        <v>0</v>
      </c>
      <c r="H122" s="35">
        <v>133.97600339315525</v>
      </c>
      <c r="I122" s="9">
        <v>31</v>
      </c>
      <c r="J122" s="9">
        <v>0</v>
      </c>
      <c r="K122" s="9">
        <v>0</v>
      </c>
      <c r="L122" s="45">
        <v>131113.28155899968</v>
      </c>
      <c r="M122" s="316">
        <v>319.92</v>
      </c>
      <c r="N122" s="75">
        <v>64075.591666666667</v>
      </c>
      <c r="O122" s="9">
        <f t="shared" si="3"/>
        <v>110738843.8614483</v>
      </c>
      <c r="P122" s="9"/>
      <c r="Q122" s="13"/>
    </row>
    <row r="123" spans="1:30" x14ac:dyDescent="0.2">
      <c r="A123" s="2">
        <v>38718</v>
      </c>
      <c r="B123" s="39">
        <v>105189785.96316576</v>
      </c>
      <c r="E123" s="26">
        <f t="shared" si="2"/>
        <v>105189785.96316576</v>
      </c>
      <c r="F123" s="313">
        <v>520.4</v>
      </c>
      <c r="G123" s="313">
        <v>0</v>
      </c>
      <c r="H123" s="35">
        <v>134.25197202423305</v>
      </c>
      <c r="I123" s="9">
        <v>31</v>
      </c>
      <c r="J123" s="17">
        <f>'CDM Activity'!B68</f>
        <v>13497.664068655991</v>
      </c>
      <c r="K123" s="9">
        <v>0</v>
      </c>
      <c r="L123" s="45">
        <v>131216.80776241631</v>
      </c>
      <c r="M123" s="316">
        <v>336.28800000000001</v>
      </c>
      <c r="N123" s="75">
        <v>348241.18505042075</v>
      </c>
      <c r="O123" s="9">
        <f t="shared" si="3"/>
        <v>108044433.94307223</v>
      </c>
      <c r="P123" s="9"/>
      <c r="Q123" s="13"/>
      <c r="AB123" s="10"/>
      <c r="AC123" s="10"/>
      <c r="AD123" s="10"/>
    </row>
    <row r="124" spans="1:30" x14ac:dyDescent="0.2">
      <c r="A124" s="2">
        <v>38749</v>
      </c>
      <c r="B124" s="39">
        <v>97673987.05823794</v>
      </c>
      <c r="E124" s="26">
        <f t="shared" si="2"/>
        <v>97673987.05823794</v>
      </c>
      <c r="F124" s="313">
        <v>564.70000000000005</v>
      </c>
      <c r="G124" s="313">
        <v>0</v>
      </c>
      <c r="H124" s="35">
        <v>134.52850910550649</v>
      </c>
      <c r="I124" s="9">
        <v>28</v>
      </c>
      <c r="J124" s="17">
        <f>'CDM Activity'!B69</f>
        <v>40492.992205967974</v>
      </c>
      <c r="K124" s="9">
        <v>0</v>
      </c>
      <c r="L124" s="45">
        <v>131320.33396583295</v>
      </c>
      <c r="M124" s="316">
        <v>319.87200000000001</v>
      </c>
      <c r="N124" s="75">
        <v>348241.18505042075</v>
      </c>
      <c r="O124" s="9">
        <f t="shared" si="3"/>
        <v>100381766.96638967</v>
      </c>
      <c r="P124" s="9"/>
      <c r="Q124" s="13"/>
    </row>
    <row r="125" spans="1:30" x14ac:dyDescent="0.2">
      <c r="A125" s="2">
        <v>38777</v>
      </c>
      <c r="B125" s="39">
        <v>102138407.16774514</v>
      </c>
      <c r="E125" s="26">
        <f t="shared" si="2"/>
        <v>102138407.16774514</v>
      </c>
      <c r="F125" s="313">
        <v>488.7</v>
      </c>
      <c r="G125" s="313">
        <v>0</v>
      </c>
      <c r="H125" s="35">
        <v>134.80561580788986</v>
      </c>
      <c r="I125" s="9">
        <v>31</v>
      </c>
      <c r="J125" s="17">
        <f>'CDM Activity'!B70</f>
        <v>67488.320343279949</v>
      </c>
      <c r="K125" s="9">
        <v>1</v>
      </c>
      <c r="L125" s="45">
        <v>131423.86016924962</v>
      </c>
      <c r="M125" s="316">
        <v>368.28</v>
      </c>
      <c r="N125" s="75">
        <v>348241.18505042075</v>
      </c>
      <c r="O125" s="9">
        <f t="shared" si="3"/>
        <v>102268918.51493526</v>
      </c>
      <c r="P125" s="9"/>
      <c r="Q125" s="13"/>
    </row>
    <row r="126" spans="1:30" x14ac:dyDescent="0.2">
      <c r="A126" s="2">
        <v>38808</v>
      </c>
      <c r="B126" s="39">
        <v>89654385.266301632</v>
      </c>
      <c r="E126" s="26">
        <f t="shared" si="2"/>
        <v>89654385.266301632</v>
      </c>
      <c r="F126" s="313">
        <v>296.7</v>
      </c>
      <c r="G126" s="313">
        <v>0</v>
      </c>
      <c r="H126" s="35">
        <v>135.08329330470943</v>
      </c>
      <c r="I126" s="9">
        <v>30</v>
      </c>
      <c r="J126" s="17">
        <f>'CDM Activity'!B71</f>
        <v>94483.648480591932</v>
      </c>
      <c r="K126" s="9">
        <v>1</v>
      </c>
      <c r="L126" s="45">
        <v>131527.38637266628</v>
      </c>
      <c r="M126" s="316">
        <v>303.83999999999997</v>
      </c>
      <c r="N126" s="75">
        <v>348241.18505042075</v>
      </c>
      <c r="O126" s="9">
        <f t="shared" si="3"/>
        <v>94878723.508240685</v>
      </c>
      <c r="P126" s="9"/>
      <c r="Q126" s="13"/>
    </row>
    <row r="127" spans="1:30" x14ac:dyDescent="0.2">
      <c r="A127" s="2">
        <v>38838</v>
      </c>
      <c r="B127" s="39">
        <v>96375370.83125934</v>
      </c>
      <c r="E127" s="26">
        <f t="shared" si="2"/>
        <v>96375370.83125934</v>
      </c>
      <c r="F127" s="313">
        <v>135.30000000000001</v>
      </c>
      <c r="G127" s="313">
        <v>29.2</v>
      </c>
      <c r="H127" s="35">
        <v>135.36154277170829</v>
      </c>
      <c r="I127" s="9">
        <v>31</v>
      </c>
      <c r="J127" s="17">
        <f>'CDM Activity'!B72</f>
        <v>121478.97661790391</v>
      </c>
      <c r="K127" s="9">
        <v>1</v>
      </c>
      <c r="L127" s="45">
        <v>131630.91257608292</v>
      </c>
      <c r="M127" s="316">
        <v>351.91199999999998</v>
      </c>
      <c r="N127" s="75">
        <v>348241.18505042075</v>
      </c>
      <c r="O127" s="9">
        <f t="shared" si="3"/>
        <v>99690366.238169536</v>
      </c>
      <c r="P127" s="9"/>
      <c r="Q127" s="13"/>
    </row>
    <row r="128" spans="1:30" x14ac:dyDescent="0.2">
      <c r="A128" s="2">
        <v>38869</v>
      </c>
      <c r="B128" s="39">
        <v>106149795.91836734</v>
      </c>
      <c r="E128" s="26">
        <f t="shared" si="2"/>
        <v>106149795.91836734</v>
      </c>
      <c r="F128" s="313">
        <v>15.9</v>
      </c>
      <c r="G128" s="313">
        <v>65.599999999999994</v>
      </c>
      <c r="H128" s="35">
        <v>135.64036538705133</v>
      </c>
      <c r="I128" s="9">
        <v>30</v>
      </c>
      <c r="J128" s="17">
        <f>'CDM Activity'!B73</f>
        <v>148474.30475521588</v>
      </c>
      <c r="K128" s="9">
        <v>0</v>
      </c>
      <c r="L128" s="45">
        <v>131734.43877949956</v>
      </c>
      <c r="M128" s="316">
        <v>352.08</v>
      </c>
      <c r="N128" s="75">
        <v>348241.18505042075</v>
      </c>
      <c r="O128" s="9">
        <f t="shared" si="3"/>
        <v>106208823.41533495</v>
      </c>
      <c r="P128" s="9"/>
      <c r="Q128" s="13"/>
    </row>
    <row r="129" spans="1:30" x14ac:dyDescent="0.2">
      <c r="A129" s="2">
        <v>38899</v>
      </c>
      <c r="B129" s="39">
        <v>129944897.95918369</v>
      </c>
      <c r="E129" s="26">
        <f t="shared" si="2"/>
        <v>129944897.95918369</v>
      </c>
      <c r="F129" s="313">
        <v>0.6</v>
      </c>
      <c r="G129" s="313">
        <v>166.8</v>
      </c>
      <c r="H129" s="35">
        <v>135.9197623313303</v>
      </c>
      <c r="I129" s="9">
        <v>31</v>
      </c>
      <c r="J129" s="17">
        <f>'CDM Activity'!B74</f>
        <v>175469.63289252785</v>
      </c>
      <c r="K129" s="9">
        <v>0</v>
      </c>
      <c r="L129" s="45">
        <v>131837.96498291622</v>
      </c>
      <c r="M129" s="316">
        <v>319.92</v>
      </c>
      <c r="N129" s="75">
        <v>348241.18505042075</v>
      </c>
      <c r="O129" s="9">
        <f t="shared" si="3"/>
        <v>128324395.1621916</v>
      </c>
      <c r="P129" s="9"/>
      <c r="Q129" s="13"/>
    </row>
    <row r="130" spans="1:30" x14ac:dyDescent="0.2">
      <c r="A130" s="2">
        <v>38930</v>
      </c>
      <c r="B130" s="39">
        <v>120333539.07416625</v>
      </c>
      <c r="E130" s="26">
        <f t="shared" si="2"/>
        <v>120333539.07416625</v>
      </c>
      <c r="F130" s="313">
        <v>1.4</v>
      </c>
      <c r="G130" s="313">
        <v>103.8</v>
      </c>
      <c r="H130" s="35">
        <v>136.19973478756879</v>
      </c>
      <c r="I130" s="9">
        <v>31</v>
      </c>
      <c r="J130" s="17">
        <f>'CDM Activity'!B75</f>
        <v>202464.96102983982</v>
      </c>
      <c r="K130" s="9">
        <v>0</v>
      </c>
      <c r="L130" s="45">
        <v>131941.49118633289</v>
      </c>
      <c r="M130" s="316">
        <v>351.91199999999998</v>
      </c>
      <c r="N130" s="75">
        <v>348241.18505042075</v>
      </c>
      <c r="O130" s="9">
        <f t="shared" si="3"/>
        <v>116310045.17997676</v>
      </c>
      <c r="P130" s="9"/>
      <c r="Q130" s="13"/>
    </row>
    <row r="131" spans="1:30" x14ac:dyDescent="0.2">
      <c r="A131" s="2">
        <v>38961</v>
      </c>
      <c r="B131" s="39">
        <v>95914534.594325542</v>
      </c>
      <c r="E131" s="26">
        <f t="shared" ref="E131:E194" si="4">B131+D131+C131</f>
        <v>95914534.594325542</v>
      </c>
      <c r="F131" s="313">
        <v>45.9</v>
      </c>
      <c r="G131" s="313">
        <v>17</v>
      </c>
      <c r="H131" s="35">
        <v>136.48028394122719</v>
      </c>
      <c r="I131" s="9">
        <v>30</v>
      </c>
      <c r="J131" s="17">
        <f>'CDM Activity'!B76</f>
        <v>229460.28916715179</v>
      </c>
      <c r="K131" s="9">
        <v>1</v>
      </c>
      <c r="L131" s="45">
        <v>132045.01738974953</v>
      </c>
      <c r="M131" s="316">
        <v>319.68</v>
      </c>
      <c r="N131" s="75">
        <v>348241.18505042075</v>
      </c>
      <c r="O131" s="9">
        <f t="shared" si="3"/>
        <v>92631095.871903792</v>
      </c>
      <c r="P131" s="9"/>
      <c r="Q131" s="13"/>
    </row>
    <row r="132" spans="1:30" x14ac:dyDescent="0.2">
      <c r="A132" s="2">
        <v>38991</v>
      </c>
      <c r="B132" s="39">
        <v>99436286.709805876</v>
      </c>
      <c r="E132" s="26">
        <f t="shared" si="4"/>
        <v>99436286.709805876</v>
      </c>
      <c r="F132" s="313">
        <v>234.4</v>
      </c>
      <c r="G132" s="313">
        <v>0.4</v>
      </c>
      <c r="H132" s="35">
        <v>136.76141098020776</v>
      </c>
      <c r="I132" s="9">
        <v>31</v>
      </c>
      <c r="J132" s="17">
        <f>'CDM Activity'!B77</f>
        <v>256455.61730446375</v>
      </c>
      <c r="K132" s="9">
        <v>1</v>
      </c>
      <c r="L132" s="45">
        <v>132148.54359316616</v>
      </c>
      <c r="M132" s="316">
        <v>336.28800000000001</v>
      </c>
      <c r="N132" s="75">
        <v>348241.18505042075</v>
      </c>
      <c r="O132" s="9">
        <f t="shared" ref="O132:O195" si="5">$S$18+F132*$S$19+G132*$S$20+H132*$S$21+I132*$S$22+J132*$S$23+K132*$S$24+L132*$S$25</f>
        <v>96912110.997997448</v>
      </c>
      <c r="P132" s="9"/>
      <c r="Q132" s="13"/>
    </row>
    <row r="133" spans="1:30" x14ac:dyDescent="0.2">
      <c r="A133" s="2">
        <v>39022</v>
      </c>
      <c r="B133" s="39">
        <v>98699342.956694871</v>
      </c>
      <c r="E133" s="26">
        <f t="shared" si="4"/>
        <v>98699342.956694871</v>
      </c>
      <c r="F133" s="313">
        <v>341.9</v>
      </c>
      <c r="G133" s="313">
        <v>0</v>
      </c>
      <c r="H133" s="35">
        <v>137.04311709485967</v>
      </c>
      <c r="I133" s="9">
        <v>30</v>
      </c>
      <c r="J133" s="17">
        <f>'CDM Activity'!B78</f>
        <v>283450.94544177572</v>
      </c>
      <c r="K133" s="9">
        <v>1</v>
      </c>
      <c r="L133" s="45">
        <v>132252.06979658283</v>
      </c>
      <c r="M133" s="316">
        <v>352.08</v>
      </c>
      <c r="N133" s="75">
        <v>348241.18505042075</v>
      </c>
      <c r="O133" s="9">
        <f t="shared" si="5"/>
        <v>96531055.718775928</v>
      </c>
      <c r="P133" s="9"/>
      <c r="Q133" s="13"/>
    </row>
    <row r="134" spans="1:30" x14ac:dyDescent="0.2">
      <c r="A134" s="2">
        <v>39052</v>
      </c>
      <c r="B134" s="39">
        <v>106547506.22200099</v>
      </c>
      <c r="E134" s="26">
        <f t="shared" si="4"/>
        <v>106547506.22200099</v>
      </c>
      <c r="F134" s="313">
        <v>445.2</v>
      </c>
      <c r="G134" s="313">
        <v>0</v>
      </c>
      <c r="H134" s="35">
        <v>137.32540347798411</v>
      </c>
      <c r="I134" s="9">
        <v>31</v>
      </c>
      <c r="J134" s="17">
        <f>'CDM Activity'!B79</f>
        <v>296948.60951043171</v>
      </c>
      <c r="K134" s="9">
        <v>0</v>
      </c>
      <c r="L134" s="45">
        <v>132355.59599999999</v>
      </c>
      <c r="M134" s="316">
        <v>304.29599999999999</v>
      </c>
      <c r="N134" s="75">
        <v>348241.18505042075</v>
      </c>
      <c r="O134" s="9">
        <f t="shared" si="5"/>
        <v>107251526.63261832</v>
      </c>
      <c r="P134" s="9"/>
      <c r="Q134" s="13"/>
    </row>
    <row r="135" spans="1:30" x14ac:dyDescent="0.2">
      <c r="A135" s="2">
        <v>39083</v>
      </c>
      <c r="B135" s="39">
        <v>110076804.38028871</v>
      </c>
      <c r="E135" s="26">
        <f t="shared" si="4"/>
        <v>110076804.38028871</v>
      </c>
      <c r="F135" s="313">
        <v>578</v>
      </c>
      <c r="G135" s="313">
        <v>0</v>
      </c>
      <c r="H135" s="35">
        <v>137.5746632239352</v>
      </c>
      <c r="I135" s="9">
        <v>31</v>
      </c>
      <c r="J135" s="17">
        <f>'CDM Activity'!B80</f>
        <v>308452.84277726948</v>
      </c>
      <c r="K135" s="9">
        <v>0</v>
      </c>
      <c r="L135" s="45">
        <v>132252.06979658283</v>
      </c>
      <c r="M135" s="316">
        <v>351.91199999999998</v>
      </c>
      <c r="N135" s="75">
        <v>655464.7604052712</v>
      </c>
      <c r="O135" s="9">
        <f t="shared" si="5"/>
        <v>110275202.07533193</v>
      </c>
      <c r="P135" s="9"/>
      <c r="Q135" s="13"/>
      <c r="AB135" s="10"/>
      <c r="AC135" s="10"/>
      <c r="AD135" s="10"/>
    </row>
    <row r="136" spans="1:30" x14ac:dyDescent="0.2">
      <c r="A136" s="2">
        <v>39114</v>
      </c>
      <c r="B136" s="39">
        <v>106214902.93678446</v>
      </c>
      <c r="E136" s="26">
        <f t="shared" si="4"/>
        <v>106214902.93678446</v>
      </c>
      <c r="F136" s="313">
        <v>657.8</v>
      </c>
      <c r="G136" s="313">
        <v>0</v>
      </c>
      <c r="H136" s="35">
        <v>137.82437540198828</v>
      </c>
      <c r="I136" s="9">
        <v>28</v>
      </c>
      <c r="J136" s="17">
        <f>'CDM Activity'!B81</f>
        <v>331461.3093109451</v>
      </c>
      <c r="K136" s="9">
        <v>0</v>
      </c>
      <c r="L136" s="45">
        <v>132355.59599999999</v>
      </c>
      <c r="M136" s="316">
        <v>319.87200000000001</v>
      </c>
      <c r="N136" s="75">
        <v>655464.7604052712</v>
      </c>
      <c r="O136" s="9">
        <f t="shared" si="5"/>
        <v>103464855.50388753</v>
      </c>
      <c r="P136" s="9"/>
      <c r="Q136" s="13"/>
    </row>
    <row r="137" spans="1:30" x14ac:dyDescent="0.2">
      <c r="A137" s="2">
        <v>39142</v>
      </c>
      <c r="B137" s="39">
        <v>105901314.08661026</v>
      </c>
      <c r="E137" s="26">
        <f t="shared" si="4"/>
        <v>105901314.08661026</v>
      </c>
      <c r="F137" s="313">
        <v>515.5</v>
      </c>
      <c r="G137" s="313">
        <v>0</v>
      </c>
      <c r="H137" s="35">
        <v>138.07454083335418</v>
      </c>
      <c r="I137" s="9">
        <v>31</v>
      </c>
      <c r="J137" s="17">
        <f>'CDM Activity'!B82</f>
        <v>354469.77584462072</v>
      </c>
      <c r="K137" s="9">
        <v>1</v>
      </c>
      <c r="L137" s="45">
        <v>132400.05273333332</v>
      </c>
      <c r="M137" s="316">
        <v>351.91199999999998</v>
      </c>
      <c r="N137" s="75">
        <v>655464.7604052712</v>
      </c>
      <c r="O137" s="9">
        <f t="shared" si="5"/>
        <v>103718162.44075929</v>
      </c>
      <c r="P137" s="9"/>
      <c r="Q137" s="13"/>
    </row>
    <row r="138" spans="1:30" x14ac:dyDescent="0.2">
      <c r="A138" s="2">
        <v>39173</v>
      </c>
      <c r="B138" s="39">
        <v>96871139.870582387</v>
      </c>
      <c r="E138" s="26">
        <f t="shared" si="4"/>
        <v>96871139.870582387</v>
      </c>
      <c r="F138" s="313">
        <v>362.1</v>
      </c>
      <c r="G138" s="313">
        <v>0</v>
      </c>
      <c r="H138" s="35">
        <v>138.32516034073433</v>
      </c>
      <c r="I138" s="9">
        <v>30</v>
      </c>
      <c r="J138" s="17">
        <f>'CDM Activity'!B83</f>
        <v>377478.24237829633</v>
      </c>
      <c r="K138" s="9">
        <v>1</v>
      </c>
      <c r="L138" s="45">
        <v>132444.50946666664</v>
      </c>
      <c r="M138" s="316">
        <v>319.68</v>
      </c>
      <c r="N138" s="75">
        <v>655464.7604052712</v>
      </c>
      <c r="O138" s="9">
        <f t="shared" si="5"/>
        <v>97175531.189508155</v>
      </c>
      <c r="P138" s="9"/>
      <c r="Q138" s="13"/>
    </row>
    <row r="139" spans="1:30" x14ac:dyDescent="0.2">
      <c r="A139" s="2">
        <v>39203</v>
      </c>
      <c r="B139" s="39">
        <v>96387834.743653566</v>
      </c>
      <c r="E139" s="26">
        <f t="shared" si="4"/>
        <v>96387834.743653566</v>
      </c>
      <c r="F139" s="313">
        <v>157.9</v>
      </c>
      <c r="G139" s="313">
        <v>13.6</v>
      </c>
      <c r="H139" s="35">
        <v>138.57623474832346</v>
      </c>
      <c r="I139" s="9">
        <v>31</v>
      </c>
      <c r="J139" s="17">
        <f>'CDM Activity'!B84</f>
        <v>400486.70891197195</v>
      </c>
      <c r="K139" s="9">
        <v>1</v>
      </c>
      <c r="L139" s="45">
        <v>132488.96619999997</v>
      </c>
      <c r="M139" s="316">
        <v>351.91199999999998</v>
      </c>
      <c r="N139" s="75">
        <v>655464.7604052712</v>
      </c>
      <c r="O139" s="9">
        <f t="shared" si="5"/>
        <v>97908860.093599111</v>
      </c>
      <c r="P139" s="9"/>
      <c r="Q139" s="13"/>
    </row>
    <row r="140" spans="1:30" x14ac:dyDescent="0.2">
      <c r="A140" s="2">
        <v>39234</v>
      </c>
      <c r="B140" s="39">
        <v>113036515.67944252</v>
      </c>
      <c r="E140" s="26">
        <f t="shared" si="4"/>
        <v>113036515.67944252</v>
      </c>
      <c r="F140" s="313">
        <v>10.9</v>
      </c>
      <c r="G140" s="313">
        <v>81.7</v>
      </c>
      <c r="H140" s="35">
        <v>138.8277648818123</v>
      </c>
      <c r="I140" s="9">
        <v>30</v>
      </c>
      <c r="J140" s="17">
        <f>'CDM Activity'!B85</f>
        <v>423495.17544564756</v>
      </c>
      <c r="K140" s="9">
        <v>0</v>
      </c>
      <c r="L140" s="45">
        <v>132533.42293333329</v>
      </c>
      <c r="M140" s="316">
        <v>336.24</v>
      </c>
      <c r="N140" s="75">
        <v>655464.7604052712</v>
      </c>
      <c r="O140" s="9">
        <f t="shared" si="5"/>
        <v>109805574.57794547</v>
      </c>
      <c r="P140" s="9"/>
      <c r="Q140" s="13"/>
    </row>
    <row r="141" spans="1:30" x14ac:dyDescent="0.2">
      <c r="A141" s="2">
        <v>39264</v>
      </c>
      <c r="B141" s="39">
        <v>116239482.32951717</v>
      </c>
      <c r="E141" s="26">
        <f t="shared" si="4"/>
        <v>116239482.32951717</v>
      </c>
      <c r="F141" s="313">
        <v>0</v>
      </c>
      <c r="G141" s="313">
        <v>109</v>
      </c>
      <c r="H141" s="35">
        <v>139.07975156839024</v>
      </c>
      <c r="I141" s="9">
        <v>31</v>
      </c>
      <c r="J141" s="17">
        <f>'CDM Activity'!B86</f>
        <v>446503.64197932318</v>
      </c>
      <c r="K141" s="9">
        <v>0</v>
      </c>
      <c r="L141" s="45">
        <v>132577.87966666662</v>
      </c>
      <c r="M141" s="316">
        <v>336.28800000000001</v>
      </c>
      <c r="N141" s="75">
        <v>655464.7604052712</v>
      </c>
      <c r="O141" s="9">
        <f t="shared" si="5"/>
        <v>117746649.26583219</v>
      </c>
      <c r="P141" s="9"/>
      <c r="Q141" s="13"/>
    </row>
    <row r="142" spans="1:30" x14ac:dyDescent="0.2">
      <c r="A142" s="2">
        <v>39295</v>
      </c>
      <c r="B142" s="39">
        <v>124879950.22399203</v>
      </c>
      <c r="E142" s="26">
        <f t="shared" si="4"/>
        <v>124879950.22399203</v>
      </c>
      <c r="F142" s="313">
        <v>6.8</v>
      </c>
      <c r="G142" s="313">
        <v>142.5</v>
      </c>
      <c r="H142" s="35">
        <v>139.33219563674817</v>
      </c>
      <c r="I142" s="9">
        <v>31</v>
      </c>
      <c r="J142" s="17">
        <f>'CDM Activity'!B87</f>
        <v>469512.10851299879</v>
      </c>
      <c r="K142" s="9">
        <v>0</v>
      </c>
      <c r="L142" s="45">
        <v>132622.33639999994</v>
      </c>
      <c r="M142" s="316">
        <v>351.91199999999998</v>
      </c>
      <c r="N142" s="75">
        <v>655464.7604052712</v>
      </c>
      <c r="O142" s="9">
        <f t="shared" si="5"/>
        <v>124368063.32154235</v>
      </c>
      <c r="P142" s="9"/>
      <c r="Q142" s="13"/>
    </row>
    <row r="143" spans="1:30" x14ac:dyDescent="0.2">
      <c r="A143" s="2">
        <v>39326</v>
      </c>
      <c r="B143" s="39">
        <v>104023175.70930812</v>
      </c>
      <c r="E143" s="26">
        <f t="shared" si="4"/>
        <v>104023175.70930812</v>
      </c>
      <c r="F143" s="313">
        <v>19.2</v>
      </c>
      <c r="G143" s="313">
        <v>54.7</v>
      </c>
      <c r="H143" s="35">
        <v>139.5850979170811</v>
      </c>
      <c r="I143" s="9">
        <v>30</v>
      </c>
      <c r="J143" s="17">
        <f>'CDM Activity'!B88</f>
        <v>492520.57504667441</v>
      </c>
      <c r="K143" s="9">
        <v>1</v>
      </c>
      <c r="L143" s="45">
        <v>132666.79313333327</v>
      </c>
      <c r="M143" s="316">
        <v>303.83999999999997</v>
      </c>
      <c r="N143" s="75">
        <v>655464.7604052712</v>
      </c>
      <c r="O143" s="9">
        <f t="shared" si="5"/>
        <v>99671729.017975658</v>
      </c>
      <c r="P143" s="9"/>
      <c r="Q143" s="13"/>
    </row>
    <row r="144" spans="1:30" x14ac:dyDescent="0.2">
      <c r="A144" s="2">
        <v>39356</v>
      </c>
      <c r="B144" s="39">
        <v>99226202.09059234</v>
      </c>
      <c r="E144" s="26">
        <f t="shared" si="4"/>
        <v>99226202.09059234</v>
      </c>
      <c r="F144" s="313">
        <v>103</v>
      </c>
      <c r="G144" s="313">
        <v>20.6</v>
      </c>
      <c r="H144" s="35">
        <v>139.83845924109096</v>
      </c>
      <c r="I144" s="9">
        <v>31</v>
      </c>
      <c r="J144" s="17">
        <f>'CDM Activity'!B89</f>
        <v>515529.04158035002</v>
      </c>
      <c r="K144" s="9">
        <v>1</v>
      </c>
      <c r="L144" s="45">
        <v>132711.24986666659</v>
      </c>
      <c r="M144" s="316">
        <v>351.91199999999998</v>
      </c>
      <c r="N144" s="75">
        <v>655464.7604052712</v>
      </c>
      <c r="O144" s="9">
        <f t="shared" si="5"/>
        <v>98044554.119698405</v>
      </c>
      <c r="P144" s="9"/>
      <c r="Q144" s="13"/>
    </row>
    <row r="145" spans="1:17" x14ac:dyDescent="0.2">
      <c r="A145" s="2">
        <v>39387</v>
      </c>
      <c r="B145" s="39">
        <v>100079143.85266301</v>
      </c>
      <c r="E145" s="26">
        <f t="shared" si="4"/>
        <v>100079143.85266301</v>
      </c>
      <c r="F145" s="313">
        <v>385.4</v>
      </c>
      <c r="G145" s="313">
        <v>0</v>
      </c>
      <c r="H145" s="35">
        <v>140.09228044198926</v>
      </c>
      <c r="I145" s="9">
        <v>30</v>
      </c>
      <c r="J145" s="17">
        <f>'CDM Activity'!B90</f>
        <v>538537.50811402558</v>
      </c>
      <c r="K145" s="9">
        <v>1</v>
      </c>
      <c r="L145" s="45">
        <v>132755.70659999992</v>
      </c>
      <c r="M145" s="316">
        <v>352.08</v>
      </c>
      <c r="N145" s="75">
        <v>655464.7604052712</v>
      </c>
      <c r="O145" s="9">
        <f t="shared" si="5"/>
        <v>97850023.652509376</v>
      </c>
      <c r="P145" s="9"/>
      <c r="Q145" s="13"/>
    </row>
    <row r="146" spans="1:17" x14ac:dyDescent="0.2">
      <c r="A146" s="2">
        <v>39417</v>
      </c>
      <c r="B146" s="39">
        <v>110979900.44798407</v>
      </c>
      <c r="E146" s="26">
        <f t="shared" si="4"/>
        <v>110979900.44798407</v>
      </c>
      <c r="F146" s="313">
        <v>567.1</v>
      </c>
      <c r="G146" s="313">
        <v>0</v>
      </c>
      <c r="H146" s="35">
        <v>140.34656235449975</v>
      </c>
      <c r="I146" s="9">
        <v>31</v>
      </c>
      <c r="J146" s="17">
        <f>'CDM Activity'!B91</f>
        <v>550041.74138086336</v>
      </c>
      <c r="K146" s="9">
        <v>0</v>
      </c>
      <c r="L146" s="45">
        <v>132800.16333333324</v>
      </c>
      <c r="M146" s="316">
        <v>304.29599999999999</v>
      </c>
      <c r="N146" s="75">
        <v>655464.7604052712</v>
      </c>
      <c r="O146" s="9">
        <f t="shared" si="5"/>
        <v>110348651.00558858</v>
      </c>
      <c r="P146" s="9"/>
      <c r="Q146" s="13"/>
    </row>
    <row r="147" spans="1:17" x14ac:dyDescent="0.2">
      <c r="A147" s="2">
        <v>39448</v>
      </c>
      <c r="B147" s="45">
        <v>109593071.1796914</v>
      </c>
      <c r="C147" s="17"/>
      <c r="D147" s="17">
        <f>'Load Transfers'!C34</f>
        <v>-82212.416666666672</v>
      </c>
      <c r="E147" s="26">
        <f t="shared" si="4"/>
        <v>109510858.76302473</v>
      </c>
      <c r="F147" s="313">
        <v>562.4</v>
      </c>
      <c r="G147" s="313">
        <v>0</v>
      </c>
      <c r="H147" s="35">
        <v>140.29969417988008</v>
      </c>
      <c r="I147" s="9">
        <v>31</v>
      </c>
      <c r="J147" s="17">
        <f>'CDM Activity'!E68</f>
        <v>555157.75763480517</v>
      </c>
      <c r="K147" s="9">
        <v>0</v>
      </c>
      <c r="L147" s="45">
        <v>132844.62006666657</v>
      </c>
      <c r="M147" s="317">
        <v>352</v>
      </c>
      <c r="N147" s="75">
        <v>906713.23104162142</v>
      </c>
      <c r="O147" s="9">
        <f t="shared" si="5"/>
        <v>110253961.79891843</v>
      </c>
    </row>
    <row r="148" spans="1:17" x14ac:dyDescent="0.2">
      <c r="A148" s="2">
        <v>39479</v>
      </c>
      <c r="B148" s="45">
        <v>104778875.06222001</v>
      </c>
      <c r="C148" s="17"/>
      <c r="D148" s="17">
        <f>'Load Transfers'!C35</f>
        <v>-82212.416666666672</v>
      </c>
      <c r="E148" s="26">
        <f t="shared" si="4"/>
        <v>104696662.64555334</v>
      </c>
      <c r="F148" s="313">
        <v>599.9</v>
      </c>
      <c r="G148" s="313">
        <v>0</v>
      </c>
      <c r="H148" s="35">
        <v>140.25284165670035</v>
      </c>
      <c r="I148" s="9">
        <v>29</v>
      </c>
      <c r="J148" s="17">
        <f>'CDM Activity'!E69</f>
        <v>565389.79014268878</v>
      </c>
      <c r="K148" s="9">
        <v>0</v>
      </c>
      <c r="L148" s="45">
        <v>132889.07679999989</v>
      </c>
      <c r="M148" s="317">
        <v>320</v>
      </c>
      <c r="N148" s="75">
        <v>906713.23104162142</v>
      </c>
      <c r="O148" s="9">
        <f t="shared" si="5"/>
        <v>105268500.65911713</v>
      </c>
    </row>
    <row r="149" spans="1:17" x14ac:dyDescent="0.2">
      <c r="A149" s="2">
        <v>39508</v>
      </c>
      <c r="B149" s="45">
        <v>105424609.25833748</v>
      </c>
      <c r="C149" s="17"/>
      <c r="D149" s="17">
        <f>'Load Transfers'!C36</f>
        <v>-82212.416666666672</v>
      </c>
      <c r="E149" s="26">
        <f t="shared" si="4"/>
        <v>105342396.84167081</v>
      </c>
      <c r="F149" s="313">
        <v>548</v>
      </c>
      <c r="G149" s="313">
        <v>0</v>
      </c>
      <c r="H149" s="35">
        <v>140.20600477973383</v>
      </c>
      <c r="I149" s="9">
        <v>31</v>
      </c>
      <c r="J149" s="17">
        <f>'CDM Activity'!E70</f>
        <v>575621.8226505724</v>
      </c>
      <c r="K149" s="9">
        <v>1</v>
      </c>
      <c r="L149" s="45">
        <v>132933.53353333322</v>
      </c>
      <c r="M149" s="317">
        <v>304</v>
      </c>
      <c r="N149" s="75">
        <v>906713.23104162142</v>
      </c>
      <c r="O149" s="9">
        <f t="shared" si="5"/>
        <v>104701766.25565165</v>
      </c>
    </row>
    <row r="150" spans="1:17" x14ac:dyDescent="0.2">
      <c r="A150" s="2">
        <v>39539</v>
      </c>
      <c r="B150" s="45">
        <v>86811986.06271778</v>
      </c>
      <c r="C150" s="17"/>
      <c r="D150" s="17">
        <f>'Load Transfers'!C37</f>
        <v>-82212.416666666672</v>
      </c>
      <c r="E150" s="26">
        <f t="shared" si="4"/>
        <v>86729773.646051109</v>
      </c>
      <c r="F150" s="313">
        <v>303.3</v>
      </c>
      <c r="G150" s="313">
        <v>0</v>
      </c>
      <c r="H150" s="35">
        <v>140.15918354375555</v>
      </c>
      <c r="I150" s="9">
        <v>30</v>
      </c>
      <c r="J150" s="17">
        <f>'CDM Activity'!E71</f>
        <v>585853.85515845602</v>
      </c>
      <c r="K150" s="9">
        <v>1</v>
      </c>
      <c r="L150" s="45">
        <v>132977.99026666654</v>
      </c>
      <c r="M150" s="317">
        <v>352</v>
      </c>
      <c r="N150" s="75">
        <v>906713.23104162142</v>
      </c>
      <c r="O150" s="9">
        <f t="shared" si="5"/>
        <v>95971708.380676791</v>
      </c>
    </row>
    <row r="151" spans="1:17" x14ac:dyDescent="0.2">
      <c r="A151" s="2">
        <v>39569</v>
      </c>
      <c r="B151" s="45">
        <v>95673539.074166253</v>
      </c>
      <c r="C151" s="17"/>
      <c r="D151" s="17">
        <f>'Load Transfers'!C38</f>
        <v>-82212.416666666672</v>
      </c>
      <c r="E151" s="26">
        <f t="shared" si="4"/>
        <v>95591326.657499582</v>
      </c>
      <c r="F151" s="313">
        <v>192.7</v>
      </c>
      <c r="G151" s="313">
        <v>0</v>
      </c>
      <c r="H151" s="35">
        <v>140.11237794354221</v>
      </c>
      <c r="I151" s="9">
        <v>31</v>
      </c>
      <c r="J151" s="17">
        <f>'CDM Activity'!E72</f>
        <v>596085.88766633964</v>
      </c>
      <c r="K151" s="9">
        <v>1</v>
      </c>
      <c r="L151" s="45">
        <v>133022.44699999987</v>
      </c>
      <c r="M151" s="317">
        <v>336</v>
      </c>
      <c r="N151" s="75">
        <v>906713.23104162142</v>
      </c>
      <c r="O151" s="9">
        <f t="shared" si="5"/>
        <v>96275701.56160225</v>
      </c>
    </row>
    <row r="152" spans="1:17" x14ac:dyDescent="0.2">
      <c r="A152" s="2">
        <v>39600</v>
      </c>
      <c r="B152" s="45">
        <v>106441284.22100548</v>
      </c>
      <c r="C152" s="17"/>
      <c r="D152" s="17">
        <f>'Load Transfers'!C39</f>
        <v>-82212.416666666672</v>
      </c>
      <c r="E152" s="26">
        <f t="shared" si="4"/>
        <v>106359071.80433881</v>
      </c>
      <c r="F152" s="313">
        <v>30.4</v>
      </c>
      <c r="G152" s="313">
        <v>62.5</v>
      </c>
      <c r="H152" s="35">
        <v>140.06558797387237</v>
      </c>
      <c r="I152" s="9">
        <v>30</v>
      </c>
      <c r="J152" s="17">
        <f>'CDM Activity'!E73</f>
        <v>606317.92017422325</v>
      </c>
      <c r="K152" s="9">
        <v>0</v>
      </c>
      <c r="L152" s="45">
        <v>133066.90373333319</v>
      </c>
      <c r="M152" s="317">
        <v>336</v>
      </c>
      <c r="N152" s="75">
        <v>906713.23104162142</v>
      </c>
      <c r="O152" s="9">
        <f t="shared" si="5"/>
        <v>106705484.411017</v>
      </c>
    </row>
    <row r="153" spans="1:17" x14ac:dyDescent="0.2">
      <c r="A153" s="2">
        <v>39630</v>
      </c>
      <c r="B153" s="45">
        <v>120363653.55898456</v>
      </c>
      <c r="C153" s="17"/>
      <c r="D153" s="17">
        <f>'Load Transfers'!C40</f>
        <v>-82212.416666666672</v>
      </c>
      <c r="E153" s="26">
        <f t="shared" si="4"/>
        <v>120281441.14231789</v>
      </c>
      <c r="F153" s="313">
        <v>0</v>
      </c>
      <c r="G153" s="313">
        <v>115.4</v>
      </c>
      <c r="H153" s="35">
        <v>140.01881362952622</v>
      </c>
      <c r="I153" s="9">
        <v>31</v>
      </c>
      <c r="J153" s="17">
        <f>'CDM Activity'!E74</f>
        <v>616549.95268210687</v>
      </c>
      <c r="K153" s="9">
        <v>0</v>
      </c>
      <c r="L153" s="45">
        <v>133111.36046666652</v>
      </c>
      <c r="M153" s="317">
        <v>352</v>
      </c>
      <c r="N153" s="75">
        <v>906713.23104162142</v>
      </c>
      <c r="O153" s="9">
        <f t="shared" si="5"/>
        <v>119080722.90132254</v>
      </c>
    </row>
    <row r="154" spans="1:17" x14ac:dyDescent="0.2">
      <c r="A154" s="2">
        <v>39661</v>
      </c>
      <c r="B154" s="45">
        <v>112977083.1259333</v>
      </c>
      <c r="C154" s="17"/>
      <c r="D154" s="17">
        <f>'Load Transfers'!C41</f>
        <v>-82212.416666666672</v>
      </c>
      <c r="E154" s="26">
        <f t="shared" si="4"/>
        <v>112894870.70926663</v>
      </c>
      <c r="F154" s="313">
        <v>4.5</v>
      </c>
      <c r="G154" s="313">
        <v>85.7</v>
      </c>
      <c r="H154" s="35">
        <v>139.97205490528577</v>
      </c>
      <c r="I154" s="9">
        <v>31</v>
      </c>
      <c r="J154" s="17">
        <f>'CDM Activity'!E75</f>
        <v>626781.98518999049</v>
      </c>
      <c r="K154" s="9">
        <v>0</v>
      </c>
      <c r="L154" s="45">
        <v>133155.81719999984</v>
      </c>
      <c r="M154" s="317">
        <v>320</v>
      </c>
      <c r="N154" s="75">
        <v>906713.23104162142</v>
      </c>
      <c r="O154" s="9">
        <f t="shared" si="5"/>
        <v>113464429.8620875</v>
      </c>
    </row>
    <row r="155" spans="1:17" x14ac:dyDescent="0.2">
      <c r="A155" s="2">
        <v>39692</v>
      </c>
      <c r="B155" s="45">
        <v>101476764.55948234</v>
      </c>
      <c r="C155" s="17"/>
      <c r="D155" s="17">
        <f>'Load Transfers'!C42</f>
        <v>-82212.416666666672</v>
      </c>
      <c r="E155" s="26">
        <f t="shared" si="4"/>
        <v>101394552.14281566</v>
      </c>
      <c r="F155" s="313">
        <v>38.6</v>
      </c>
      <c r="G155" s="313">
        <v>39.6</v>
      </c>
      <c r="H155" s="35">
        <v>139.92531179593476</v>
      </c>
      <c r="I155" s="9">
        <v>30</v>
      </c>
      <c r="J155" s="17">
        <f>'CDM Activity'!E76</f>
        <v>637014.01769787411</v>
      </c>
      <c r="K155" s="9">
        <v>1</v>
      </c>
      <c r="L155" s="45">
        <v>133200.27393333317</v>
      </c>
      <c r="M155" s="317">
        <v>336</v>
      </c>
      <c r="N155" s="75">
        <v>906713.23104162142</v>
      </c>
      <c r="O155" s="9">
        <f t="shared" si="5"/>
        <v>97273033.628023982</v>
      </c>
    </row>
    <row r="156" spans="1:17" x14ac:dyDescent="0.2">
      <c r="A156" s="2">
        <v>39722</v>
      </c>
      <c r="B156" s="45">
        <v>95543325.037332013</v>
      </c>
      <c r="C156" s="17"/>
      <c r="D156" s="17">
        <f>'Load Transfers'!C43</f>
        <v>-82212.416666666672</v>
      </c>
      <c r="E156" s="26">
        <f t="shared" si="4"/>
        <v>95461112.620665342</v>
      </c>
      <c r="F156" s="313">
        <v>207.1</v>
      </c>
      <c r="G156" s="313">
        <v>0.4</v>
      </c>
      <c r="H156" s="35">
        <v>139.87858429625865</v>
      </c>
      <c r="I156" s="9">
        <v>31</v>
      </c>
      <c r="J156" s="17">
        <f>'CDM Activity'!E77</f>
        <v>647246.05020575773</v>
      </c>
      <c r="K156" s="9">
        <v>1</v>
      </c>
      <c r="L156" s="45">
        <v>133244.7306666665</v>
      </c>
      <c r="M156" s="317">
        <v>352</v>
      </c>
      <c r="N156" s="75">
        <v>906713.23104162142</v>
      </c>
      <c r="O156" s="9">
        <f t="shared" si="5"/>
        <v>96640056.908691689</v>
      </c>
    </row>
    <row r="157" spans="1:17" x14ac:dyDescent="0.2">
      <c r="A157" s="2">
        <v>39753</v>
      </c>
      <c r="B157" s="45">
        <v>97619273.270283729</v>
      </c>
      <c r="C157" s="17"/>
      <c r="D157" s="17">
        <f>'Load Transfers'!C44</f>
        <v>-82212.416666666672</v>
      </c>
      <c r="E157" s="26">
        <f t="shared" si="4"/>
        <v>97537060.853617057</v>
      </c>
      <c r="F157" s="313">
        <v>420.9</v>
      </c>
      <c r="G157" s="313">
        <v>0</v>
      </c>
      <c r="H157" s="35">
        <v>139.83187240104465</v>
      </c>
      <c r="I157" s="9">
        <v>30</v>
      </c>
      <c r="J157" s="17">
        <f>'CDM Activity'!E78</f>
        <v>657478.08271364134</v>
      </c>
      <c r="K157" s="9">
        <v>1</v>
      </c>
      <c r="L157" s="45">
        <v>133289.18739999982</v>
      </c>
      <c r="M157" s="317">
        <v>304</v>
      </c>
      <c r="N157" s="75">
        <v>906713.23104162142</v>
      </c>
      <c r="O157" s="9">
        <f t="shared" si="5"/>
        <v>98679079.939147785</v>
      </c>
    </row>
    <row r="158" spans="1:17" x14ac:dyDescent="0.2">
      <c r="A158" s="2">
        <v>39783</v>
      </c>
      <c r="B158" s="45">
        <v>111639153.80786462</v>
      </c>
      <c r="C158" s="17"/>
      <c r="D158" s="17">
        <f>'Load Transfers'!C45</f>
        <v>-82212.416666666672</v>
      </c>
      <c r="E158" s="26">
        <f t="shared" si="4"/>
        <v>111556941.39119795</v>
      </c>
      <c r="F158" s="313">
        <v>620.1</v>
      </c>
      <c r="G158" s="313">
        <v>0</v>
      </c>
      <c r="H158" s="35">
        <v>139.78517610508175</v>
      </c>
      <c r="I158" s="9">
        <v>31</v>
      </c>
      <c r="J158" s="17">
        <f>'CDM Activity'!E79</f>
        <v>662594.09896758315</v>
      </c>
      <c r="K158" s="9">
        <v>0</v>
      </c>
      <c r="L158" s="45">
        <v>133333.64413333315</v>
      </c>
      <c r="M158" s="317">
        <v>336</v>
      </c>
      <c r="N158" s="75">
        <v>906713.23104162142</v>
      </c>
      <c r="O158" s="9">
        <f t="shared" si="5"/>
        <v>111528921.55257566</v>
      </c>
    </row>
    <row r="159" spans="1:17" x14ac:dyDescent="0.2">
      <c r="A159" s="2">
        <v>39814</v>
      </c>
      <c r="B159" s="45">
        <v>117706102.53857641</v>
      </c>
      <c r="C159" s="17"/>
      <c r="D159" s="17">
        <f>'Load Transfers'!C46</f>
        <v>-61304</v>
      </c>
      <c r="E159" s="26">
        <f t="shared" si="4"/>
        <v>117644798.53857641</v>
      </c>
      <c r="F159" s="313">
        <v>723.9</v>
      </c>
      <c r="G159" s="313">
        <v>0</v>
      </c>
      <c r="H159" s="35">
        <v>139.38911810611734</v>
      </c>
      <c r="I159" s="9">
        <v>31</v>
      </c>
      <c r="J159" s="17">
        <f>'CDM Activity'!E80</f>
        <v>674483.75477705954</v>
      </c>
      <c r="K159" s="9">
        <v>0</v>
      </c>
      <c r="L159" s="45">
        <v>133378.10086666647</v>
      </c>
      <c r="M159" s="317">
        <v>336</v>
      </c>
      <c r="N159" s="75">
        <v>912481.90722259786</v>
      </c>
      <c r="O159" s="9">
        <f t="shared" si="5"/>
        <v>113852700.97510418</v>
      </c>
    </row>
    <row r="160" spans="1:17" x14ac:dyDescent="0.2">
      <c r="A160" s="2">
        <v>39845</v>
      </c>
      <c r="B160" s="45">
        <v>97637232.4539572</v>
      </c>
      <c r="C160" s="17"/>
      <c r="D160" s="17">
        <f>'Load Transfers'!C47</f>
        <v>-61304</v>
      </c>
      <c r="E160" s="26">
        <f t="shared" si="4"/>
        <v>97575928.4539572</v>
      </c>
      <c r="F160" s="313">
        <v>537</v>
      </c>
      <c r="G160" s="313">
        <v>0</v>
      </c>
      <c r="H160" s="35">
        <v>138.99418227148334</v>
      </c>
      <c r="I160" s="9">
        <v>28</v>
      </c>
      <c r="J160" s="17">
        <f>'CDM Activity'!E81</f>
        <v>698263.06639601232</v>
      </c>
      <c r="K160" s="9">
        <v>0</v>
      </c>
      <c r="L160" s="45">
        <v>133422.5575999998</v>
      </c>
      <c r="M160" s="317">
        <v>304</v>
      </c>
      <c r="N160" s="75">
        <v>912481.90722259786</v>
      </c>
      <c r="O160" s="9">
        <f t="shared" si="5"/>
        <v>100444295.66253255</v>
      </c>
    </row>
    <row r="161" spans="1:36" x14ac:dyDescent="0.2">
      <c r="A161" s="2">
        <v>39873</v>
      </c>
      <c r="B161" s="45">
        <v>102033200.59731211</v>
      </c>
      <c r="C161" s="17"/>
      <c r="D161" s="17">
        <f>'Load Transfers'!C48</f>
        <v>-61304</v>
      </c>
      <c r="E161" s="26">
        <f t="shared" si="4"/>
        <v>101971896.59731211</v>
      </c>
      <c r="F161" s="313">
        <v>509.1</v>
      </c>
      <c r="G161" s="313">
        <v>0</v>
      </c>
      <c r="H161" s="35">
        <v>138.60036542171414</v>
      </c>
      <c r="I161" s="9">
        <v>31</v>
      </c>
      <c r="J161" s="17">
        <f>'CDM Activity'!E82</f>
        <v>722042.3780149651</v>
      </c>
      <c r="K161" s="9">
        <v>1</v>
      </c>
      <c r="L161" s="45">
        <v>133467.01433333312</v>
      </c>
      <c r="M161" s="317">
        <v>352</v>
      </c>
      <c r="N161" s="75">
        <v>912481.90722259786</v>
      </c>
      <c r="O161" s="9">
        <f t="shared" si="5"/>
        <v>103192823.64610587</v>
      </c>
    </row>
    <row r="162" spans="1:36" x14ac:dyDescent="0.2">
      <c r="A162" s="2">
        <v>39904</v>
      </c>
      <c r="B162" s="45">
        <v>92234006.968641117</v>
      </c>
      <c r="C162" s="17"/>
      <c r="D162" s="17">
        <f>'Load Transfers'!C49</f>
        <v>-61304</v>
      </c>
      <c r="E162" s="26">
        <f t="shared" si="4"/>
        <v>92172702.968641117</v>
      </c>
      <c r="F162" s="313">
        <v>315.39999999999998</v>
      </c>
      <c r="G162" s="313">
        <v>0</v>
      </c>
      <c r="H162" s="35">
        <v>138.20766438635263</v>
      </c>
      <c r="I162" s="9">
        <v>30</v>
      </c>
      <c r="J162" s="17">
        <f>'CDM Activity'!E83</f>
        <v>745821.68963391788</v>
      </c>
      <c r="K162" s="9">
        <v>1</v>
      </c>
      <c r="L162" s="45">
        <v>133511.47106666645</v>
      </c>
      <c r="M162" s="317">
        <v>320</v>
      </c>
      <c r="N162" s="75">
        <v>912481.90722259786</v>
      </c>
      <c r="O162" s="9">
        <f t="shared" si="5"/>
        <v>95486143.882327318</v>
      </c>
    </row>
    <row r="163" spans="1:36" x14ac:dyDescent="0.2">
      <c r="A163" s="2">
        <v>39934</v>
      </c>
      <c r="B163" s="45">
        <v>90740353.026764169</v>
      </c>
      <c r="C163" s="17"/>
      <c r="D163" s="17">
        <f>'Load Transfers'!C50</f>
        <v>-61304</v>
      </c>
      <c r="E163" s="26">
        <f t="shared" si="4"/>
        <v>90679049.026764169</v>
      </c>
      <c r="F163" s="313">
        <v>185.9</v>
      </c>
      <c r="G163" s="313">
        <v>0</v>
      </c>
      <c r="H163" s="35">
        <v>137.81607600392462</v>
      </c>
      <c r="I163" s="9">
        <v>31</v>
      </c>
      <c r="J163" s="17">
        <f>'CDM Activity'!E84</f>
        <v>769601.00125287066</v>
      </c>
      <c r="K163" s="9">
        <v>1</v>
      </c>
      <c r="L163" s="45">
        <v>133555.92779999977</v>
      </c>
      <c r="M163" s="317">
        <v>320</v>
      </c>
      <c r="N163" s="75">
        <v>912481.90722259786</v>
      </c>
      <c r="O163" s="9">
        <f t="shared" si="5"/>
        <v>95160358.825589716</v>
      </c>
    </row>
    <row r="164" spans="1:36" x14ac:dyDescent="0.2">
      <c r="A164" s="2">
        <v>39965</v>
      </c>
      <c r="B164" s="45">
        <v>97871861.239805505</v>
      </c>
      <c r="C164" s="17"/>
      <c r="D164" s="17">
        <f>'Load Transfers'!C51</f>
        <v>-61304</v>
      </c>
      <c r="E164" s="26">
        <f t="shared" si="4"/>
        <v>97810557.239805505</v>
      </c>
      <c r="F164" s="313">
        <v>66.8</v>
      </c>
      <c r="G164" s="313">
        <v>33</v>
      </c>
      <c r="H164" s="35">
        <v>137.42559712191351</v>
      </c>
      <c r="I164" s="9">
        <v>30</v>
      </c>
      <c r="J164" s="17">
        <f>'CDM Activity'!E85</f>
        <v>793380.31287182344</v>
      </c>
      <c r="K164" s="9">
        <v>0</v>
      </c>
      <c r="L164" s="45">
        <v>133600.3845333331</v>
      </c>
      <c r="M164" s="317">
        <v>352</v>
      </c>
      <c r="N164" s="75">
        <v>912481.90722259786</v>
      </c>
      <c r="O164" s="9">
        <f t="shared" si="5"/>
        <v>100756077.50202982</v>
      </c>
    </row>
    <row r="165" spans="1:36" x14ac:dyDescent="0.2">
      <c r="A165" s="2">
        <v>39995</v>
      </c>
      <c r="B165" s="45">
        <v>106379009.84033389</v>
      </c>
      <c r="C165" s="17"/>
      <c r="D165" s="17">
        <f>'Load Transfers'!C52</f>
        <v>-61304</v>
      </c>
      <c r="E165" s="26">
        <f t="shared" si="4"/>
        <v>106317705.84033389</v>
      </c>
      <c r="F165" s="313">
        <v>0.6</v>
      </c>
      <c r="G165" s="313">
        <v>56.8</v>
      </c>
      <c r="H165" s="35">
        <v>137.03622459673477</v>
      </c>
      <c r="I165" s="9">
        <v>31</v>
      </c>
      <c r="J165" s="17">
        <f>'CDM Activity'!E86</f>
        <v>817159.62449077622</v>
      </c>
      <c r="K165" s="9">
        <v>0</v>
      </c>
      <c r="L165" s="45">
        <v>133644.84126666642</v>
      </c>
      <c r="M165" s="317">
        <v>352</v>
      </c>
      <c r="N165" s="75">
        <v>912481.90722259786</v>
      </c>
      <c r="O165" s="9">
        <f t="shared" si="5"/>
        <v>106505760.43229133</v>
      </c>
    </row>
    <row r="166" spans="1:36" x14ac:dyDescent="0.2">
      <c r="A166" s="2">
        <v>40026</v>
      </c>
      <c r="B166" s="45">
        <v>118375479.57269213</v>
      </c>
      <c r="C166" s="17"/>
      <c r="D166" s="17">
        <f>'Load Transfers'!C53</f>
        <v>-61304</v>
      </c>
      <c r="E166" s="26">
        <f t="shared" si="4"/>
        <v>118314175.57269213</v>
      </c>
      <c r="F166" s="313">
        <v>3.9</v>
      </c>
      <c r="G166" s="313">
        <v>118.8</v>
      </c>
      <c r="H166" s="35">
        <v>136.64795529371068</v>
      </c>
      <c r="I166" s="9">
        <v>31</v>
      </c>
      <c r="J166" s="17">
        <f>'CDM Activity'!E87</f>
        <v>840938.93610972899</v>
      </c>
      <c r="K166" s="9">
        <v>0</v>
      </c>
      <c r="L166" s="45">
        <v>133689.29799999975</v>
      </c>
      <c r="M166" s="317">
        <v>320</v>
      </c>
      <c r="N166" s="75">
        <v>912481.90722259786</v>
      </c>
      <c r="O166" s="9">
        <f t="shared" si="5"/>
        <v>118315787.93419781</v>
      </c>
    </row>
    <row r="167" spans="1:36" x14ac:dyDescent="0.2">
      <c r="A167" s="2">
        <v>40057</v>
      </c>
      <c r="B167" s="45">
        <v>96821587.471761703</v>
      </c>
      <c r="C167" s="17"/>
      <c r="D167" s="17">
        <f>'Load Transfers'!C54</f>
        <v>-61304</v>
      </c>
      <c r="E167" s="26">
        <f t="shared" si="4"/>
        <v>96760283.471761703</v>
      </c>
      <c r="F167" s="313">
        <v>32.4</v>
      </c>
      <c r="G167" s="313">
        <v>30.7</v>
      </c>
      <c r="H167" s="35">
        <v>136.26078608704518</v>
      </c>
      <c r="I167" s="9">
        <v>30</v>
      </c>
      <c r="J167" s="17">
        <f>'CDM Activity'!E88</f>
        <v>864718.24772868177</v>
      </c>
      <c r="K167" s="9">
        <v>1</v>
      </c>
      <c r="L167" s="45">
        <v>133733.75473333307</v>
      </c>
      <c r="M167" s="317">
        <v>336</v>
      </c>
      <c r="N167" s="75">
        <v>912481.90722259786</v>
      </c>
      <c r="O167" s="9">
        <f t="shared" si="5"/>
        <v>93732912.337245435</v>
      </c>
    </row>
    <row r="168" spans="1:36" x14ac:dyDescent="0.2">
      <c r="A168" s="2">
        <v>40087</v>
      </c>
      <c r="B168" s="45">
        <v>93959689.091396421</v>
      </c>
      <c r="C168" s="17"/>
      <c r="D168" s="17">
        <f>'Load Transfers'!C55</f>
        <v>-61304</v>
      </c>
      <c r="E168" s="26">
        <f t="shared" si="4"/>
        <v>93898385.091396421</v>
      </c>
      <c r="F168" s="313">
        <v>241.2</v>
      </c>
      <c r="G168" s="313">
        <v>0</v>
      </c>
      <c r="H168" s="35">
        <v>135.87471385979853</v>
      </c>
      <c r="I168" s="9">
        <v>31</v>
      </c>
      <c r="J168" s="17">
        <f>'CDM Activity'!E89</f>
        <v>888497.55934763455</v>
      </c>
      <c r="K168" s="9">
        <v>1</v>
      </c>
      <c r="L168" s="45">
        <v>133778.2114666664</v>
      </c>
      <c r="M168" s="317">
        <v>336</v>
      </c>
      <c r="N168" s="75">
        <v>912481.90722259786</v>
      </c>
      <c r="O168" s="9">
        <f t="shared" si="5"/>
        <v>95507076.678941637</v>
      </c>
    </row>
    <row r="169" spans="1:36" x14ac:dyDescent="0.2">
      <c r="A169" s="2">
        <v>40118</v>
      </c>
      <c r="B169" s="45">
        <v>93794432.744955406</v>
      </c>
      <c r="C169" s="17"/>
      <c r="D169" s="17">
        <f>'Load Transfers'!C56</f>
        <v>-61304</v>
      </c>
      <c r="E169" s="26">
        <f t="shared" si="4"/>
        <v>93733128.744955406</v>
      </c>
      <c r="F169" s="313">
        <v>320.8</v>
      </c>
      <c r="G169" s="313">
        <v>0</v>
      </c>
      <c r="H169" s="35">
        <v>135.48973550386245</v>
      </c>
      <c r="I169" s="9">
        <v>30</v>
      </c>
      <c r="J169" s="17">
        <f>'CDM Activity'!E90</f>
        <v>912276.87096658733</v>
      </c>
      <c r="K169" s="9">
        <v>1</v>
      </c>
      <c r="L169" s="45">
        <v>133822.66819999972</v>
      </c>
      <c r="M169" s="317">
        <v>320</v>
      </c>
      <c r="N169" s="75">
        <v>912481.90722259786</v>
      </c>
      <c r="O169" s="9">
        <f t="shared" si="5"/>
        <v>94267883.786097929</v>
      </c>
    </row>
    <row r="170" spans="1:36" x14ac:dyDescent="0.2">
      <c r="A170" s="2">
        <v>40148</v>
      </c>
      <c r="B170" s="45">
        <v>109990511.92709731</v>
      </c>
      <c r="C170" s="17"/>
      <c r="D170" s="17">
        <f>'Load Transfers'!C57</f>
        <v>-61304</v>
      </c>
      <c r="E170" s="26">
        <f t="shared" si="4"/>
        <v>109929207.92709731</v>
      </c>
      <c r="F170" s="313">
        <v>570.89</v>
      </c>
      <c r="G170" s="313">
        <v>0</v>
      </c>
      <c r="H170" s="35">
        <v>135.10584791993483</v>
      </c>
      <c r="I170" s="9">
        <v>31</v>
      </c>
      <c r="J170" s="17">
        <f>'CDM Activity'!E91</f>
        <v>924166.52677606372</v>
      </c>
      <c r="K170" s="9">
        <v>0</v>
      </c>
      <c r="L170" s="45">
        <v>133867.12493333305</v>
      </c>
      <c r="M170" s="317">
        <v>352</v>
      </c>
      <c r="N170" s="75">
        <v>912481.90722259786</v>
      </c>
      <c r="O170" s="9">
        <f t="shared" si="5"/>
        <v>108177263.62577888</v>
      </c>
    </row>
    <row r="171" spans="1:36" s="33" customFormat="1" x14ac:dyDescent="0.2">
      <c r="A171" s="32">
        <v>40179</v>
      </c>
      <c r="B171" s="45">
        <v>112413952.59792474</v>
      </c>
      <c r="C171" s="17">
        <v>411293</v>
      </c>
      <c r="D171" s="17">
        <f>'Load Transfers'!C58</f>
        <v>-96502.18</v>
      </c>
      <c r="E171" s="26">
        <f t="shared" si="4"/>
        <v>112728743.41792473</v>
      </c>
      <c r="F171" s="313">
        <v>653.29999999999995</v>
      </c>
      <c r="G171" s="313">
        <v>0</v>
      </c>
      <c r="H171" s="35">
        <v>135.40983607775468</v>
      </c>
      <c r="I171" s="17">
        <v>31</v>
      </c>
      <c r="J171" s="17">
        <f>'CDM Activity'!H68</f>
        <v>927754.68851152586</v>
      </c>
      <c r="K171" s="17">
        <v>0</v>
      </c>
      <c r="L171" s="45">
        <v>133911.58166666637</v>
      </c>
      <c r="M171" s="318">
        <v>320</v>
      </c>
      <c r="N171" s="75">
        <v>1109506.9805606694</v>
      </c>
      <c r="O171" s="9">
        <f t="shared" si="5"/>
        <v>110264005.77846834</v>
      </c>
      <c r="P171" s="22"/>
      <c r="Q171" s="22"/>
      <c r="AB171" s="26"/>
      <c r="AC171" s="26"/>
      <c r="AD171" s="26"/>
      <c r="AE171" s="26"/>
      <c r="AF171" s="26"/>
      <c r="AG171" s="26"/>
      <c r="AH171" s="26"/>
      <c r="AI171" s="26"/>
      <c r="AJ171" s="26"/>
    </row>
    <row r="172" spans="1:36" s="33" customFormat="1" x14ac:dyDescent="0.2">
      <c r="A172" s="32">
        <v>40210</v>
      </c>
      <c r="B172" s="45">
        <v>98822728.491021186</v>
      </c>
      <c r="C172" s="17">
        <v>532219</v>
      </c>
      <c r="D172" s="17">
        <f>'Load Transfers'!C59</f>
        <v>-96502.18</v>
      </c>
      <c r="E172" s="26">
        <f t="shared" si="4"/>
        <v>99258445.311021179</v>
      </c>
      <c r="F172" s="313">
        <v>551.1</v>
      </c>
      <c r="G172" s="313">
        <v>0</v>
      </c>
      <c r="H172" s="35">
        <v>135.71450820892963</v>
      </c>
      <c r="I172" s="17">
        <v>28</v>
      </c>
      <c r="J172" s="17">
        <f>'CDM Activity'!H69</f>
        <v>934931.01198245015</v>
      </c>
      <c r="K172" s="17">
        <v>0</v>
      </c>
      <c r="L172" s="45">
        <v>133956.0383999997</v>
      </c>
      <c r="M172" s="318">
        <v>304</v>
      </c>
      <c r="N172" s="75">
        <v>1109506.9805606694</v>
      </c>
      <c r="O172" s="9">
        <f t="shared" si="5"/>
        <v>99172103.133293152</v>
      </c>
      <c r="P172" s="22"/>
      <c r="Q172" s="22"/>
      <c r="AB172" s="26"/>
      <c r="AC172" s="26"/>
      <c r="AD172" s="26"/>
      <c r="AE172" s="26"/>
      <c r="AF172" s="26"/>
      <c r="AG172" s="26"/>
      <c r="AH172" s="26"/>
      <c r="AI172" s="26"/>
      <c r="AJ172" s="26"/>
    </row>
    <row r="173" spans="1:36" s="33" customFormat="1" x14ac:dyDescent="0.2">
      <c r="A173" s="32">
        <v>40238</v>
      </c>
      <c r="B173" s="45">
        <v>99590879.503771499</v>
      </c>
      <c r="C173" s="17">
        <v>545833</v>
      </c>
      <c r="D173" s="17">
        <f>'Load Transfers'!C60</f>
        <v>-96502.18</v>
      </c>
      <c r="E173" s="26">
        <f t="shared" si="4"/>
        <v>100040210.32377149</v>
      </c>
      <c r="F173" s="313">
        <v>434.7</v>
      </c>
      <c r="G173" s="313">
        <v>0</v>
      </c>
      <c r="H173" s="35">
        <v>136.01986585239973</v>
      </c>
      <c r="I173" s="17">
        <v>31</v>
      </c>
      <c r="J173" s="17">
        <f>'CDM Activity'!H70</f>
        <v>942107.33545337443</v>
      </c>
      <c r="K173" s="17">
        <v>1</v>
      </c>
      <c r="L173" s="45">
        <v>134000.49513333302</v>
      </c>
      <c r="M173" s="318">
        <v>368</v>
      </c>
      <c r="N173" s="75">
        <v>1109506.9805606694</v>
      </c>
      <c r="O173" s="9">
        <f t="shared" si="5"/>
        <v>100139888.51418358</v>
      </c>
      <c r="P173" s="22"/>
      <c r="Q173" s="22"/>
      <c r="AB173" s="26"/>
      <c r="AC173" s="26"/>
      <c r="AD173" s="26"/>
      <c r="AE173" s="26"/>
      <c r="AF173" s="26"/>
      <c r="AG173" s="26"/>
      <c r="AH173" s="26"/>
      <c r="AI173" s="26"/>
      <c r="AJ173" s="26"/>
    </row>
    <row r="174" spans="1:36" s="33" customFormat="1" x14ac:dyDescent="0.2">
      <c r="A174" s="32">
        <v>40269</v>
      </c>
      <c r="B174" s="45">
        <v>88866064.249339506</v>
      </c>
      <c r="C174" s="17">
        <v>587674</v>
      </c>
      <c r="D174" s="17">
        <f>'Load Transfers'!C61</f>
        <v>-96502.18</v>
      </c>
      <c r="E174" s="26">
        <f t="shared" si="4"/>
        <v>89357236.069339499</v>
      </c>
      <c r="F174" s="313">
        <v>253.2</v>
      </c>
      <c r="G174" s="313">
        <v>0</v>
      </c>
      <c r="H174" s="35">
        <v>136.32591055056764</v>
      </c>
      <c r="I174" s="17">
        <v>30</v>
      </c>
      <c r="J174" s="17">
        <f>'CDM Activity'!H71</f>
        <v>949283.65892429871</v>
      </c>
      <c r="K174" s="17">
        <v>1</v>
      </c>
      <c r="L174" s="45">
        <v>134044.95186666635</v>
      </c>
      <c r="M174" s="318">
        <v>320</v>
      </c>
      <c r="N174" s="75">
        <v>1109506.9805606694</v>
      </c>
      <c r="O174" s="9">
        <f t="shared" si="5"/>
        <v>93034421.826622888</v>
      </c>
      <c r="P174" s="22"/>
      <c r="Q174" s="22"/>
      <c r="AB174" s="26"/>
      <c r="AC174" s="26"/>
      <c r="AD174" s="26"/>
      <c r="AE174" s="26"/>
      <c r="AF174" s="26"/>
      <c r="AG174" s="26"/>
      <c r="AH174" s="26"/>
      <c r="AI174" s="26"/>
      <c r="AJ174" s="26"/>
    </row>
    <row r="175" spans="1:36" s="33" customFormat="1" x14ac:dyDescent="0.2">
      <c r="A175" s="32">
        <v>40299</v>
      </c>
      <c r="B175" s="45">
        <v>97708833.326951802</v>
      </c>
      <c r="C175" s="17">
        <v>438525</v>
      </c>
      <c r="D175" s="17">
        <f>'Load Transfers'!C62</f>
        <v>-96502.18</v>
      </c>
      <c r="E175" s="26">
        <f t="shared" si="4"/>
        <v>98050856.146951795</v>
      </c>
      <c r="F175" s="313">
        <v>129.4</v>
      </c>
      <c r="G175" s="313">
        <v>22.4</v>
      </c>
      <c r="H175" s="35">
        <v>136.63264384930642</v>
      </c>
      <c r="I175" s="17">
        <v>31</v>
      </c>
      <c r="J175" s="17">
        <f>'CDM Activity'!H72</f>
        <v>956459.98239522299</v>
      </c>
      <c r="K175" s="17">
        <v>1</v>
      </c>
      <c r="L175" s="45">
        <v>134089.40859999968</v>
      </c>
      <c r="M175" s="318">
        <v>320</v>
      </c>
      <c r="N175" s="75">
        <v>1109506.9805606694</v>
      </c>
      <c r="O175" s="9">
        <f t="shared" si="5"/>
        <v>97464069.43806012</v>
      </c>
      <c r="P175" s="22"/>
      <c r="Q175" s="22"/>
      <c r="AB175" s="26"/>
      <c r="AC175" s="26"/>
      <c r="AD175" s="26"/>
      <c r="AE175" s="26"/>
      <c r="AF175" s="26"/>
      <c r="AG175" s="26"/>
      <c r="AH175" s="26"/>
      <c r="AI175" s="26"/>
      <c r="AJ175" s="26"/>
    </row>
    <row r="176" spans="1:36" s="33" customFormat="1" x14ac:dyDescent="0.2">
      <c r="A176" s="32">
        <v>40330</v>
      </c>
      <c r="B176" s="45">
        <v>106489650.41926716</v>
      </c>
      <c r="C176" s="17">
        <v>575982</v>
      </c>
      <c r="D176" s="17">
        <f>'Load Transfers'!C63</f>
        <v>-96502.18</v>
      </c>
      <c r="E176" s="26">
        <f t="shared" si="4"/>
        <v>106969130.23926716</v>
      </c>
      <c r="F176" s="313">
        <v>15</v>
      </c>
      <c r="G176" s="313">
        <v>60.6</v>
      </c>
      <c r="H176" s="35">
        <v>136.94006729796735</v>
      </c>
      <c r="I176" s="17">
        <v>30</v>
      </c>
      <c r="J176" s="17">
        <f>'CDM Activity'!H73</f>
        <v>963636.30586614728</v>
      </c>
      <c r="K176" s="17">
        <v>0</v>
      </c>
      <c r="L176" s="45">
        <v>134133.865333333</v>
      </c>
      <c r="M176" s="318">
        <v>352</v>
      </c>
      <c r="N176" s="75">
        <v>1109506.9805606694</v>
      </c>
      <c r="O176" s="9">
        <f t="shared" si="5"/>
        <v>104483413.43148695</v>
      </c>
      <c r="P176" s="22"/>
      <c r="Q176" s="22"/>
      <c r="AB176" s="26"/>
      <c r="AC176" s="26"/>
      <c r="AD176" s="26"/>
      <c r="AE176" s="26"/>
      <c r="AF176" s="26"/>
      <c r="AG176" s="26"/>
      <c r="AH176" s="26"/>
      <c r="AI176" s="26"/>
      <c r="AJ176" s="26"/>
    </row>
    <row r="177" spans="1:36" s="33" customFormat="1" x14ac:dyDescent="0.2">
      <c r="A177" s="32">
        <v>40360</v>
      </c>
      <c r="B177" s="45">
        <v>129819711.29915383</v>
      </c>
      <c r="C177" s="17">
        <v>468792</v>
      </c>
      <c r="D177" s="17">
        <f>'Load Transfers'!C64</f>
        <v>-96502.18</v>
      </c>
      <c r="E177" s="26">
        <f t="shared" si="4"/>
        <v>130192001.11915383</v>
      </c>
      <c r="F177" s="313">
        <v>1.9</v>
      </c>
      <c r="G177" s="313">
        <v>174.6</v>
      </c>
      <c r="H177" s="35">
        <v>137.24818244938777</v>
      </c>
      <c r="I177" s="17">
        <v>31</v>
      </c>
      <c r="J177" s="17">
        <f>'CDM Activity'!H74</f>
        <v>970812.62933707156</v>
      </c>
      <c r="K177" s="17">
        <v>0</v>
      </c>
      <c r="L177" s="45">
        <v>134178.32206666633</v>
      </c>
      <c r="M177" s="318">
        <v>336</v>
      </c>
      <c r="N177" s="75">
        <v>1109506.9805606694</v>
      </c>
      <c r="O177" s="9">
        <f t="shared" si="5"/>
        <v>129149267.18744504</v>
      </c>
      <c r="P177" s="22"/>
      <c r="Q177" s="22"/>
      <c r="AB177" s="26"/>
      <c r="AC177" s="26"/>
      <c r="AD177" s="26"/>
      <c r="AE177" s="26"/>
      <c r="AF177" s="26"/>
      <c r="AG177" s="26"/>
      <c r="AH177" s="26"/>
      <c r="AI177" s="26"/>
      <c r="AJ177" s="26"/>
    </row>
    <row r="178" spans="1:36" s="33" customFormat="1" x14ac:dyDescent="0.2">
      <c r="A178" s="32">
        <v>40391</v>
      </c>
      <c r="B178" s="45">
        <v>125064295.28659494</v>
      </c>
      <c r="C178" s="17">
        <v>467603</v>
      </c>
      <c r="D178" s="17">
        <f>'Load Transfers'!C65</f>
        <v>-96502.18</v>
      </c>
      <c r="E178" s="26">
        <f t="shared" si="4"/>
        <v>125435396.10659494</v>
      </c>
      <c r="F178" s="313">
        <v>1.4</v>
      </c>
      <c r="G178" s="313">
        <v>145.69999999999999</v>
      </c>
      <c r="H178" s="35">
        <v>137.55699085989889</v>
      </c>
      <c r="I178" s="17">
        <v>31</v>
      </c>
      <c r="J178" s="17">
        <f>'CDM Activity'!H75</f>
        <v>977988.95280799584</v>
      </c>
      <c r="K178" s="17">
        <v>0</v>
      </c>
      <c r="L178" s="45">
        <v>134222.77879999965</v>
      </c>
      <c r="M178" s="318">
        <v>336</v>
      </c>
      <c r="N178" s="75">
        <v>1109506.9805606694</v>
      </c>
      <c r="O178" s="9">
        <f t="shared" si="5"/>
        <v>123698999.63435405</v>
      </c>
      <c r="P178" s="22"/>
      <c r="Q178" s="22"/>
      <c r="AB178" s="26"/>
      <c r="AC178" s="26"/>
      <c r="AD178" s="26"/>
      <c r="AE178" s="26"/>
      <c r="AF178" s="26"/>
      <c r="AG178" s="26"/>
      <c r="AH178" s="26"/>
      <c r="AI178" s="26"/>
      <c r="AJ178" s="26"/>
    </row>
    <row r="179" spans="1:36" s="33" customFormat="1" x14ac:dyDescent="0.2">
      <c r="A179" s="32">
        <v>40422</v>
      </c>
      <c r="B179" s="45">
        <v>98983964.467588171</v>
      </c>
      <c r="C179" s="17">
        <v>627245</v>
      </c>
      <c r="D179" s="17">
        <f>'Load Transfers'!C66</f>
        <v>-96502.18</v>
      </c>
      <c r="E179" s="26">
        <f t="shared" si="4"/>
        <v>99514707.287588164</v>
      </c>
      <c r="F179" s="313">
        <v>54.4</v>
      </c>
      <c r="G179" s="313">
        <v>40.200000000000003</v>
      </c>
      <c r="H179" s="35">
        <v>137.86649408933366</v>
      </c>
      <c r="I179" s="17">
        <v>30</v>
      </c>
      <c r="J179" s="17">
        <f>'CDM Activity'!H76</f>
        <v>985165.27627892012</v>
      </c>
      <c r="K179" s="17">
        <v>1</v>
      </c>
      <c r="L179" s="45">
        <v>134267.23553333298</v>
      </c>
      <c r="M179" s="318">
        <v>336</v>
      </c>
      <c r="N179" s="75">
        <v>1109506.9805606694</v>
      </c>
      <c r="O179" s="9">
        <f t="shared" si="5"/>
        <v>96661149.281536475</v>
      </c>
      <c r="P179" s="22"/>
      <c r="Q179" s="22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1:36" s="33" customFormat="1" x14ac:dyDescent="0.2">
      <c r="A180" s="32">
        <v>40452</v>
      </c>
      <c r="B180" s="45">
        <v>93865160.623348787</v>
      </c>
      <c r="C180" s="17">
        <v>384107</v>
      </c>
      <c r="D180" s="17">
        <f>'Load Transfers'!C67</f>
        <v>-96502.18</v>
      </c>
      <c r="E180" s="26">
        <f t="shared" si="4"/>
        <v>94152765.44334878</v>
      </c>
      <c r="F180" s="313">
        <v>218.2</v>
      </c>
      <c r="G180" s="313">
        <v>0.5</v>
      </c>
      <c r="H180" s="35">
        <v>138.17669370103465</v>
      </c>
      <c r="I180" s="17">
        <v>31</v>
      </c>
      <c r="J180" s="17">
        <f>'CDM Activity'!H77</f>
        <v>992341.5997498444</v>
      </c>
      <c r="K180" s="17">
        <v>1</v>
      </c>
      <c r="L180" s="45">
        <v>134311.6922666663</v>
      </c>
      <c r="M180" s="318">
        <v>320</v>
      </c>
      <c r="N180" s="75">
        <v>1109506.9805606694</v>
      </c>
      <c r="O180" s="9">
        <f t="shared" si="5"/>
        <v>95951706.934221953</v>
      </c>
      <c r="P180" s="22"/>
      <c r="Q180" s="22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:36" s="33" customFormat="1" x14ac:dyDescent="0.2">
      <c r="A181" s="32">
        <v>40483</v>
      </c>
      <c r="B181" s="45">
        <v>96656392.388099715</v>
      </c>
      <c r="C181" s="17">
        <v>560522</v>
      </c>
      <c r="D181" s="17">
        <f>'Load Transfers'!C68</f>
        <v>-96502.18</v>
      </c>
      <c r="E181" s="26">
        <f t="shared" si="4"/>
        <v>97120412.208099708</v>
      </c>
      <c r="F181" s="313">
        <v>346.59999999999997</v>
      </c>
      <c r="G181" s="313">
        <v>0</v>
      </c>
      <c r="H181" s="35">
        <v>138.48759126186198</v>
      </c>
      <c r="I181" s="17">
        <v>30</v>
      </c>
      <c r="J181" s="17">
        <f>'CDM Activity'!H78</f>
        <v>999517.92322076869</v>
      </c>
      <c r="K181" s="17">
        <v>1</v>
      </c>
      <c r="L181" s="45">
        <v>134356.14899999963</v>
      </c>
      <c r="M181" s="318">
        <v>336</v>
      </c>
      <c r="N181" s="75">
        <v>1109506.9805606694</v>
      </c>
      <c r="O181" s="9">
        <f t="shared" si="5"/>
        <v>96082427.680243686</v>
      </c>
      <c r="P181" s="22"/>
      <c r="Q181" s="22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:36" s="33" customFormat="1" x14ac:dyDescent="0.2">
      <c r="A182" s="32">
        <v>40513</v>
      </c>
      <c r="B182" s="45">
        <v>111304958.45617798</v>
      </c>
      <c r="C182" s="17">
        <v>686277</v>
      </c>
      <c r="D182" s="17">
        <f>'Load Transfers'!C69</f>
        <v>-96502.18</v>
      </c>
      <c r="E182" s="26">
        <f t="shared" si="4"/>
        <v>111894733.27617797</v>
      </c>
      <c r="F182" s="313">
        <v>600.5</v>
      </c>
      <c r="G182" s="313">
        <v>0</v>
      </c>
      <c r="H182" s="35">
        <v>138.79918834220118</v>
      </c>
      <c r="I182" s="17">
        <v>31</v>
      </c>
      <c r="J182" s="17">
        <f>'CDM Activity'!H79</f>
        <v>1003106.0849562308</v>
      </c>
      <c r="K182" s="17">
        <v>0</v>
      </c>
      <c r="L182" s="45">
        <v>134400.60573333295</v>
      </c>
      <c r="M182" s="318">
        <v>368</v>
      </c>
      <c r="N182" s="75">
        <v>1109506.9805606694</v>
      </c>
      <c r="O182" s="9">
        <f t="shared" si="5"/>
        <v>110349419.76277205</v>
      </c>
      <c r="P182" s="22"/>
      <c r="Q182" s="22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:36" x14ac:dyDescent="0.2">
      <c r="A183" s="2">
        <v>40544</v>
      </c>
      <c r="B183" s="45">
        <v>113431519.69981238</v>
      </c>
      <c r="C183" s="17">
        <v>490789</v>
      </c>
      <c r="D183" s="17">
        <f>'Load Transfers'!C70</f>
        <v>-92423.550833333342</v>
      </c>
      <c r="E183" s="26">
        <f t="shared" si="4"/>
        <v>113829885.14897905</v>
      </c>
      <c r="F183" s="313">
        <v>678</v>
      </c>
      <c r="G183" s="313">
        <v>0</v>
      </c>
      <c r="H183" s="35">
        <v>139.24242175768998</v>
      </c>
      <c r="I183" s="9">
        <v>31</v>
      </c>
      <c r="J183" s="17">
        <f>'CDM Activity'!H80</f>
        <v>1014756.7215951636</v>
      </c>
      <c r="K183" s="9">
        <v>0</v>
      </c>
      <c r="L183" s="45">
        <v>134445.06246666628</v>
      </c>
      <c r="M183" s="318">
        <v>320</v>
      </c>
      <c r="N183" s="75">
        <v>1169147.068243552</v>
      </c>
      <c r="O183" s="9">
        <f t="shared" si="5"/>
        <v>112321926.22678739</v>
      </c>
    </row>
    <row r="184" spans="1:36" x14ac:dyDescent="0.2">
      <c r="A184" s="2">
        <v>40575</v>
      </c>
      <c r="B184" s="45">
        <v>101615468.85170579</v>
      </c>
      <c r="C184" s="17">
        <v>597207</v>
      </c>
      <c r="D184" s="17">
        <f>'Load Transfers'!C71</f>
        <v>-92423.550833333342</v>
      </c>
      <c r="E184" s="26">
        <f t="shared" si="4"/>
        <v>102120252.30087246</v>
      </c>
      <c r="F184" s="313">
        <v>578.5</v>
      </c>
      <c r="G184" s="313">
        <v>0</v>
      </c>
      <c r="H184" s="35">
        <v>139.45097256411688</v>
      </c>
      <c r="I184" s="9">
        <v>28</v>
      </c>
      <c r="J184" s="17">
        <f>'CDM Activity'!H81</f>
        <v>1038057.9948730291</v>
      </c>
      <c r="K184" s="9">
        <v>0</v>
      </c>
      <c r="L184" s="45">
        <v>134489.5191999996</v>
      </c>
      <c r="M184" s="318">
        <v>304</v>
      </c>
      <c r="N184" s="75">
        <v>1169147.068243552</v>
      </c>
      <c r="O184" s="9">
        <f t="shared" si="5"/>
        <v>101177386.04197714</v>
      </c>
    </row>
    <row r="185" spans="1:36" x14ac:dyDescent="0.2">
      <c r="A185" s="2">
        <v>40603</v>
      </c>
      <c r="B185" s="45">
        <v>105339679.13619483</v>
      </c>
      <c r="C185" s="17">
        <v>1602527</v>
      </c>
      <c r="D185" s="17">
        <f>'Load Transfers'!C72</f>
        <v>-92423.550833333342</v>
      </c>
      <c r="E185" s="26">
        <f t="shared" si="4"/>
        <v>106849782.5853615</v>
      </c>
      <c r="F185" s="313">
        <v>527</v>
      </c>
      <c r="G185" s="313">
        <v>0</v>
      </c>
      <c r="H185" s="35">
        <v>139.65952337054378</v>
      </c>
      <c r="I185" s="9">
        <v>31</v>
      </c>
      <c r="J185" s="17">
        <f>'CDM Activity'!H82</f>
        <v>1061359.2681508944</v>
      </c>
      <c r="K185" s="9">
        <v>1</v>
      </c>
      <c r="L185" s="45">
        <v>134533.97593333293</v>
      </c>
      <c r="M185" s="318">
        <v>368</v>
      </c>
      <c r="N185" s="75">
        <v>1169147.068243552</v>
      </c>
      <c r="O185" s="9">
        <f t="shared" si="5"/>
        <v>103563676.24494588</v>
      </c>
    </row>
    <row r="186" spans="1:36" x14ac:dyDescent="0.2">
      <c r="A186" s="2">
        <v>40634</v>
      </c>
      <c r="B186" s="45">
        <v>93360768.847876877</v>
      </c>
      <c r="C186" s="17">
        <v>818684</v>
      </c>
      <c r="D186" s="17">
        <f>'Load Transfers'!C73</f>
        <v>-92423.550833333342</v>
      </c>
      <c r="E186" s="26">
        <f t="shared" si="4"/>
        <v>94087029.297043547</v>
      </c>
      <c r="F186" s="313">
        <v>342.6</v>
      </c>
      <c r="G186" s="313">
        <v>0</v>
      </c>
      <c r="H186" s="35">
        <v>139.86807417697068</v>
      </c>
      <c r="I186" s="9">
        <v>30</v>
      </c>
      <c r="J186" s="17">
        <f>'CDM Activity'!H83</f>
        <v>1084660.5414287599</v>
      </c>
      <c r="K186" s="9">
        <v>1</v>
      </c>
      <c r="L186" s="45">
        <v>134578.43266666625</v>
      </c>
      <c r="M186" s="318">
        <v>320</v>
      </c>
      <c r="N186" s="75">
        <v>1169147.068243552</v>
      </c>
      <c r="O186" s="9">
        <f t="shared" si="5"/>
        <v>96272661.187070355</v>
      </c>
    </row>
    <row r="187" spans="1:36" x14ac:dyDescent="0.2">
      <c r="A187" s="2">
        <v>40664</v>
      </c>
      <c r="B187" s="45">
        <v>94535390.741662517</v>
      </c>
      <c r="C187" s="17">
        <v>868682</v>
      </c>
      <c r="D187" s="17">
        <f>'Load Transfers'!C74</f>
        <v>-92423.550833333342</v>
      </c>
      <c r="E187" s="26">
        <f t="shared" si="4"/>
        <v>95311649.190829188</v>
      </c>
      <c r="F187" s="313">
        <v>187.1</v>
      </c>
      <c r="G187" s="313">
        <v>4.0999999999999996</v>
      </c>
      <c r="H187" s="35">
        <v>140.07662498339758</v>
      </c>
      <c r="I187" s="9">
        <v>31</v>
      </c>
      <c r="J187" s="17">
        <f>'CDM Activity'!H84</f>
        <v>1107961.8147066254</v>
      </c>
      <c r="K187" s="9">
        <v>1</v>
      </c>
      <c r="L187" s="45">
        <v>134622.88939999958</v>
      </c>
      <c r="M187" s="318">
        <v>320</v>
      </c>
      <c r="N187" s="75">
        <v>1169147.068243552</v>
      </c>
      <c r="O187" s="9">
        <f t="shared" si="5"/>
        <v>96315688.707999751</v>
      </c>
    </row>
    <row r="188" spans="1:36" x14ac:dyDescent="0.2">
      <c r="A188" s="2">
        <v>40695</v>
      </c>
      <c r="B188" s="45">
        <v>103622682.54393689</v>
      </c>
      <c r="C188" s="17">
        <v>951129</v>
      </c>
      <c r="D188" s="17">
        <f>'Load Transfers'!C75</f>
        <v>-92423.550833333342</v>
      </c>
      <c r="E188" s="26">
        <f t="shared" si="4"/>
        <v>104481387.99310356</v>
      </c>
      <c r="F188" s="313">
        <v>21.9</v>
      </c>
      <c r="G188" s="313">
        <v>41.8</v>
      </c>
      <c r="H188" s="35">
        <v>140.28517578982448</v>
      </c>
      <c r="I188" s="9">
        <v>30</v>
      </c>
      <c r="J188" s="17">
        <f>'CDM Activity'!H85</f>
        <v>1131263.0879844909</v>
      </c>
      <c r="K188" s="9">
        <v>0</v>
      </c>
      <c r="L188" s="45">
        <v>134667.3461333329</v>
      </c>
      <c r="M188" s="318">
        <v>352</v>
      </c>
      <c r="N188" s="75">
        <v>1169147.068243552</v>
      </c>
      <c r="O188" s="9">
        <f t="shared" si="5"/>
        <v>101919787.05911647</v>
      </c>
    </row>
    <row r="189" spans="1:36" x14ac:dyDescent="0.2">
      <c r="A189" s="2">
        <v>40725</v>
      </c>
      <c r="B189" s="45">
        <v>131926637.82210821</v>
      </c>
      <c r="C189" s="17">
        <v>481410</v>
      </c>
      <c r="D189" s="17">
        <f>'Load Transfers'!C76</f>
        <v>-92423.550833333342</v>
      </c>
      <c r="E189" s="26">
        <f t="shared" si="4"/>
        <v>132315624.27127488</v>
      </c>
      <c r="F189" s="313">
        <v>0</v>
      </c>
      <c r="G189" s="313">
        <v>196.9</v>
      </c>
      <c r="H189" s="35">
        <v>140.49372659625138</v>
      </c>
      <c r="I189" s="9">
        <v>31</v>
      </c>
      <c r="J189" s="17">
        <f>'CDM Activity'!H86</f>
        <v>1154564.3612623564</v>
      </c>
      <c r="K189" s="9">
        <v>0</v>
      </c>
      <c r="L189" s="45">
        <v>134711.80286666623</v>
      </c>
      <c r="M189" s="318">
        <v>336</v>
      </c>
      <c r="N189" s="75">
        <v>1169147.068243552</v>
      </c>
      <c r="O189" s="9">
        <f t="shared" si="5"/>
        <v>134164483.57910432</v>
      </c>
    </row>
    <row r="190" spans="1:36" x14ac:dyDescent="0.2">
      <c r="A190" s="2">
        <v>40756</v>
      </c>
      <c r="B190" s="45">
        <v>120223938.43090709</v>
      </c>
      <c r="C190" s="17">
        <v>847595</v>
      </c>
      <c r="D190" s="17">
        <f>'Load Transfers'!C77</f>
        <v>-92423.550833333342</v>
      </c>
      <c r="E190" s="26">
        <f t="shared" si="4"/>
        <v>120979109.88007376</v>
      </c>
      <c r="F190" s="313">
        <v>0</v>
      </c>
      <c r="G190" s="313">
        <v>146.30000000000001</v>
      </c>
      <c r="H190" s="35">
        <v>140.70227740267828</v>
      </c>
      <c r="I190" s="9">
        <v>31</v>
      </c>
      <c r="J190" s="17">
        <f>'CDM Activity'!H87</f>
        <v>1177865.6345402219</v>
      </c>
      <c r="K190" s="9">
        <v>0</v>
      </c>
      <c r="L190" s="45">
        <v>134756.25959999955</v>
      </c>
      <c r="M190" s="318">
        <v>336</v>
      </c>
      <c r="N190" s="75">
        <v>1169147.068243552</v>
      </c>
      <c r="O190" s="9">
        <f t="shared" si="5"/>
        <v>124434721.14122561</v>
      </c>
    </row>
    <row r="191" spans="1:36" x14ac:dyDescent="0.2">
      <c r="A191" s="2">
        <v>40787</v>
      </c>
      <c r="B191" s="45">
        <v>100218738.75253668</v>
      </c>
      <c r="C191" s="17">
        <v>1330377</v>
      </c>
      <c r="D191" s="17">
        <f>'Load Transfers'!C78</f>
        <v>-92423.550833333342</v>
      </c>
      <c r="E191" s="26">
        <f t="shared" si="4"/>
        <v>101456692.20170335</v>
      </c>
      <c r="F191" s="313">
        <v>26.9</v>
      </c>
      <c r="G191" s="313">
        <v>39.9</v>
      </c>
      <c r="H191" s="35">
        <v>140.91082820910518</v>
      </c>
      <c r="I191" s="9">
        <v>30</v>
      </c>
      <c r="J191" s="17">
        <f>'CDM Activity'!H88</f>
        <v>1201166.9078180874</v>
      </c>
      <c r="K191" s="9">
        <v>1</v>
      </c>
      <c r="L191" s="45">
        <v>134800.71633333288</v>
      </c>
      <c r="M191" s="318">
        <v>336</v>
      </c>
      <c r="N191" s="75">
        <v>1169147.068243552</v>
      </c>
      <c r="O191" s="9">
        <f t="shared" si="5"/>
        <v>96488313.51462923</v>
      </c>
    </row>
    <row r="192" spans="1:36" x14ac:dyDescent="0.2">
      <c r="A192" s="2">
        <v>40817</v>
      </c>
      <c r="B192" s="45">
        <v>94403706.398131505</v>
      </c>
      <c r="C192" s="17">
        <v>890902</v>
      </c>
      <c r="D192" s="17">
        <f>'Load Transfers'!C79</f>
        <v>-92423.550833333342</v>
      </c>
      <c r="E192" s="26">
        <f t="shared" si="4"/>
        <v>95202184.847298175</v>
      </c>
      <c r="F192" s="313">
        <v>184.9</v>
      </c>
      <c r="G192" s="313">
        <v>4.2</v>
      </c>
      <c r="H192" s="35">
        <v>141.11937901553208</v>
      </c>
      <c r="I192" s="9">
        <v>31</v>
      </c>
      <c r="J192" s="17">
        <f>'CDM Activity'!H89</f>
        <v>1224468.1810959529</v>
      </c>
      <c r="K192" s="9">
        <v>1</v>
      </c>
      <c r="L192" s="45">
        <v>134845.1730666662</v>
      </c>
      <c r="M192" s="318">
        <v>320</v>
      </c>
      <c r="N192" s="75">
        <v>1169147.068243552</v>
      </c>
      <c r="O192" s="9">
        <f t="shared" si="5"/>
        <v>96292694.018998057</v>
      </c>
    </row>
    <row r="193" spans="1:15" x14ac:dyDescent="0.2">
      <c r="A193" s="2">
        <v>40848</v>
      </c>
      <c r="B193" s="45">
        <v>93722004.824443862</v>
      </c>
      <c r="C193" s="17">
        <v>809920</v>
      </c>
      <c r="D193" s="17">
        <f>'Load Transfers'!C80</f>
        <v>-92423.550833333342</v>
      </c>
      <c r="E193" s="26">
        <f t="shared" si="4"/>
        <v>94439501.273610532</v>
      </c>
      <c r="F193" s="313">
        <v>284.89999999999998</v>
      </c>
      <c r="G193" s="313">
        <v>0</v>
      </c>
      <c r="H193" s="35">
        <v>141.32792982195897</v>
      </c>
      <c r="I193" s="9">
        <v>30</v>
      </c>
      <c r="J193" s="17">
        <f>'CDM Activity'!H90</f>
        <v>1247769.4543738184</v>
      </c>
      <c r="K193" s="9">
        <v>1</v>
      </c>
      <c r="L193" s="45">
        <v>134889.62979999953</v>
      </c>
      <c r="M193" s="318">
        <v>336</v>
      </c>
      <c r="N193" s="75">
        <v>1169147.068243552</v>
      </c>
      <c r="O193" s="9">
        <f t="shared" si="5"/>
        <v>94921487.868665785</v>
      </c>
    </row>
    <row r="194" spans="1:15" x14ac:dyDescent="0.2">
      <c r="A194" s="2">
        <v>40878</v>
      </c>
      <c r="B194" s="45">
        <v>104372806.98395683</v>
      </c>
      <c r="C194" s="17">
        <v>958180</v>
      </c>
      <c r="D194" s="17">
        <f>'Load Transfers'!C81</f>
        <v>-92423.550833333342</v>
      </c>
      <c r="E194" s="26">
        <f t="shared" si="4"/>
        <v>105238563.4331235</v>
      </c>
      <c r="F194" s="313">
        <v>463.7</v>
      </c>
      <c r="G194" s="313">
        <v>0</v>
      </c>
      <c r="H194" s="35">
        <v>141.53648062838582</v>
      </c>
      <c r="I194" s="9">
        <v>31</v>
      </c>
      <c r="J194" s="17">
        <f>'CDM Activity'!H91</f>
        <v>1259420.091012751</v>
      </c>
      <c r="K194" s="9">
        <v>0</v>
      </c>
      <c r="L194" s="45">
        <v>134934.08653333285</v>
      </c>
      <c r="M194" s="318">
        <v>368</v>
      </c>
      <c r="N194" s="75">
        <v>1169147.068243552</v>
      </c>
      <c r="O194" s="9">
        <f t="shared" si="5"/>
        <v>107336047.70678487</v>
      </c>
    </row>
    <row r="195" spans="1:15" x14ac:dyDescent="0.2">
      <c r="A195" s="2">
        <v>40909</v>
      </c>
      <c r="B195" s="45">
        <v>108352391.16284414</v>
      </c>
      <c r="C195" s="17">
        <v>950033</v>
      </c>
      <c r="D195" s="17">
        <f>'Load Transfers'!C82</f>
        <v>-78845.693333333315</v>
      </c>
      <c r="E195" s="26">
        <f t="shared" ref="E195:E242" si="6">B195+D195+C195</f>
        <v>109223578.46951081</v>
      </c>
      <c r="F195" s="313">
        <v>554.4</v>
      </c>
      <c r="G195" s="313">
        <v>0</v>
      </c>
      <c r="H195" s="35">
        <v>141.72519593589033</v>
      </c>
      <c r="I195" s="9">
        <v>31</v>
      </c>
      <c r="J195" s="17">
        <f>'CDM Activity'!K68</f>
        <v>1276419.4670458683</v>
      </c>
      <c r="K195" s="9">
        <v>0</v>
      </c>
      <c r="L195" s="45">
        <v>134978.54326666618</v>
      </c>
      <c r="M195" s="318">
        <v>320</v>
      </c>
      <c r="N195" s="75">
        <v>0</v>
      </c>
      <c r="O195" s="9">
        <f t="shared" si="5"/>
        <v>109510645.19685285</v>
      </c>
    </row>
    <row r="196" spans="1:15" x14ac:dyDescent="0.2">
      <c r="A196" s="2">
        <v>40940</v>
      </c>
      <c r="B196" s="45">
        <v>98705241.796531007</v>
      </c>
      <c r="C196" s="17">
        <v>947209</v>
      </c>
      <c r="D196" s="17">
        <f>'Load Transfers'!C83</f>
        <v>-78845.693333333315</v>
      </c>
      <c r="E196" s="26">
        <f t="shared" si="6"/>
        <v>99573605.103197679</v>
      </c>
      <c r="F196" s="313">
        <v>482.4</v>
      </c>
      <c r="G196" s="313">
        <v>0</v>
      </c>
      <c r="H196" s="35">
        <v>141.91391124339484</v>
      </c>
      <c r="I196" s="9">
        <v>29</v>
      </c>
      <c r="J196" s="17">
        <f>'CDM Activity'!K69</f>
        <v>1310418.2191121029</v>
      </c>
      <c r="K196" s="9">
        <v>0</v>
      </c>
      <c r="L196" s="45">
        <v>135023</v>
      </c>
      <c r="M196" s="318">
        <v>304</v>
      </c>
      <c r="N196" s="75">
        <v>0</v>
      </c>
      <c r="O196" s="9">
        <f t="shared" ref="O196:O242" si="7">$S$18+F196*$S$19+G196*$S$20+H196*$S$21+I196*$S$22+J196*$S$23+K196*$S$24+L196*$S$25</f>
        <v>101884378.7889736</v>
      </c>
    </row>
    <row r="197" spans="1:15" x14ac:dyDescent="0.2">
      <c r="A197" s="2">
        <v>40969</v>
      </c>
      <c r="B197" s="45">
        <v>96296940.689972058</v>
      </c>
      <c r="C197" s="17">
        <v>722234</v>
      </c>
      <c r="D197" s="17">
        <f>'Load Transfers'!C84</f>
        <v>-78845.693333333315</v>
      </c>
      <c r="E197" s="26">
        <f t="shared" si="6"/>
        <v>96940328.99663873</v>
      </c>
      <c r="F197" s="313">
        <v>366.7</v>
      </c>
      <c r="G197" s="313">
        <v>0</v>
      </c>
      <c r="H197" s="35">
        <v>142.10262655089934</v>
      </c>
      <c r="I197" s="9">
        <v>31</v>
      </c>
      <c r="J197" s="17">
        <f>'CDM Activity'!K70</f>
        <v>1344416.9711783375</v>
      </c>
      <c r="K197" s="9">
        <v>1</v>
      </c>
      <c r="L197" s="45">
        <v>135068.79612399862</v>
      </c>
      <c r="M197" s="318">
        <v>368</v>
      </c>
      <c r="N197" s="75">
        <v>0</v>
      </c>
      <c r="O197" s="9">
        <f t="shared" si="7"/>
        <v>99759652.371627748</v>
      </c>
    </row>
    <row r="198" spans="1:15" x14ac:dyDescent="0.2">
      <c r="A198" s="2">
        <v>41000</v>
      </c>
      <c r="B198" s="45">
        <v>89872581.077459142</v>
      </c>
      <c r="C198" s="17">
        <v>601702</v>
      </c>
      <c r="D198" s="17">
        <f>'Load Transfers'!C85</f>
        <v>-78845.693333333315</v>
      </c>
      <c r="E198" s="26">
        <f t="shared" si="6"/>
        <v>90395437.384125814</v>
      </c>
      <c r="F198" s="313">
        <v>296.3</v>
      </c>
      <c r="G198" s="313">
        <v>0</v>
      </c>
      <c r="H198" s="35">
        <v>142.29134185840385</v>
      </c>
      <c r="I198" s="9">
        <v>30</v>
      </c>
      <c r="J198" s="17">
        <f>'CDM Activity'!K71</f>
        <v>1378415.7232445721</v>
      </c>
      <c r="K198" s="9">
        <v>1</v>
      </c>
      <c r="L198" s="45">
        <v>135114.59224799724</v>
      </c>
      <c r="M198" s="318">
        <v>320</v>
      </c>
      <c r="N198" s="75">
        <v>0</v>
      </c>
      <c r="O198" s="9">
        <f t="shared" si="7"/>
        <v>95103935.485320091</v>
      </c>
    </row>
    <row r="199" spans="1:15" x14ac:dyDescent="0.2">
      <c r="A199" s="2">
        <v>41030</v>
      </c>
      <c r="B199" s="45">
        <v>98707869.134349957</v>
      </c>
      <c r="C199" s="17">
        <v>1571841</v>
      </c>
      <c r="D199" s="17">
        <f>'Load Transfers'!C86</f>
        <v>-78845.693333333315</v>
      </c>
      <c r="E199" s="26">
        <f t="shared" si="6"/>
        <v>100200864.44101663</v>
      </c>
      <c r="F199" s="313">
        <v>99.5</v>
      </c>
      <c r="G199" s="313">
        <v>22.4</v>
      </c>
      <c r="H199" s="35">
        <v>142.48005716590836</v>
      </c>
      <c r="I199" s="9">
        <v>31</v>
      </c>
      <c r="J199" s="17">
        <f>'CDM Activity'!K72</f>
        <v>1412414.4753108067</v>
      </c>
      <c r="K199" s="9">
        <v>1</v>
      </c>
      <c r="L199" s="45">
        <v>135160.38837199585</v>
      </c>
      <c r="M199" s="318">
        <v>320</v>
      </c>
      <c r="N199" s="75">
        <v>0</v>
      </c>
      <c r="O199" s="9">
        <f t="shared" si="7"/>
        <v>97628162.398885891</v>
      </c>
    </row>
    <row r="200" spans="1:15" x14ac:dyDescent="0.2">
      <c r="A200" s="2">
        <v>41061</v>
      </c>
      <c r="B200" s="45">
        <v>109390922.66618399</v>
      </c>
      <c r="C200" s="17">
        <v>1115019</v>
      </c>
      <c r="D200" s="17">
        <f>'Load Transfers'!C87</f>
        <v>-78845.693333333315</v>
      </c>
      <c r="E200" s="26">
        <f t="shared" si="6"/>
        <v>110427095.97285067</v>
      </c>
      <c r="F200" s="313">
        <v>18.899999999999999</v>
      </c>
      <c r="G200" s="313">
        <v>105.6</v>
      </c>
      <c r="H200" s="35">
        <v>142.66877247341287</v>
      </c>
      <c r="I200" s="9">
        <v>30</v>
      </c>
      <c r="J200" s="17">
        <f>'CDM Activity'!K73</f>
        <v>1446413.2273770412</v>
      </c>
      <c r="K200" s="9">
        <v>0</v>
      </c>
      <c r="L200" s="45">
        <v>135206.18449599447</v>
      </c>
      <c r="M200" s="318">
        <v>352</v>
      </c>
      <c r="N200" s="75">
        <v>0</v>
      </c>
      <c r="O200" s="9">
        <f t="shared" si="7"/>
        <v>113922951.45663932</v>
      </c>
    </row>
    <row r="201" spans="1:15" x14ac:dyDescent="0.2">
      <c r="A201" s="2">
        <v>41091</v>
      </c>
      <c r="B201" s="45">
        <v>133058608.98683196</v>
      </c>
      <c r="C201" s="17">
        <v>1039699</v>
      </c>
      <c r="D201" s="17">
        <f>'Load Transfers'!C88</f>
        <v>-78845.693333333315</v>
      </c>
      <c r="E201" s="26">
        <f t="shared" si="6"/>
        <v>134019462.29349864</v>
      </c>
      <c r="F201" s="313">
        <v>0</v>
      </c>
      <c r="G201" s="313">
        <v>203.5</v>
      </c>
      <c r="H201" s="35">
        <v>142.85748778091738</v>
      </c>
      <c r="I201" s="9">
        <v>31</v>
      </c>
      <c r="J201" s="17">
        <f>'CDM Activity'!K74</f>
        <v>1480411.9794432758</v>
      </c>
      <c r="K201" s="9">
        <v>0</v>
      </c>
      <c r="L201" s="45">
        <v>135251.98061999309</v>
      </c>
      <c r="M201" s="318">
        <v>336</v>
      </c>
      <c r="N201" s="75">
        <v>0</v>
      </c>
      <c r="O201" s="9">
        <f t="shared" si="7"/>
        <v>135176121.87756082</v>
      </c>
    </row>
    <row r="202" spans="1:15" x14ac:dyDescent="0.2">
      <c r="A202" s="2">
        <v>41122</v>
      </c>
      <c r="B202" s="45">
        <v>121123046.29168741</v>
      </c>
      <c r="C202" s="17">
        <v>1093336</v>
      </c>
      <c r="D202" s="17">
        <f>'Load Transfers'!C89</f>
        <v>-78845.693333333315</v>
      </c>
      <c r="E202" s="26">
        <f t="shared" si="6"/>
        <v>122137536.59835409</v>
      </c>
      <c r="F202" s="313">
        <v>0</v>
      </c>
      <c r="G202" s="313">
        <v>148.69999999999999</v>
      </c>
      <c r="H202" s="35">
        <v>143.04620308842189</v>
      </c>
      <c r="I202" s="9">
        <v>31</v>
      </c>
      <c r="J202" s="17">
        <f>'CDM Activity'!K75</f>
        <v>1514410.7315095104</v>
      </c>
      <c r="K202" s="9">
        <v>0</v>
      </c>
      <c r="L202" s="45">
        <v>135297.77674399171</v>
      </c>
      <c r="M202" s="318">
        <v>336</v>
      </c>
      <c r="N202" s="75">
        <v>0</v>
      </c>
      <c r="O202" s="9">
        <f t="shared" si="7"/>
        <v>124577176.43132171</v>
      </c>
    </row>
    <row r="203" spans="1:15" x14ac:dyDescent="0.2">
      <c r="A203" s="2">
        <v>41153</v>
      </c>
      <c r="B203" s="45">
        <v>99680085.071722686</v>
      </c>
      <c r="C203" s="17">
        <v>646474</v>
      </c>
      <c r="D203" s="17">
        <f>'Load Transfers'!C90</f>
        <v>-78845.693333333315</v>
      </c>
      <c r="E203" s="26">
        <f t="shared" si="6"/>
        <v>100247713.37838936</v>
      </c>
      <c r="F203" s="313">
        <v>37.9</v>
      </c>
      <c r="G203" s="313">
        <v>50.3</v>
      </c>
      <c r="H203" s="35">
        <v>143.2349183959264</v>
      </c>
      <c r="I203" s="9">
        <v>30</v>
      </c>
      <c r="J203" s="17">
        <f>'CDM Activity'!K76</f>
        <v>1548409.483575745</v>
      </c>
      <c r="K203" s="9">
        <v>1</v>
      </c>
      <c r="L203" s="45">
        <v>135343.57286799033</v>
      </c>
      <c r="M203" s="318">
        <v>336</v>
      </c>
      <c r="N203" s="75">
        <v>0</v>
      </c>
      <c r="O203" s="9">
        <f t="shared" si="7"/>
        <v>98368178.97491461</v>
      </c>
    </row>
    <row r="204" spans="1:15" x14ac:dyDescent="0.2">
      <c r="A204" s="2">
        <v>41183</v>
      </c>
      <c r="B204" s="45">
        <v>94333164.396579027</v>
      </c>
      <c r="C204" s="17">
        <v>944121</v>
      </c>
      <c r="D204" s="17">
        <f>'Load Transfers'!C91</f>
        <v>-78845.693333333315</v>
      </c>
      <c r="E204" s="26">
        <f t="shared" si="6"/>
        <v>95198439.703245699</v>
      </c>
      <c r="F204" s="313">
        <v>191.9</v>
      </c>
      <c r="G204" s="313">
        <v>2.6</v>
      </c>
      <c r="H204" s="35">
        <v>143.42363370343091</v>
      </c>
      <c r="I204" s="9">
        <v>31</v>
      </c>
      <c r="J204" s="17">
        <f>'CDM Activity'!K77</f>
        <v>1582408.2356419796</v>
      </c>
      <c r="K204" s="9">
        <v>1</v>
      </c>
      <c r="L204" s="45">
        <v>135389.36899198894</v>
      </c>
      <c r="M204" s="318">
        <v>320</v>
      </c>
      <c r="N204" s="75">
        <v>0</v>
      </c>
      <c r="O204" s="9">
        <f t="shared" si="7"/>
        <v>95708607.703029722</v>
      </c>
    </row>
    <row r="205" spans="1:15" x14ac:dyDescent="0.2">
      <c r="A205" s="2">
        <v>41214</v>
      </c>
      <c r="B205" s="45">
        <v>96179066.926105246</v>
      </c>
      <c r="C205" s="17">
        <v>931868</v>
      </c>
      <c r="D205" s="17">
        <f>'Load Transfers'!C92</f>
        <v>-78845.693333333315</v>
      </c>
      <c r="E205" s="26">
        <f t="shared" si="6"/>
        <v>97032089.232771918</v>
      </c>
      <c r="F205" s="313">
        <v>381.9</v>
      </c>
      <c r="G205" s="313">
        <v>0</v>
      </c>
      <c r="H205" s="35">
        <v>143.61234901093542</v>
      </c>
      <c r="I205" s="9">
        <v>30</v>
      </c>
      <c r="J205" s="17">
        <f>'CDM Activity'!K78</f>
        <v>1616406.9877082142</v>
      </c>
      <c r="K205" s="9">
        <v>1</v>
      </c>
      <c r="L205" s="45">
        <v>135435.16511598756</v>
      </c>
      <c r="M205" s="318">
        <v>336</v>
      </c>
      <c r="N205" s="75">
        <v>0</v>
      </c>
      <c r="O205" s="9">
        <f t="shared" si="7"/>
        <v>96712693.945532292</v>
      </c>
    </row>
    <row r="206" spans="1:15" x14ac:dyDescent="0.2">
      <c r="A206" s="2">
        <v>41244</v>
      </c>
      <c r="B206" s="45">
        <v>104482420.01900539</v>
      </c>
      <c r="C206" s="17">
        <v>989725</v>
      </c>
      <c r="D206" s="17">
        <f>'Load Transfers'!C93</f>
        <v>-78845.693333333315</v>
      </c>
      <c r="E206" s="26">
        <f t="shared" si="6"/>
        <v>105393299.32567206</v>
      </c>
      <c r="F206" s="313">
        <v>463.2</v>
      </c>
      <c r="G206" s="313">
        <v>0</v>
      </c>
      <c r="H206" s="35">
        <v>143.80106431843998</v>
      </c>
      <c r="I206" s="9">
        <v>31</v>
      </c>
      <c r="J206" s="17">
        <f>'CDM Activity'!K79</f>
        <v>1633406.3637413315</v>
      </c>
      <c r="K206" s="9">
        <v>0</v>
      </c>
      <c r="L206" s="45">
        <v>135480.96123998618</v>
      </c>
      <c r="M206" s="318">
        <v>368</v>
      </c>
      <c r="N206" s="75">
        <v>0</v>
      </c>
      <c r="O206" s="9">
        <f t="shared" si="7"/>
        <v>106787850.55490488</v>
      </c>
    </row>
    <row r="207" spans="1:15" x14ac:dyDescent="0.2">
      <c r="A207" s="2">
        <v>41275</v>
      </c>
      <c r="B207" s="45">
        <v>109467098.05873571</v>
      </c>
      <c r="C207" s="17">
        <v>930414</v>
      </c>
      <c r="D207" s="17">
        <f>'Load Transfers'!C94</f>
        <v>-80413.738333333284</v>
      </c>
      <c r="E207" s="26">
        <f t="shared" si="6"/>
        <v>110317098.32040238</v>
      </c>
      <c r="F207" s="313">
        <v>556.4</v>
      </c>
      <c r="G207" s="313">
        <v>0</v>
      </c>
      <c r="H207" s="35">
        <v>143.98081564883802</v>
      </c>
      <c r="I207" s="9">
        <v>31</v>
      </c>
      <c r="J207" s="17">
        <f>'CDM Activity'!K80</f>
        <v>1655904.0245903835</v>
      </c>
      <c r="K207" s="9">
        <v>0</v>
      </c>
      <c r="L207" s="45">
        <v>135526.7573639848</v>
      </c>
      <c r="M207" s="318">
        <v>320</v>
      </c>
      <c r="N207" s="75">
        <v>0</v>
      </c>
      <c r="O207" s="9">
        <f t="shared" si="7"/>
        <v>108991277.41835088</v>
      </c>
    </row>
    <row r="208" spans="1:15" x14ac:dyDescent="0.2">
      <c r="A208" s="2">
        <v>41306</v>
      </c>
      <c r="B208" s="45">
        <v>98965961.506553859</v>
      </c>
      <c r="C208" s="17">
        <v>906712</v>
      </c>
      <c r="D208" s="17">
        <f>'Load Transfers'!C95</f>
        <v>-80413.738333333284</v>
      </c>
      <c r="E208" s="26">
        <f t="shared" si="6"/>
        <v>99792259.768220529</v>
      </c>
      <c r="F208" s="313">
        <v>565.9</v>
      </c>
      <c r="G208" s="313">
        <v>0</v>
      </c>
      <c r="H208" s="35">
        <v>144.16056697923608</v>
      </c>
      <c r="I208" s="9">
        <v>28</v>
      </c>
      <c r="J208" s="17">
        <f>'CDM Activity'!K81</f>
        <v>1700899.3462884875</v>
      </c>
      <c r="K208" s="9">
        <v>0</v>
      </c>
      <c r="L208" s="45">
        <v>135572.55348798342</v>
      </c>
      <c r="M208" s="318">
        <v>304</v>
      </c>
      <c r="N208" s="75">
        <v>0</v>
      </c>
      <c r="O208" s="9">
        <f t="shared" si="7"/>
        <v>100302482.17323762</v>
      </c>
    </row>
    <row r="209" spans="1:15" x14ac:dyDescent="0.2">
      <c r="A209" s="2">
        <v>41334</v>
      </c>
      <c r="B209" s="45">
        <v>102422656.37962504</v>
      </c>
      <c r="C209" s="17">
        <v>894061</v>
      </c>
      <c r="D209" s="17">
        <f>'Load Transfers'!C96</f>
        <v>-80413.738333333284</v>
      </c>
      <c r="E209" s="26">
        <f t="shared" si="6"/>
        <v>103236303.64129171</v>
      </c>
      <c r="F209" s="313">
        <v>508.7</v>
      </c>
      <c r="G209" s="313">
        <v>0</v>
      </c>
      <c r="H209" s="35">
        <v>144.34031830963414</v>
      </c>
      <c r="I209" s="9">
        <v>31</v>
      </c>
      <c r="J209" s="17">
        <f>'CDM Activity'!K82</f>
        <v>1745894.6679865916</v>
      </c>
      <c r="K209" s="9">
        <v>1</v>
      </c>
      <c r="L209" s="45">
        <v>135618.34961198203</v>
      </c>
      <c r="M209" s="318">
        <v>368</v>
      </c>
      <c r="N209" s="75">
        <v>0</v>
      </c>
      <c r="O209" s="9">
        <f t="shared" si="7"/>
        <v>102431249.0602984</v>
      </c>
    </row>
    <row r="210" spans="1:15" x14ac:dyDescent="0.2">
      <c r="A210" s="2">
        <v>41365</v>
      </c>
      <c r="B210" s="45">
        <v>92083366.517338648</v>
      </c>
      <c r="C210" s="17">
        <v>1022778</v>
      </c>
      <c r="D210" s="17">
        <f>'Load Transfers'!C97</f>
        <v>-80413.738333333284</v>
      </c>
      <c r="E210" s="26">
        <f t="shared" si="6"/>
        <v>93025730.779005319</v>
      </c>
      <c r="F210" s="313">
        <v>341.3</v>
      </c>
      <c r="G210" s="313">
        <v>0</v>
      </c>
      <c r="H210" s="35">
        <v>144.5200696400322</v>
      </c>
      <c r="I210" s="9">
        <v>30</v>
      </c>
      <c r="J210" s="17">
        <f>'CDM Activity'!K83</f>
        <v>1790889.9896846956</v>
      </c>
      <c r="K210" s="9">
        <v>1</v>
      </c>
      <c r="L210" s="45">
        <v>135664.14573598065</v>
      </c>
      <c r="M210" s="318">
        <v>320</v>
      </c>
      <c r="N210" s="75">
        <v>0</v>
      </c>
      <c r="O210" s="9">
        <f t="shared" si="7"/>
        <v>95419687.054450601</v>
      </c>
    </row>
    <row r="211" spans="1:15" x14ac:dyDescent="0.2">
      <c r="A211" s="2">
        <v>41395</v>
      </c>
      <c r="B211" s="45">
        <v>95266525.634644121</v>
      </c>
      <c r="C211" s="17">
        <v>1234580</v>
      </c>
      <c r="D211" s="17">
        <f>'Load Transfers'!C98</f>
        <v>-80413.738333333284</v>
      </c>
      <c r="E211" s="26">
        <f t="shared" si="6"/>
        <v>96420691.896310791</v>
      </c>
      <c r="F211" s="313">
        <v>153.89999999999998</v>
      </c>
      <c r="G211" s="313">
        <v>14.3</v>
      </c>
      <c r="H211" s="35">
        <v>144.69982097043027</v>
      </c>
      <c r="I211" s="9">
        <v>31</v>
      </c>
      <c r="J211" s="17">
        <f>'CDM Activity'!K84</f>
        <v>1835885.3113827996</v>
      </c>
      <c r="K211" s="9">
        <v>1</v>
      </c>
      <c r="L211" s="45">
        <v>135709.94185997927</v>
      </c>
      <c r="M211" s="318">
        <v>320</v>
      </c>
      <c r="N211" s="75">
        <v>0</v>
      </c>
      <c r="O211" s="9">
        <f t="shared" si="7"/>
        <v>96547152.369575396</v>
      </c>
    </row>
    <row r="212" spans="1:15" x14ac:dyDescent="0.2">
      <c r="A212" s="2">
        <v>41426</v>
      </c>
      <c r="B212" s="45">
        <v>101746391.23942262</v>
      </c>
      <c r="C212" s="17">
        <v>1118148</v>
      </c>
      <c r="D212" s="17">
        <f>'Load Transfers'!C99</f>
        <v>-80413.738333333284</v>
      </c>
      <c r="E212" s="26">
        <f t="shared" si="6"/>
        <v>102784125.50108929</v>
      </c>
      <c r="F212" s="313">
        <v>44.3</v>
      </c>
      <c r="G212" s="313">
        <v>47.5</v>
      </c>
      <c r="H212" s="35">
        <v>144.87957230082833</v>
      </c>
      <c r="I212" s="9">
        <v>30</v>
      </c>
      <c r="J212" s="17">
        <f>'CDM Activity'!K85</f>
        <v>1880880.6330809037</v>
      </c>
      <c r="K212" s="9">
        <v>0</v>
      </c>
      <c r="L212" s="45">
        <v>135755.73798397789</v>
      </c>
      <c r="M212" s="318">
        <v>352</v>
      </c>
      <c r="N212" s="75">
        <v>0</v>
      </c>
      <c r="O212" s="9">
        <f t="shared" si="7"/>
        <v>102478330.50851922</v>
      </c>
    </row>
    <row r="213" spans="1:15" x14ac:dyDescent="0.2">
      <c r="A213" s="2">
        <v>41456</v>
      </c>
      <c r="B213" s="45">
        <v>123815621.37049945</v>
      </c>
      <c r="C213" s="17">
        <v>1104432</v>
      </c>
      <c r="D213" s="17">
        <f>'Load Transfers'!C100</f>
        <v>-80413.738333333284</v>
      </c>
      <c r="E213" s="26">
        <f t="shared" si="6"/>
        <v>124839639.63216612</v>
      </c>
      <c r="F213" s="313">
        <v>2.2999999999999998</v>
      </c>
      <c r="G213" s="313">
        <v>139.4</v>
      </c>
      <c r="H213" s="35">
        <v>145.05932363122639</v>
      </c>
      <c r="I213" s="9">
        <v>31</v>
      </c>
      <c r="J213" s="17">
        <f>'CDM Activity'!K86</f>
        <v>1925875.9547790077</v>
      </c>
      <c r="K213" s="9">
        <v>0</v>
      </c>
      <c r="L213" s="45">
        <v>135801.53410797651</v>
      </c>
      <c r="M213" s="318">
        <v>336</v>
      </c>
      <c r="N213" s="75">
        <v>0</v>
      </c>
      <c r="O213" s="9">
        <f t="shared" si="7"/>
        <v>121969826.39980751</v>
      </c>
    </row>
    <row r="214" spans="1:15" x14ac:dyDescent="0.2">
      <c r="A214" s="2">
        <v>41487</v>
      </c>
      <c r="B214" s="45">
        <v>114328198.1085117</v>
      </c>
      <c r="C214" s="17">
        <v>1270351</v>
      </c>
      <c r="D214" s="17">
        <f>'Load Transfers'!C101</f>
        <v>-80413.738333333284</v>
      </c>
      <c r="E214" s="26">
        <f t="shared" si="6"/>
        <v>115518135.37017837</v>
      </c>
      <c r="F214" s="313">
        <v>0</v>
      </c>
      <c r="G214" s="313">
        <v>106.4</v>
      </c>
      <c r="H214" s="35">
        <v>145.23907496162445</v>
      </c>
      <c r="I214" s="9">
        <v>31</v>
      </c>
      <c r="J214" s="17">
        <f>'CDM Activity'!K87</f>
        <v>1970871.2764771117</v>
      </c>
      <c r="K214" s="9">
        <v>0</v>
      </c>
      <c r="L214" s="45">
        <v>135847.33023197512</v>
      </c>
      <c r="M214" s="318">
        <v>336</v>
      </c>
      <c r="N214" s="75">
        <v>0</v>
      </c>
      <c r="O214" s="9">
        <f t="shared" si="7"/>
        <v>115447916.76216069</v>
      </c>
    </row>
    <row r="215" spans="1:15" x14ac:dyDescent="0.2">
      <c r="A215" s="2">
        <v>41518</v>
      </c>
      <c r="B215" s="45">
        <v>96921113.323378146</v>
      </c>
      <c r="C215" s="17">
        <v>1399910</v>
      </c>
      <c r="D215" s="17">
        <f>'Load Transfers'!C102</f>
        <v>-80413.738333333284</v>
      </c>
      <c r="E215" s="26">
        <f t="shared" si="6"/>
        <v>98240609.585044816</v>
      </c>
      <c r="F215" s="313">
        <v>51.599999999999994</v>
      </c>
      <c r="G215" s="313">
        <v>34.4</v>
      </c>
      <c r="H215" s="35">
        <v>145.41882629202252</v>
      </c>
      <c r="I215" s="9">
        <v>30</v>
      </c>
      <c r="J215" s="17">
        <f>'CDM Activity'!K88</f>
        <v>2015866.5981752158</v>
      </c>
      <c r="K215" s="9">
        <v>1</v>
      </c>
      <c r="L215" s="45">
        <v>135893.12635597374</v>
      </c>
      <c r="M215" s="318">
        <v>336</v>
      </c>
      <c r="N215" s="75">
        <v>0</v>
      </c>
      <c r="O215" s="9">
        <f t="shared" si="7"/>
        <v>94579142.961921766</v>
      </c>
    </row>
    <row r="216" spans="1:15" x14ac:dyDescent="0.2">
      <c r="A216" s="2">
        <v>41548</v>
      </c>
      <c r="B216" s="45">
        <v>94790915.878546566</v>
      </c>
      <c r="C216" s="17">
        <v>1226455</v>
      </c>
      <c r="D216" s="17">
        <f>'Load Transfers'!C103</f>
        <v>-80413.738333333284</v>
      </c>
      <c r="E216" s="26">
        <f t="shared" si="6"/>
        <v>95936957.140213236</v>
      </c>
      <c r="F216" s="313">
        <v>161.4</v>
      </c>
      <c r="G216" s="313">
        <v>4.8</v>
      </c>
      <c r="H216" s="35">
        <v>145.59857762242058</v>
      </c>
      <c r="I216" s="9">
        <v>31</v>
      </c>
      <c r="J216" s="17">
        <f>'CDM Activity'!K89</f>
        <v>2060861.9198733198</v>
      </c>
      <c r="K216" s="9">
        <v>1</v>
      </c>
      <c r="L216" s="45">
        <v>135938.92247997236</v>
      </c>
      <c r="M216" s="318">
        <v>320</v>
      </c>
      <c r="N216" s="75">
        <v>0</v>
      </c>
      <c r="O216" s="9">
        <f t="shared" si="7"/>
        <v>94293840.102612659</v>
      </c>
    </row>
    <row r="217" spans="1:15" x14ac:dyDescent="0.2">
      <c r="A217" s="2">
        <v>41579</v>
      </c>
      <c r="B217" s="45">
        <v>98272590.011614412</v>
      </c>
      <c r="C217" s="17">
        <v>1105762</v>
      </c>
      <c r="D217" s="17">
        <f>'Load Transfers'!C104</f>
        <v>-80413.738333333284</v>
      </c>
      <c r="E217" s="26">
        <f t="shared" si="6"/>
        <v>99297938.273281083</v>
      </c>
      <c r="F217" s="313">
        <v>412.90000000000003</v>
      </c>
      <c r="G217" s="313">
        <v>0</v>
      </c>
      <c r="H217" s="35">
        <v>145.77832895281864</v>
      </c>
      <c r="I217" s="9">
        <v>30</v>
      </c>
      <c r="J217" s="17">
        <f>'CDM Activity'!K90</f>
        <v>2105857.2415714241</v>
      </c>
      <c r="K217" s="9">
        <v>1</v>
      </c>
      <c r="L217" s="45">
        <v>135984.71860397098</v>
      </c>
      <c r="M217" s="318">
        <v>336</v>
      </c>
      <c r="N217" s="75">
        <v>0</v>
      </c>
      <c r="O217" s="9">
        <f t="shared" si="7"/>
        <v>96268335.170273066</v>
      </c>
    </row>
    <row r="218" spans="1:15" x14ac:dyDescent="0.2">
      <c r="A218" s="2">
        <v>41609</v>
      </c>
      <c r="B218" s="45">
        <v>109815032.35440519</v>
      </c>
      <c r="C218" s="17">
        <v>855971</v>
      </c>
      <c r="D218" s="17">
        <f>'Load Transfers'!C105</f>
        <v>-80413.738333333284</v>
      </c>
      <c r="E218" s="26">
        <f t="shared" si="6"/>
        <v>110590589.61607186</v>
      </c>
      <c r="F218" s="313">
        <v>601.4</v>
      </c>
      <c r="G218" s="313">
        <v>0</v>
      </c>
      <c r="H218" s="35">
        <v>145.95808028321656</v>
      </c>
      <c r="I218" s="9">
        <v>31</v>
      </c>
      <c r="J218" s="17">
        <f>'CDM Activity'!K91</f>
        <v>2128354.9024204761</v>
      </c>
      <c r="K218" s="9">
        <v>0</v>
      </c>
      <c r="L218" s="45">
        <v>136030.5147279696</v>
      </c>
      <c r="M218" s="318">
        <v>368</v>
      </c>
      <c r="N218" s="75">
        <v>0</v>
      </c>
      <c r="O218" s="9">
        <f t="shared" si="7"/>
        <v>108847267.00242728</v>
      </c>
    </row>
    <row r="219" spans="1:15" x14ac:dyDescent="0.2">
      <c r="A219" s="2">
        <v>41640</v>
      </c>
      <c r="B219" s="45">
        <v>117246822.63149163</v>
      </c>
      <c r="C219" s="17">
        <v>771851</v>
      </c>
      <c r="D219" s="17"/>
      <c r="E219" s="26">
        <f t="shared" si="6"/>
        <v>118018673.63149163</v>
      </c>
      <c r="F219" s="314">
        <v>625.69166666666661</v>
      </c>
      <c r="G219" s="314">
        <v>0</v>
      </c>
      <c r="H219" s="35">
        <v>146.23783327042605</v>
      </c>
      <c r="I219" s="9">
        <v>31</v>
      </c>
      <c r="J219" s="17">
        <v>2124894.5700117503</v>
      </c>
      <c r="K219" s="9">
        <v>0</v>
      </c>
      <c r="L219" s="45">
        <v>136076.31085196821</v>
      </c>
      <c r="M219" s="318">
        <v>320</v>
      </c>
      <c r="N219" s="9"/>
      <c r="O219" s="9">
        <f t="shared" si="7"/>
        <v>109590614.99628869</v>
      </c>
    </row>
    <row r="220" spans="1:15" x14ac:dyDescent="0.2">
      <c r="A220" s="2">
        <v>41671</v>
      </c>
      <c r="B220" s="45">
        <v>101962543.55400698</v>
      </c>
      <c r="C220" s="17">
        <v>811223</v>
      </c>
      <c r="D220" s="17"/>
      <c r="E220" s="26">
        <f t="shared" si="6"/>
        <v>102773766.55400698</v>
      </c>
      <c r="F220" s="314">
        <v>568.01666666666665</v>
      </c>
      <c r="G220" s="314">
        <v>0</v>
      </c>
      <c r="H220" s="35">
        <v>146.51758625763554</v>
      </c>
      <c r="I220" s="9">
        <v>28</v>
      </c>
      <c r="J220" s="17">
        <f>'CDM Activity'!N68</f>
        <v>2148417.1950117499</v>
      </c>
      <c r="K220" s="9">
        <v>0</v>
      </c>
      <c r="L220" s="45">
        <v>136122.10697596683</v>
      </c>
      <c r="M220" s="318">
        <v>304</v>
      </c>
      <c r="N220" s="9"/>
      <c r="O220" s="9">
        <f t="shared" si="7"/>
        <v>99458924.376953751</v>
      </c>
    </row>
    <row r="221" spans="1:15" x14ac:dyDescent="0.2">
      <c r="A221" s="2">
        <v>41699</v>
      </c>
      <c r="B221" s="45">
        <v>106897419.94358721</v>
      </c>
      <c r="C221" s="17">
        <v>920445</v>
      </c>
      <c r="D221" s="17"/>
      <c r="E221" s="26">
        <f t="shared" si="6"/>
        <v>107817864.94358721</v>
      </c>
      <c r="F221" s="314">
        <v>501.29166666666657</v>
      </c>
      <c r="G221" s="314">
        <v>0</v>
      </c>
      <c r="H221" s="35">
        <v>146.79733924484503</v>
      </c>
      <c r="I221" s="9">
        <v>31</v>
      </c>
      <c r="J221" s="17">
        <f>'CDM Activity'!N69</f>
        <v>2188541.7801942979</v>
      </c>
      <c r="K221" s="9">
        <v>1</v>
      </c>
      <c r="L221" s="45">
        <v>136167.90309996545</v>
      </c>
      <c r="M221" s="318">
        <v>368</v>
      </c>
      <c r="N221" s="9"/>
      <c r="O221" s="9">
        <f t="shared" si="7"/>
        <v>101420362.14137068</v>
      </c>
    </row>
    <row r="222" spans="1:15" x14ac:dyDescent="0.2">
      <c r="A222" s="2">
        <v>41730</v>
      </c>
      <c r="B222" s="45">
        <v>88321884.851501584</v>
      </c>
      <c r="C222" s="17">
        <v>1137316</v>
      </c>
      <c r="D222" s="17"/>
      <c r="E222" s="26">
        <f t="shared" si="6"/>
        <v>89459200.851501584</v>
      </c>
      <c r="F222" s="314">
        <v>325.07500000000005</v>
      </c>
      <c r="G222" s="314">
        <v>4.1666666666666664E-2</v>
      </c>
      <c r="H222" s="35">
        <v>147.07709223205453</v>
      </c>
      <c r="I222" s="9">
        <v>30</v>
      </c>
      <c r="J222" s="17">
        <f>'CDM Activity'!N70</f>
        <v>2228666.3653768459</v>
      </c>
      <c r="K222" s="9">
        <v>1</v>
      </c>
      <c r="L222" s="45">
        <v>136213.69922396407</v>
      </c>
      <c r="M222" s="318">
        <v>320</v>
      </c>
      <c r="N222" s="9"/>
      <c r="O222" s="9">
        <f t="shared" si="7"/>
        <v>94266240.491198003</v>
      </c>
    </row>
    <row r="223" spans="1:15" x14ac:dyDescent="0.2">
      <c r="A223" s="2">
        <v>41760</v>
      </c>
      <c r="B223" s="45">
        <v>0</v>
      </c>
      <c r="C223" s="17"/>
      <c r="D223" s="17"/>
      <c r="E223" s="26">
        <f t="shared" si="6"/>
        <v>0</v>
      </c>
      <c r="F223" s="314">
        <v>173.88333333333333</v>
      </c>
      <c r="G223" s="314">
        <v>9.1333333333333311</v>
      </c>
      <c r="H223" s="35">
        <v>147.35684521926402</v>
      </c>
      <c r="I223" s="9">
        <v>31</v>
      </c>
      <c r="J223" s="17">
        <f>'CDM Activity'!N71</f>
        <v>2268790.950559394</v>
      </c>
      <c r="K223" s="9">
        <v>1</v>
      </c>
      <c r="L223" s="45">
        <v>136259.49534796269</v>
      </c>
      <c r="M223" s="318">
        <v>320</v>
      </c>
      <c r="N223" s="9"/>
      <c r="O223" s="9">
        <f t="shared" si="7"/>
        <v>95306513.559208825</v>
      </c>
    </row>
    <row r="224" spans="1:15" x14ac:dyDescent="0.2">
      <c r="A224" s="2">
        <v>41791</v>
      </c>
      <c r="B224" s="45">
        <v>0</v>
      </c>
      <c r="C224" s="17"/>
      <c r="D224" s="17"/>
      <c r="E224" s="26">
        <f t="shared" si="6"/>
        <v>0</v>
      </c>
      <c r="F224" s="314">
        <v>32.791666666666664</v>
      </c>
      <c r="G224" s="314">
        <v>60.983333333333327</v>
      </c>
      <c r="H224" s="35">
        <v>147.63659820647351</v>
      </c>
      <c r="I224" s="9">
        <v>30</v>
      </c>
      <c r="J224" s="17">
        <f>'CDM Activity'!N72</f>
        <v>2308915.535741942</v>
      </c>
      <c r="K224" s="9">
        <v>0</v>
      </c>
      <c r="L224" s="45">
        <v>136305.2914719613</v>
      </c>
      <c r="M224" s="318">
        <v>352</v>
      </c>
      <c r="N224" s="9"/>
      <c r="O224" s="9">
        <f t="shared" si="7"/>
        <v>104137624.31616938</v>
      </c>
    </row>
    <row r="225" spans="1:15" x14ac:dyDescent="0.2">
      <c r="A225" s="2">
        <v>41821</v>
      </c>
      <c r="B225" s="45">
        <v>0</v>
      </c>
      <c r="C225" s="17"/>
      <c r="D225" s="17"/>
      <c r="E225" s="26">
        <f t="shared" si="6"/>
        <v>0</v>
      </c>
      <c r="F225" s="314">
        <v>0.89166666666666661</v>
      </c>
      <c r="G225" s="314">
        <v>143.48333333333335</v>
      </c>
      <c r="H225" s="35">
        <v>147.916351193683</v>
      </c>
      <c r="I225" s="9">
        <v>31</v>
      </c>
      <c r="J225" s="17">
        <f>'CDM Activity'!N73</f>
        <v>2349040.12092449</v>
      </c>
      <c r="K225" s="9">
        <v>0</v>
      </c>
      <c r="L225" s="45">
        <v>136351.08759595992</v>
      </c>
      <c r="M225" s="318">
        <v>336</v>
      </c>
      <c r="N225" s="9"/>
      <c r="O225" s="9">
        <f t="shared" si="7"/>
        <v>122118157.3406767</v>
      </c>
    </row>
    <row r="226" spans="1:15" x14ac:dyDescent="0.2">
      <c r="A226" s="2">
        <v>41852</v>
      </c>
      <c r="B226" s="45">
        <v>0</v>
      </c>
      <c r="C226" s="17"/>
      <c r="D226" s="17"/>
      <c r="E226" s="26">
        <f t="shared" si="6"/>
        <v>0</v>
      </c>
      <c r="F226" s="314">
        <v>1.6499999999999997</v>
      </c>
      <c r="G226" s="314">
        <v>128.92500000000001</v>
      </c>
      <c r="H226" s="35">
        <v>148.19610418089249</v>
      </c>
      <c r="I226" s="9">
        <v>31</v>
      </c>
      <c r="J226" s="17">
        <f>'CDM Activity'!N74</f>
        <v>2389164.7061070381</v>
      </c>
      <c r="K226" s="9">
        <v>0</v>
      </c>
      <c r="L226" s="45">
        <v>136396.88371995854</v>
      </c>
      <c r="M226" s="318">
        <v>336</v>
      </c>
      <c r="N226" s="9"/>
      <c r="O226" s="9">
        <f t="shared" si="7"/>
        <v>119273404.50721766</v>
      </c>
    </row>
    <row r="227" spans="1:15" x14ac:dyDescent="0.2">
      <c r="A227" s="2">
        <v>41883</v>
      </c>
      <c r="B227" s="45">
        <v>0</v>
      </c>
      <c r="C227" s="17"/>
      <c r="D227" s="17"/>
      <c r="E227" s="26">
        <f t="shared" si="6"/>
        <v>0</v>
      </c>
      <c r="F227" s="314">
        <v>30.45</v>
      </c>
      <c r="G227" s="314">
        <v>47.366666666666667</v>
      </c>
      <c r="H227" s="35">
        <v>148.47585716810198</v>
      </c>
      <c r="I227" s="9">
        <v>30</v>
      </c>
      <c r="J227" s="17">
        <f>'CDM Activity'!N75</f>
        <v>2429289.2912895861</v>
      </c>
      <c r="K227" s="9">
        <v>1</v>
      </c>
      <c r="L227" s="45">
        <v>136442.67984395716</v>
      </c>
      <c r="M227" s="318">
        <v>336</v>
      </c>
      <c r="N227" s="9"/>
      <c r="O227" s="9">
        <f t="shared" si="7"/>
        <v>96084955.227223337</v>
      </c>
    </row>
    <row r="228" spans="1:15" x14ac:dyDescent="0.2">
      <c r="A228" s="2">
        <v>41913</v>
      </c>
      <c r="B228" s="45">
        <v>0</v>
      </c>
      <c r="C228" s="17"/>
      <c r="D228" s="17"/>
      <c r="E228" s="26">
        <f t="shared" si="6"/>
        <v>0</v>
      </c>
      <c r="F228" s="314">
        <v>202.91666666666671</v>
      </c>
      <c r="G228" s="314">
        <v>5.0750000000000002</v>
      </c>
      <c r="H228" s="35">
        <v>148.75561015531147</v>
      </c>
      <c r="I228" s="9">
        <v>31</v>
      </c>
      <c r="J228" s="17">
        <f>'CDM Activity'!N76</f>
        <v>2469413.8764721341</v>
      </c>
      <c r="K228" s="9">
        <v>1</v>
      </c>
      <c r="L228" s="45">
        <v>136488.47596795578</v>
      </c>
      <c r="M228" s="318">
        <v>320</v>
      </c>
      <c r="N228" s="9"/>
      <c r="O228" s="9">
        <f t="shared" si="7"/>
        <v>94899097.204253837</v>
      </c>
    </row>
    <row r="229" spans="1:15" x14ac:dyDescent="0.2">
      <c r="A229" s="2">
        <v>41944</v>
      </c>
      <c r="B229" s="45">
        <v>0</v>
      </c>
      <c r="C229" s="17"/>
      <c r="D229" s="17"/>
      <c r="E229" s="26">
        <f t="shared" si="6"/>
        <v>0</v>
      </c>
      <c r="F229" s="314">
        <v>361.23333333333335</v>
      </c>
      <c r="G229" s="314">
        <v>0</v>
      </c>
      <c r="H229" s="35">
        <v>149.03536314252096</v>
      </c>
      <c r="I229" s="9">
        <v>30</v>
      </c>
      <c r="J229" s="17">
        <f>'CDM Activity'!N77</f>
        <v>2509538.4616546822</v>
      </c>
      <c r="K229" s="9">
        <v>1</v>
      </c>
      <c r="L229" s="45">
        <v>136534.27209195439</v>
      </c>
      <c r="M229" s="318">
        <v>336</v>
      </c>
      <c r="N229" s="9"/>
      <c r="O229" s="9">
        <f t="shared" si="7"/>
        <v>94674406.466339156</v>
      </c>
    </row>
    <row r="230" spans="1:15" x14ac:dyDescent="0.2">
      <c r="A230" s="2">
        <v>41974</v>
      </c>
      <c r="B230" s="45">
        <v>0</v>
      </c>
      <c r="C230" s="17"/>
      <c r="D230" s="17"/>
      <c r="E230" s="26">
        <f t="shared" si="6"/>
        <v>0</v>
      </c>
      <c r="F230" s="314">
        <v>551.40749999999991</v>
      </c>
      <c r="G230" s="314">
        <v>0</v>
      </c>
      <c r="H230" s="35">
        <v>149.31511612973054</v>
      </c>
      <c r="I230" s="9">
        <v>31</v>
      </c>
      <c r="J230" s="17">
        <f>'CDM Activity'!N78</f>
        <v>2549663.0468372302</v>
      </c>
      <c r="K230" s="9">
        <v>0</v>
      </c>
      <c r="L230" s="45">
        <v>136580.06821595301</v>
      </c>
      <c r="M230" s="318">
        <v>368</v>
      </c>
      <c r="N230" s="9"/>
      <c r="O230" s="9">
        <f t="shared" si="7"/>
        <v>107231455.82788676</v>
      </c>
    </row>
    <row r="231" spans="1:15" x14ac:dyDescent="0.2">
      <c r="A231" s="2">
        <v>42005</v>
      </c>
      <c r="B231" s="45">
        <v>0</v>
      </c>
      <c r="C231" s="17"/>
      <c r="D231" s="17"/>
      <c r="E231" s="26">
        <f t="shared" si="6"/>
        <v>0</v>
      </c>
      <c r="F231" s="313">
        <v>625.69166666666661</v>
      </c>
      <c r="G231" s="313">
        <v>0</v>
      </c>
      <c r="H231" s="35">
        <v>149.61374636199</v>
      </c>
      <c r="I231" s="9">
        <v>31</v>
      </c>
      <c r="J231" s="17">
        <f>'CDM Activity'!N79</f>
        <v>2569725.339428504</v>
      </c>
      <c r="K231" s="9">
        <v>0</v>
      </c>
      <c r="L231" s="45">
        <v>136625.86433995163</v>
      </c>
      <c r="M231" s="318">
        <v>320</v>
      </c>
      <c r="N231" s="9"/>
      <c r="O231" s="9">
        <f t="shared" si="7"/>
        <v>109038540.82409763</v>
      </c>
    </row>
    <row r="232" spans="1:15" x14ac:dyDescent="0.2">
      <c r="A232" s="2">
        <v>42036</v>
      </c>
      <c r="B232" s="45">
        <v>0</v>
      </c>
      <c r="C232" s="17"/>
      <c r="D232" s="17"/>
      <c r="E232" s="26">
        <f t="shared" si="6"/>
        <v>0</v>
      </c>
      <c r="F232" s="313">
        <v>568.01666666666665</v>
      </c>
      <c r="G232" s="313">
        <v>0</v>
      </c>
      <c r="H232" s="35">
        <v>149.91237659424945</v>
      </c>
      <c r="I232" s="9">
        <v>28</v>
      </c>
      <c r="J232" s="17">
        <f>'CDM Activity'!N80</f>
        <v>2569979.623990024</v>
      </c>
      <c r="K232" s="9">
        <v>0</v>
      </c>
      <c r="L232" s="45">
        <v>136671.66046395025</v>
      </c>
      <c r="M232" s="318">
        <v>304</v>
      </c>
      <c r="N232" s="9"/>
      <c r="O232" s="9">
        <f t="shared" si="7"/>
        <v>99036480.067536861</v>
      </c>
    </row>
    <row r="233" spans="1:15" x14ac:dyDescent="0.2">
      <c r="A233" s="2">
        <v>42064</v>
      </c>
      <c r="B233" s="45">
        <v>0</v>
      </c>
      <c r="C233" s="17"/>
      <c r="D233" s="17"/>
      <c r="E233" s="26">
        <f t="shared" si="6"/>
        <v>0</v>
      </c>
      <c r="F233" s="313">
        <v>501.29166666666657</v>
      </c>
      <c r="G233" s="313">
        <v>0</v>
      </c>
      <c r="H233" s="35">
        <v>150.21100682650891</v>
      </c>
      <c r="I233" s="9">
        <v>31</v>
      </c>
      <c r="J233" s="17">
        <f>'CDM Activity'!N81</f>
        <v>2570488.1931130644</v>
      </c>
      <c r="K233" s="9">
        <v>1</v>
      </c>
      <c r="L233" s="45">
        <v>136717.45658794887</v>
      </c>
      <c r="M233" s="318">
        <v>368</v>
      </c>
      <c r="N233" s="9"/>
      <c r="O233" s="9">
        <f t="shared" si="7"/>
        <v>101214361.80028281</v>
      </c>
    </row>
    <row r="234" spans="1:15" x14ac:dyDescent="0.2">
      <c r="A234" s="2">
        <v>42095</v>
      </c>
      <c r="B234" s="45">
        <v>0</v>
      </c>
      <c r="C234" s="17"/>
      <c r="D234" s="17"/>
      <c r="E234" s="26">
        <f t="shared" si="6"/>
        <v>0</v>
      </c>
      <c r="F234" s="313">
        <v>325.07500000000005</v>
      </c>
      <c r="G234" s="313">
        <v>4.1666666666666664E-2</v>
      </c>
      <c r="H234" s="35">
        <v>150.50963705876836</v>
      </c>
      <c r="I234" s="9">
        <v>30</v>
      </c>
      <c r="J234" s="17">
        <f>'CDM Activity'!N82</f>
        <v>2570996.7622361048</v>
      </c>
      <c r="K234" s="9">
        <v>1</v>
      </c>
      <c r="L234" s="45">
        <v>136763.25271194748</v>
      </c>
      <c r="M234" s="318">
        <v>320</v>
      </c>
      <c r="N234" s="9"/>
      <c r="O234" s="9">
        <f t="shared" si="7"/>
        <v>94276684.118439198</v>
      </c>
    </row>
    <row r="235" spans="1:15" x14ac:dyDescent="0.2">
      <c r="A235" s="2">
        <v>42125</v>
      </c>
      <c r="B235" s="45">
        <v>0</v>
      </c>
      <c r="C235" s="17"/>
      <c r="D235" s="17"/>
      <c r="E235" s="26">
        <f t="shared" si="6"/>
        <v>0</v>
      </c>
      <c r="F235" s="313">
        <v>173.88333333333333</v>
      </c>
      <c r="G235" s="313">
        <v>9.1333333333333311</v>
      </c>
      <c r="H235" s="35">
        <v>150.80826729102782</v>
      </c>
      <c r="I235" s="9">
        <v>31</v>
      </c>
      <c r="J235" s="17">
        <f>'CDM Activity'!N83</f>
        <v>2571505.3313591452</v>
      </c>
      <c r="K235" s="9">
        <v>1</v>
      </c>
      <c r="L235" s="45">
        <v>136809.0488359461</v>
      </c>
      <c r="M235" s="318">
        <v>320</v>
      </c>
      <c r="N235" s="9"/>
      <c r="O235" s="9">
        <f t="shared" si="7"/>
        <v>95533401.154779077</v>
      </c>
    </row>
    <row r="236" spans="1:15" x14ac:dyDescent="0.2">
      <c r="A236" s="2">
        <v>42156</v>
      </c>
      <c r="B236" s="45">
        <v>0</v>
      </c>
      <c r="C236" s="17"/>
      <c r="D236" s="17"/>
      <c r="E236" s="26">
        <f t="shared" si="6"/>
        <v>0</v>
      </c>
      <c r="F236" s="313">
        <v>32.791666666666664</v>
      </c>
      <c r="G236" s="313">
        <v>60.983333333333327</v>
      </c>
      <c r="H236" s="35">
        <v>151.10689752328727</v>
      </c>
      <c r="I236" s="9">
        <v>30</v>
      </c>
      <c r="J236" s="17">
        <f>'CDM Activity'!N84</f>
        <v>2572013.9004821857</v>
      </c>
      <c r="K236" s="9">
        <v>0</v>
      </c>
      <c r="L236" s="45">
        <v>136854.84495994472</v>
      </c>
      <c r="M236" s="318">
        <v>352</v>
      </c>
      <c r="N236" s="9"/>
      <c r="O236" s="9">
        <f t="shared" si="7"/>
        <v>104580955.88006867</v>
      </c>
    </row>
    <row r="237" spans="1:15" x14ac:dyDescent="0.2">
      <c r="A237" s="2">
        <v>42186</v>
      </c>
      <c r="B237" s="45">
        <v>0</v>
      </c>
      <c r="C237" s="17"/>
      <c r="D237" s="17"/>
      <c r="E237" s="26">
        <f t="shared" si="6"/>
        <v>0</v>
      </c>
      <c r="F237" s="313">
        <v>0.89166666666666661</v>
      </c>
      <c r="G237" s="313">
        <v>143.48333333333335</v>
      </c>
      <c r="H237" s="35">
        <v>151.40552775554673</v>
      </c>
      <c r="I237" s="9">
        <v>31</v>
      </c>
      <c r="J237" s="17">
        <f>'CDM Activity'!N85</f>
        <v>2572522.4696052261</v>
      </c>
      <c r="K237" s="9">
        <v>0</v>
      </c>
      <c r="L237" s="45">
        <v>136900.64108394334</v>
      </c>
      <c r="M237" s="318">
        <v>336</v>
      </c>
      <c r="N237" s="9"/>
      <c r="O237" s="9">
        <f t="shared" si="7"/>
        <v>122777932.87290505</v>
      </c>
    </row>
    <row r="238" spans="1:15" x14ac:dyDescent="0.2">
      <c r="A238" s="2">
        <v>42217</v>
      </c>
      <c r="B238" s="45">
        <v>0</v>
      </c>
      <c r="C238" s="17"/>
      <c r="D238" s="17"/>
      <c r="E238" s="26">
        <f t="shared" si="6"/>
        <v>0</v>
      </c>
      <c r="F238" s="313">
        <v>1.6499999999999997</v>
      </c>
      <c r="G238" s="313">
        <v>128.92500000000001</v>
      </c>
      <c r="H238" s="35">
        <v>151.70415798780618</v>
      </c>
      <c r="I238" s="9">
        <v>31</v>
      </c>
      <c r="J238" s="17">
        <f>'CDM Activity'!N86</f>
        <v>2573031.0387282665</v>
      </c>
      <c r="K238" s="9">
        <v>0</v>
      </c>
      <c r="L238" s="45">
        <v>136946.43720794196</v>
      </c>
      <c r="M238" s="318">
        <v>336</v>
      </c>
      <c r="N238" s="9"/>
      <c r="O238" s="9">
        <f t="shared" si="7"/>
        <v>120149624.00777507</v>
      </c>
    </row>
    <row r="239" spans="1:15" x14ac:dyDescent="0.2">
      <c r="A239" s="2">
        <v>42248</v>
      </c>
      <c r="B239" s="45">
        <v>0</v>
      </c>
      <c r="C239" s="17"/>
      <c r="D239" s="17"/>
      <c r="E239" s="26">
        <f t="shared" si="6"/>
        <v>0</v>
      </c>
      <c r="F239" s="313">
        <v>30.45</v>
      </c>
      <c r="G239" s="313">
        <v>47.366666666666667</v>
      </c>
      <c r="H239" s="35">
        <v>152.00278822006564</v>
      </c>
      <c r="I239" s="9">
        <v>30</v>
      </c>
      <c r="J239" s="17">
        <f>'CDM Activity'!N87</f>
        <v>2573539.6078513069</v>
      </c>
      <c r="K239" s="9">
        <v>1</v>
      </c>
      <c r="L239" s="45">
        <v>136992.23333194057</v>
      </c>
      <c r="M239" s="318">
        <v>336</v>
      </c>
      <c r="N239" s="9"/>
      <c r="O239" s="9">
        <f t="shared" si="7"/>
        <v>97177618.696109831</v>
      </c>
    </row>
    <row r="240" spans="1:15" x14ac:dyDescent="0.2">
      <c r="A240" s="2">
        <v>42278</v>
      </c>
      <c r="B240" s="45">
        <v>0</v>
      </c>
      <c r="C240" s="17"/>
      <c r="D240" s="17"/>
      <c r="E240" s="26">
        <f t="shared" si="6"/>
        <v>0</v>
      </c>
      <c r="F240" s="313">
        <v>202.91666666666671</v>
      </c>
      <c r="G240" s="313">
        <v>5.0750000000000002</v>
      </c>
      <c r="H240" s="35">
        <v>152.30141845232509</v>
      </c>
      <c r="I240" s="9">
        <v>31</v>
      </c>
      <c r="J240" s="17">
        <f>'CDM Activity'!N88</f>
        <v>2574048.1769743473</v>
      </c>
      <c r="K240" s="9">
        <v>1</v>
      </c>
      <c r="L240" s="45">
        <v>137038.02945593919</v>
      </c>
      <c r="M240" s="318">
        <v>320</v>
      </c>
      <c r="N240" s="9"/>
      <c r="O240" s="9">
        <f t="shared" si="7"/>
        <v>96208204.641469389</v>
      </c>
    </row>
    <row r="241" spans="1:36" x14ac:dyDescent="0.2">
      <c r="A241" s="2">
        <v>42309</v>
      </c>
      <c r="B241" s="45">
        <v>0</v>
      </c>
      <c r="C241" s="17"/>
      <c r="D241" s="17"/>
      <c r="E241" s="26">
        <f t="shared" si="6"/>
        <v>0</v>
      </c>
      <c r="F241" s="313">
        <v>361.23333333333335</v>
      </c>
      <c r="G241" s="313">
        <v>0</v>
      </c>
      <c r="H241" s="35">
        <v>152.60004868458455</v>
      </c>
      <c r="I241" s="9">
        <v>30</v>
      </c>
      <c r="J241" s="17">
        <f>'CDM Activity'!N89</f>
        <v>2574556.7460973877</v>
      </c>
      <c r="K241" s="9">
        <v>1</v>
      </c>
      <c r="L241" s="45">
        <v>137083.82557993781</v>
      </c>
      <c r="M241" s="318">
        <v>336</v>
      </c>
      <c r="N241" s="9"/>
      <c r="O241" s="9">
        <f t="shared" si="7"/>
        <v>96199957.87188381</v>
      </c>
    </row>
    <row r="242" spans="1:36" x14ac:dyDescent="0.2">
      <c r="A242" s="2">
        <v>42339</v>
      </c>
      <c r="B242" s="45">
        <v>0</v>
      </c>
      <c r="C242" s="17"/>
      <c r="D242" s="17"/>
      <c r="E242" s="26">
        <f t="shared" si="6"/>
        <v>0</v>
      </c>
      <c r="F242" s="313">
        <v>551.40749999999991</v>
      </c>
      <c r="G242" s="313">
        <v>0</v>
      </c>
      <c r="H242" s="35">
        <v>152.89867891684409</v>
      </c>
      <c r="I242" s="9">
        <v>31</v>
      </c>
      <c r="J242" s="17">
        <f>'CDM Activity'!N90</f>
        <v>2575065.3152204282</v>
      </c>
      <c r="K242" s="9">
        <v>0</v>
      </c>
      <c r="L242" s="45">
        <v>137129.62170393643</v>
      </c>
      <c r="M242" s="318">
        <v>368</v>
      </c>
      <c r="N242" s="9"/>
      <c r="O242" s="9">
        <f t="shared" si="7"/>
        <v>108973451.20176043</v>
      </c>
    </row>
    <row r="243" spans="1:36" s="33" customFormat="1" x14ac:dyDescent="0.2">
      <c r="A243" s="32"/>
      <c r="B243" s="26"/>
      <c r="C243" s="26"/>
      <c r="D243" s="26"/>
      <c r="E243" s="26"/>
      <c r="F243" s="66"/>
      <c r="G243" s="66"/>
      <c r="H243" s="64"/>
      <c r="I243" s="17"/>
      <c r="J243" s="17"/>
      <c r="K243" s="17"/>
      <c r="L243" s="17"/>
      <c r="M243" s="22"/>
      <c r="N243" s="17"/>
      <c r="O243" s="17"/>
      <c r="P243" s="22"/>
      <c r="Q243" s="22"/>
      <c r="AB243" s="26"/>
      <c r="AC243" s="26"/>
      <c r="AD243" s="26"/>
      <c r="AE243" s="26"/>
      <c r="AF243" s="26"/>
      <c r="AG243" s="26"/>
      <c r="AH243" s="26"/>
      <c r="AI243" s="26"/>
      <c r="AJ243" s="26"/>
    </row>
    <row r="244" spans="1:36" x14ac:dyDescent="0.2">
      <c r="A244" s="2"/>
      <c r="M244" s="22"/>
    </row>
    <row r="245" spans="1:36" x14ac:dyDescent="0.2">
      <c r="A245" s="2"/>
      <c r="F245" s="59"/>
      <c r="G245" s="58" t="s">
        <v>74</v>
      </c>
      <c r="M245" s="22"/>
      <c r="O245" s="46">
        <f>SUM(O3:O242)</f>
        <v>23307352587.353218</v>
      </c>
    </row>
    <row r="246" spans="1:36" x14ac:dyDescent="0.2">
      <c r="A246" s="2"/>
      <c r="M246" s="22"/>
    </row>
    <row r="247" spans="1:36" x14ac:dyDescent="0.2">
      <c r="A247">
        <v>1996</v>
      </c>
      <c r="B247" s="5">
        <f>SUM(B3:B14)</f>
        <v>0</v>
      </c>
      <c r="C247" s="5">
        <f>SUM(C3:C14)</f>
        <v>0</v>
      </c>
      <c r="D247" s="5">
        <f>SUM(D3:D14)</f>
        <v>0</v>
      </c>
      <c r="E247" s="5">
        <f>SUM(E3:E14)</f>
        <v>0</v>
      </c>
      <c r="O247" s="5">
        <f>SUM(O3:O14)</f>
        <v>918650548.56827152</v>
      </c>
      <c r="P247" s="38">
        <f t="shared" ref="P247:P266" si="8">O247-B247</f>
        <v>918650548.56827152</v>
      </c>
      <c r="Q247" s="4"/>
    </row>
    <row r="248" spans="1:36" x14ac:dyDescent="0.2">
      <c r="A248" s="16">
        <v>1997</v>
      </c>
      <c r="B248" s="5">
        <f>SUM(B15:B26)</f>
        <v>0</v>
      </c>
      <c r="C248" s="5">
        <f>SUM(C15:C26)</f>
        <v>0</v>
      </c>
      <c r="D248" s="5">
        <f>SUM(D15:D26)</f>
        <v>0</v>
      </c>
      <c r="E248" s="5">
        <f>SUM(E15:E26)</f>
        <v>0</v>
      </c>
      <c r="O248" s="5">
        <f>SUM(O15:O26)</f>
        <v>929128148.46270084</v>
      </c>
      <c r="P248" s="38">
        <f t="shared" si="8"/>
        <v>929128148.46270084</v>
      </c>
      <c r="Q248" s="4"/>
    </row>
    <row r="249" spans="1:36" x14ac:dyDescent="0.2">
      <c r="A249">
        <v>1998</v>
      </c>
      <c r="B249" s="5">
        <f>SUM(B27:B38)</f>
        <v>0</v>
      </c>
      <c r="C249" s="5">
        <f>SUM(C27:C38)</f>
        <v>0</v>
      </c>
      <c r="D249" s="5">
        <f>SUM(D27:D38)</f>
        <v>0</v>
      </c>
      <c r="E249" s="5">
        <f>SUM(E27:E38)</f>
        <v>0</v>
      </c>
      <c r="O249" s="5">
        <f>SUM(O27:O38)</f>
        <v>989909521.93485343</v>
      </c>
      <c r="P249" s="38">
        <f t="shared" si="8"/>
        <v>989909521.93485343</v>
      </c>
      <c r="Q249" s="4"/>
    </row>
    <row r="250" spans="1:36" x14ac:dyDescent="0.2">
      <c r="A250" s="16">
        <v>1999</v>
      </c>
      <c r="B250" s="5">
        <f>SUM(B39:B50)</f>
        <v>0</v>
      </c>
      <c r="C250" s="5">
        <f>SUM(C39:C50)</f>
        <v>0</v>
      </c>
      <c r="D250" s="5">
        <f>SUM(D39:D50)</f>
        <v>0</v>
      </c>
      <c r="E250" s="5">
        <f>SUM(E39:E50)</f>
        <v>0</v>
      </c>
      <c r="O250" s="5">
        <f>SUM(O39:O50)</f>
        <v>1036760386.7819476</v>
      </c>
      <c r="P250" s="38">
        <f t="shared" si="8"/>
        <v>1036760386.7819476</v>
      </c>
      <c r="Q250" s="4"/>
    </row>
    <row r="251" spans="1:36" x14ac:dyDescent="0.2">
      <c r="A251">
        <v>2000</v>
      </c>
      <c r="B251" s="5">
        <f>SUM(B51:B62)</f>
        <v>0</v>
      </c>
      <c r="C251" s="5">
        <f>SUM(C51:C62)</f>
        <v>0</v>
      </c>
      <c r="D251" s="5">
        <f>SUM(D51:D62)</f>
        <v>0</v>
      </c>
      <c r="E251" s="5">
        <f>SUM(E51:E62)</f>
        <v>0</v>
      </c>
      <c r="O251" s="5">
        <f>SUM(O51:O62)</f>
        <v>1060388686.0239441</v>
      </c>
      <c r="P251" s="38">
        <f t="shared" si="8"/>
        <v>1060388686.0239441</v>
      </c>
      <c r="Q251" s="4"/>
    </row>
    <row r="252" spans="1:36" x14ac:dyDescent="0.2">
      <c r="A252" s="16">
        <v>2001</v>
      </c>
      <c r="B252" s="5">
        <f>SUM(B63:B74)</f>
        <v>0</v>
      </c>
      <c r="C252" s="5">
        <f>SUM(C63:C74)</f>
        <v>0</v>
      </c>
      <c r="D252" s="5">
        <f>SUM(D63:D74)</f>
        <v>0</v>
      </c>
      <c r="E252" s="5">
        <f>SUM(E63:E74)</f>
        <v>0</v>
      </c>
      <c r="O252" s="5">
        <f>SUM(O63:O74)</f>
        <v>1068771299.9834902</v>
      </c>
      <c r="P252" s="38">
        <f t="shared" si="8"/>
        <v>1068771299.9834902</v>
      </c>
      <c r="Q252" s="4"/>
    </row>
    <row r="253" spans="1:36" x14ac:dyDescent="0.2">
      <c r="A253">
        <v>2002</v>
      </c>
      <c r="B253" s="5">
        <f>SUM(B75:B86)</f>
        <v>1162710673.7803967</v>
      </c>
      <c r="C253" s="5">
        <f>SUM(C75:C86)</f>
        <v>0</v>
      </c>
      <c r="D253" s="5">
        <f>SUM(D75:D86)</f>
        <v>0</v>
      </c>
      <c r="E253" s="5">
        <f>SUM(E75:E86)</f>
        <v>1162710673.7803967</v>
      </c>
      <c r="O253" s="5">
        <f>SUM(O75:O86)</f>
        <v>1162665476.2128398</v>
      </c>
      <c r="P253" s="38">
        <f t="shared" si="8"/>
        <v>-45197.567556858063</v>
      </c>
      <c r="Q253" s="4">
        <f t="shared" ref="Q253:Q264" si="9">P253/B253</f>
        <v>-3.8872583331418362E-5</v>
      </c>
    </row>
    <row r="254" spans="1:36" x14ac:dyDescent="0.2">
      <c r="A254" s="16">
        <v>2003</v>
      </c>
      <c r="B254" s="5">
        <f>SUM(B87:B98)</f>
        <v>1152043160.1684203</v>
      </c>
      <c r="C254" s="5">
        <f>SUM(C87:C98)</f>
        <v>0</v>
      </c>
      <c r="D254" s="5">
        <f>SUM(D87:D98)</f>
        <v>0</v>
      </c>
      <c r="E254" s="5">
        <f>SUM(E87:E98)</f>
        <v>1152043160.1684203</v>
      </c>
      <c r="O254" s="5">
        <f>SUM(O87:O98)</f>
        <v>1167650715.8182812</v>
      </c>
      <c r="P254" s="38">
        <f t="shared" si="8"/>
        <v>15607555.649860859</v>
      </c>
      <c r="Q254" s="4">
        <f t="shared" si="9"/>
        <v>1.3547717819512204E-2</v>
      </c>
    </row>
    <row r="255" spans="1:36" x14ac:dyDescent="0.2">
      <c r="A255">
        <v>2004</v>
      </c>
      <c r="B255" s="5">
        <f>SUM(B99:B110)</f>
        <v>1205241073.8281755</v>
      </c>
      <c r="C255" s="5">
        <f>SUM(C99:C110)</f>
        <v>0</v>
      </c>
      <c r="D255" s="5">
        <f>SUM(D99:D110)</f>
        <v>0</v>
      </c>
      <c r="E255" s="5">
        <f>SUM(E99:E110)</f>
        <v>1205241073.8281755</v>
      </c>
      <c r="O255" s="5">
        <f>SUM(O99:O110)</f>
        <v>1182645856.3429189</v>
      </c>
      <c r="P255" s="38">
        <f t="shared" si="8"/>
        <v>-22595217.485256672</v>
      </c>
      <c r="Q255" s="4">
        <f t="shared" si="9"/>
        <v>-1.8747467188027434E-2</v>
      </c>
    </row>
    <row r="256" spans="1:36" x14ac:dyDescent="0.2">
      <c r="A256" s="16">
        <v>2005</v>
      </c>
      <c r="B256" s="5">
        <f>SUM(B111:B122)</f>
        <v>1272191338.9746144</v>
      </c>
      <c r="C256" s="5">
        <f>SUM(C111:C122)</f>
        <v>0</v>
      </c>
      <c r="D256" s="5">
        <f>SUM(D111:D122)</f>
        <v>0</v>
      </c>
      <c r="E256" s="5">
        <f>SUM(E111:E122)</f>
        <v>1272191338.9746144</v>
      </c>
      <c r="O256" s="26">
        <f>SUM(O111:O122)</f>
        <v>1271722798.002039</v>
      </c>
      <c r="P256" s="38">
        <f t="shared" si="8"/>
        <v>-468540.9725754261</v>
      </c>
      <c r="Q256" s="4">
        <f t="shared" si="9"/>
        <v>-3.6829442098943225E-4</v>
      </c>
    </row>
    <row r="257" spans="1:17" x14ac:dyDescent="0.2">
      <c r="A257">
        <v>2006</v>
      </c>
      <c r="B257" s="5">
        <f>SUM(B123:B134)</f>
        <v>1248057839.7212546</v>
      </c>
      <c r="C257" s="5">
        <f>SUM(C123:C134)</f>
        <v>0</v>
      </c>
      <c r="D257" s="5">
        <f>SUM(D123:D134)</f>
        <v>0</v>
      </c>
      <c r="E257" s="5">
        <f>SUM(E123:E134)</f>
        <v>1248057839.7212546</v>
      </c>
      <c r="O257" s="26">
        <f>SUM(O123:O134)</f>
        <v>1249433262.1496065</v>
      </c>
      <c r="P257" s="38">
        <f t="shared" si="8"/>
        <v>1375422.4283518791</v>
      </c>
      <c r="Q257" s="4">
        <f t="shared" si="9"/>
        <v>1.1020502292258111E-3</v>
      </c>
    </row>
    <row r="258" spans="1:17" x14ac:dyDescent="0.2">
      <c r="A258" s="16">
        <v>2007</v>
      </c>
      <c r="B258" s="5">
        <f>SUM(B135:B146)</f>
        <v>1283916366.3514185</v>
      </c>
      <c r="C258" s="5">
        <f>SUM(C135:C146)</f>
        <v>0</v>
      </c>
      <c r="D258" s="5">
        <f>SUM(D135:D146)</f>
        <v>0</v>
      </c>
      <c r="E258" s="5">
        <f>SUM(E135:E146)</f>
        <v>1283916366.3514185</v>
      </c>
      <c r="O258" s="26">
        <f>SUM(O135:O146)</f>
        <v>1270377856.264178</v>
      </c>
      <c r="P258" s="38">
        <f t="shared" si="8"/>
        <v>-13538510.087240458</v>
      </c>
      <c r="Q258" s="4">
        <f t="shared" si="9"/>
        <v>-1.0544697802796647E-2</v>
      </c>
    </row>
    <row r="259" spans="1:17" x14ac:dyDescent="0.2">
      <c r="A259">
        <v>2008</v>
      </c>
      <c r="B259" s="5">
        <f>SUM(B147:B158)</f>
        <v>1248342618.218019</v>
      </c>
      <c r="C259" s="5">
        <f>SUM(C147:C158)</f>
        <v>0</v>
      </c>
      <c r="D259" s="5">
        <f>SUM(D147:D158)</f>
        <v>-986548.99999999988</v>
      </c>
      <c r="E259" s="5">
        <f>SUM(E147:E158)</f>
        <v>1247356069.218019</v>
      </c>
      <c r="O259" s="26">
        <f>SUM(O147:O158)</f>
        <v>1255843367.8588324</v>
      </c>
      <c r="P259" s="38">
        <f t="shared" si="8"/>
        <v>7500749.6408133507</v>
      </c>
      <c r="Q259" s="4">
        <f t="shared" si="9"/>
        <v>6.008566503577761E-3</v>
      </c>
    </row>
    <row r="260" spans="1:17" x14ac:dyDescent="0.2">
      <c r="A260" s="16">
        <v>2009</v>
      </c>
      <c r="B260" s="5">
        <f>SUM(B159:B170)</f>
        <v>1217543467.4732933</v>
      </c>
      <c r="C260" s="5">
        <f>SUM(C159:C170)</f>
        <v>0</v>
      </c>
      <c r="D260" s="5">
        <f>SUM(D159:D170)</f>
        <v>-735648</v>
      </c>
      <c r="E260" s="5">
        <f>SUM(E159:E170)</f>
        <v>1216807819.4732933</v>
      </c>
      <c r="O260" s="26">
        <f>SUM(O159:O170)</f>
        <v>1225399085.2882426</v>
      </c>
      <c r="P260" s="38">
        <f t="shared" si="8"/>
        <v>7855617.8149492741</v>
      </c>
      <c r="Q260" s="4">
        <f t="shared" si="9"/>
        <v>6.4520224737862073E-3</v>
      </c>
    </row>
    <row r="261" spans="1:17" x14ac:dyDescent="0.2">
      <c r="A261">
        <v>2010</v>
      </c>
      <c r="B261" s="5">
        <f>SUM(B171:B182)</f>
        <v>1259586591.1092393</v>
      </c>
      <c r="C261" s="5">
        <f>SUM(C171:C182)</f>
        <v>6286072</v>
      </c>
      <c r="D261" s="5">
        <f>SUM(D171:D182)</f>
        <v>-1158026.1599999997</v>
      </c>
      <c r="E261" s="5">
        <f>SUM(E171:E182)</f>
        <v>1264714636.949239</v>
      </c>
      <c r="O261" s="26">
        <f>SUM(O171:O182)</f>
        <v>1256450872.6026883</v>
      </c>
      <c r="P261" s="38">
        <f t="shared" si="8"/>
        <v>-3135718.5065510273</v>
      </c>
      <c r="Q261" s="4">
        <f t="shared" si="9"/>
        <v>-2.4894822862393251E-3</v>
      </c>
    </row>
    <row r="262" spans="1:17" x14ac:dyDescent="0.2">
      <c r="A262">
        <v>2011</v>
      </c>
      <c r="B262" s="5">
        <f>SUM(B183:B194)</f>
        <v>1256773343.0332735</v>
      </c>
      <c r="C262" s="5">
        <f>SUM(C183:C194)</f>
        <v>10647402</v>
      </c>
      <c r="D262" s="5">
        <f>SUM(D183:D194)</f>
        <v>-1109082.6099999999</v>
      </c>
      <c r="E262" s="5">
        <f>SUM(E183:E194)</f>
        <v>1266311662.4232736</v>
      </c>
      <c r="O262" s="26">
        <f>SUM(O183:O194)</f>
        <v>1265208873.2973049</v>
      </c>
      <c r="P262" s="38">
        <f t="shared" si="8"/>
        <v>8435530.2640314102</v>
      </c>
      <c r="Q262" s="4">
        <f t="shared" si="9"/>
        <v>6.7120537770732113E-3</v>
      </c>
    </row>
    <row r="263" spans="1:17" x14ac:dyDescent="0.2">
      <c r="A263">
        <v>2012</v>
      </c>
      <c r="B263" s="5">
        <f>SUM(B195:B206)</f>
        <v>1250182338.2192719</v>
      </c>
      <c r="C263" s="5">
        <f>SUM(C195:C206)</f>
        <v>11553261</v>
      </c>
      <c r="D263" s="5">
        <f>SUM(D195:D206)</f>
        <v>-946148.32</v>
      </c>
      <c r="E263" s="5">
        <f>SUM(E195:E206)</f>
        <v>1260789450.8992722</v>
      </c>
      <c r="O263" s="26">
        <f>SUM(O195:O206)</f>
        <v>1275140355.1855636</v>
      </c>
      <c r="P263" s="38">
        <f t="shared" si="8"/>
        <v>24958016.966291666</v>
      </c>
      <c r="Q263" s="4">
        <f t="shared" si="9"/>
        <v>1.9963501485584283E-2</v>
      </c>
    </row>
    <row r="264" spans="1:17" x14ac:dyDescent="0.2">
      <c r="A264">
        <v>2013</v>
      </c>
      <c r="B264" s="26">
        <f>SUM(B207:B218)</f>
        <v>1237895470.3832755</v>
      </c>
      <c r="C264" s="26">
        <f>SUM(C207:C218)</f>
        <v>13069574</v>
      </c>
      <c r="D264" s="26">
        <f>SUM(D207:D218)</f>
        <v>-964964.8599999994</v>
      </c>
      <c r="E264" s="26">
        <f>SUM(E207:E218)</f>
        <v>1250000079.5232756</v>
      </c>
      <c r="O264" s="26">
        <f>SUM(O207:O218)</f>
        <v>1237576506.9836352</v>
      </c>
      <c r="P264" s="38">
        <f t="shared" si="8"/>
        <v>-318963.39964032173</v>
      </c>
      <c r="Q264" s="4">
        <f t="shared" si="9"/>
        <v>-2.5766585892875486E-4</v>
      </c>
    </row>
    <row r="265" spans="1:17" x14ac:dyDescent="0.2">
      <c r="A265">
        <v>2014</v>
      </c>
      <c r="B265" s="5">
        <f>SUM(B219:B230)</f>
        <v>414428670.98058736</v>
      </c>
      <c r="C265" s="5">
        <f>SUM(C219:C230)</f>
        <v>3640835</v>
      </c>
      <c r="D265" s="5">
        <f>SUM(D219:D230)</f>
        <v>0</v>
      </c>
      <c r="E265" s="5">
        <f>SUM(E219:E230)</f>
        <v>418069505.98058736</v>
      </c>
      <c r="O265" s="26">
        <f>SUM(O219:O230)</f>
        <v>1238461756.4547868</v>
      </c>
      <c r="P265" s="38">
        <f t="shared" si="8"/>
        <v>824033085.47419941</v>
      </c>
      <c r="Q265" s="4"/>
    </row>
    <row r="266" spans="1:17" x14ac:dyDescent="0.2">
      <c r="A266">
        <v>2015</v>
      </c>
      <c r="B266" s="5">
        <f>SUM(B231:B242)</f>
        <v>0</v>
      </c>
      <c r="C266" s="5">
        <f>SUM(C231:C242)</f>
        <v>0</v>
      </c>
      <c r="D266" s="5">
        <f>SUM(D231:D242)</f>
        <v>0</v>
      </c>
      <c r="E266" s="5">
        <f>SUM(E231:E242)</f>
        <v>0</v>
      </c>
      <c r="O266" s="26">
        <f>SUM(O231:O242)</f>
        <v>1245167213.1371078</v>
      </c>
      <c r="P266" s="38">
        <f t="shared" si="8"/>
        <v>1245167213.1371078</v>
      </c>
      <c r="Q266" s="4"/>
    </row>
    <row r="267" spans="1:17" x14ac:dyDescent="0.2">
      <c r="O267" s="5"/>
    </row>
    <row r="268" spans="1:17" x14ac:dyDescent="0.2">
      <c r="A268" s="319" t="s">
        <v>272</v>
      </c>
      <c r="B268" s="5">
        <f>SUM(B247:B264)</f>
        <v>14794484281.260654</v>
      </c>
      <c r="C268" s="5">
        <f>SUM(C247:C264)</f>
        <v>41556309</v>
      </c>
      <c r="D268" s="5">
        <f>SUM(D247:D264)</f>
        <v>-5900418.9499999993</v>
      </c>
      <c r="E268" s="5">
        <f>SUM(E247:E264)</f>
        <v>14830140171.310654</v>
      </c>
      <c r="O268" s="5">
        <f>SUM(O253:O264)</f>
        <v>14820115026.00613</v>
      </c>
      <c r="P268" s="5">
        <f>O268-E268</f>
        <v>-10025145.304523468</v>
      </c>
    </row>
    <row r="270" spans="1:17" x14ac:dyDescent="0.2">
      <c r="O270" s="5">
        <f>SUM(O247:O266)</f>
        <v>23307352587.353233</v>
      </c>
      <c r="P270" s="46">
        <f>O245-O270</f>
        <v>0</v>
      </c>
    </row>
    <row r="271" spans="1:17" x14ac:dyDescent="0.2">
      <c r="O271" s="18"/>
      <c r="P271" s="18" t="s">
        <v>68</v>
      </c>
      <c r="Q271" s="18"/>
    </row>
    <row r="273" spans="1:36" s="245" customFormat="1" x14ac:dyDescent="0.2">
      <c r="B273" s="331"/>
      <c r="C273" s="329"/>
      <c r="D273" s="329"/>
      <c r="E273" s="329"/>
      <c r="F273" s="332"/>
      <c r="G273" s="332"/>
      <c r="H273" s="333"/>
      <c r="I273" s="174"/>
      <c r="J273" s="174"/>
      <c r="K273" s="174"/>
      <c r="L273" s="174"/>
      <c r="M273" s="174"/>
      <c r="N273" s="174"/>
      <c r="O273" s="174"/>
      <c r="P273" s="174"/>
      <c r="Q273" s="174"/>
      <c r="AB273" s="331"/>
      <c r="AC273" s="331"/>
      <c r="AD273" s="331"/>
      <c r="AE273" s="331"/>
      <c r="AF273" s="331"/>
      <c r="AG273" s="331"/>
      <c r="AH273" s="331"/>
      <c r="AI273" s="331"/>
      <c r="AJ273" s="331"/>
    </row>
    <row r="274" spans="1:36" s="245" customFormat="1" x14ac:dyDescent="0.2">
      <c r="B274" s="331"/>
      <c r="C274" s="329"/>
      <c r="D274" s="329"/>
      <c r="E274" s="329"/>
      <c r="F274" s="332"/>
      <c r="G274" s="332"/>
      <c r="H274" s="333"/>
      <c r="I274" s="174"/>
      <c r="J274" s="174"/>
      <c r="K274" s="174"/>
      <c r="L274" s="174"/>
      <c r="M274" s="174"/>
      <c r="N274" s="174"/>
      <c r="O274" s="174"/>
      <c r="P274" s="174"/>
      <c r="Q274" s="174"/>
      <c r="AB274" s="331"/>
      <c r="AC274" s="331"/>
      <c r="AD274" s="331"/>
      <c r="AE274" s="331"/>
      <c r="AF274" s="331"/>
      <c r="AG274" s="331"/>
      <c r="AH274" s="331"/>
      <c r="AI274" s="331"/>
      <c r="AJ274" s="331"/>
    </row>
    <row r="275" spans="1:36" s="245" customFormat="1" x14ac:dyDescent="0.2">
      <c r="B275" s="331"/>
      <c r="C275" s="329"/>
      <c r="D275" s="334"/>
      <c r="E275" s="334"/>
      <c r="F275" s="335"/>
      <c r="G275" s="334"/>
      <c r="H275" s="334"/>
      <c r="I275" s="335"/>
      <c r="J275" s="334"/>
      <c r="K275" s="334"/>
      <c r="L275" s="335"/>
      <c r="M275" s="334"/>
      <c r="N275" s="334"/>
      <c r="O275" s="335"/>
      <c r="P275" s="336"/>
      <c r="Q275" s="174"/>
      <c r="AB275" s="331"/>
      <c r="AC275" s="331"/>
      <c r="AD275" s="331"/>
      <c r="AE275" s="331"/>
      <c r="AF275" s="331"/>
      <c r="AG275" s="331"/>
      <c r="AH275" s="331"/>
      <c r="AI275" s="331"/>
      <c r="AJ275" s="331"/>
    </row>
    <row r="276" spans="1:36" s="245" customFormat="1" x14ac:dyDescent="0.2">
      <c r="B276" s="337"/>
      <c r="C276" s="329"/>
      <c r="D276" s="329"/>
      <c r="E276" s="329"/>
      <c r="F276" s="329"/>
      <c r="G276" s="329"/>
      <c r="H276" s="329"/>
      <c r="I276" s="329"/>
      <c r="J276" s="329"/>
      <c r="K276" s="329"/>
      <c r="L276" s="329"/>
      <c r="M276" s="329"/>
      <c r="N276" s="329"/>
      <c r="O276" s="329"/>
      <c r="P276" s="329"/>
      <c r="Q276" s="338"/>
      <c r="AB276" s="331"/>
      <c r="AC276" s="331"/>
      <c r="AD276" s="331"/>
      <c r="AE276" s="331"/>
      <c r="AF276" s="331"/>
      <c r="AG276" s="331"/>
      <c r="AH276" s="331"/>
      <c r="AI276" s="331"/>
      <c r="AJ276" s="331"/>
    </row>
    <row r="277" spans="1:36" s="245" customFormat="1" x14ac:dyDescent="0.2">
      <c r="B277" s="337"/>
      <c r="C277" s="329"/>
      <c r="D277" s="329"/>
      <c r="E277" s="329"/>
      <c r="F277" s="332"/>
      <c r="G277" s="332"/>
      <c r="H277" s="333"/>
      <c r="I277" s="330"/>
      <c r="J277" s="330"/>
      <c r="K277" s="330"/>
      <c r="L277" s="330"/>
      <c r="M277" s="330"/>
      <c r="N277" s="339"/>
      <c r="O277" s="330"/>
      <c r="P277" s="329"/>
      <c r="Q277" s="330"/>
      <c r="AB277" s="331"/>
      <c r="AC277" s="331"/>
      <c r="AD277" s="331"/>
      <c r="AE277" s="331"/>
      <c r="AF277" s="331"/>
      <c r="AG277" s="331"/>
      <c r="AH277" s="331"/>
      <c r="AI277" s="331"/>
      <c r="AJ277" s="331"/>
    </row>
    <row r="278" spans="1:36" s="245" customFormat="1" x14ac:dyDescent="0.2">
      <c r="B278" s="337"/>
      <c r="C278" s="329"/>
      <c r="D278" s="329"/>
      <c r="E278" s="329"/>
      <c r="F278" s="329"/>
      <c r="G278" s="329"/>
      <c r="H278" s="329"/>
      <c r="I278" s="329"/>
      <c r="J278" s="329"/>
      <c r="K278" s="329"/>
      <c r="L278" s="329"/>
      <c r="M278" s="329"/>
      <c r="N278" s="329"/>
      <c r="O278" s="329"/>
      <c r="P278" s="329"/>
      <c r="Q278" s="330"/>
      <c r="AB278" s="331"/>
      <c r="AC278" s="331"/>
      <c r="AD278" s="331"/>
      <c r="AE278" s="331"/>
      <c r="AF278" s="331"/>
      <c r="AG278" s="331"/>
      <c r="AH278" s="331"/>
      <c r="AI278" s="331"/>
      <c r="AJ278" s="331"/>
    </row>
    <row r="279" spans="1:36" s="245" customFormat="1" x14ac:dyDescent="0.2">
      <c r="B279" s="331"/>
      <c r="C279" s="329"/>
      <c r="D279" s="329"/>
      <c r="E279" s="329"/>
      <c r="F279" s="332"/>
      <c r="G279" s="332"/>
      <c r="H279" s="333"/>
      <c r="I279" s="174"/>
      <c r="J279" s="174"/>
      <c r="K279" s="174"/>
      <c r="L279" s="174"/>
      <c r="M279" s="174"/>
      <c r="N279" s="336"/>
      <c r="O279" s="330"/>
      <c r="P279" s="330"/>
      <c r="Q279" s="330"/>
      <c r="AB279" s="331"/>
      <c r="AC279" s="331"/>
      <c r="AD279" s="331"/>
      <c r="AE279" s="331"/>
      <c r="AF279" s="331"/>
      <c r="AG279" s="331"/>
      <c r="AH279" s="331"/>
      <c r="AI279" s="331"/>
      <c r="AJ279" s="331"/>
    </row>
    <row r="280" spans="1:36" s="245" customFormat="1" x14ac:dyDescent="0.2">
      <c r="B280" s="331"/>
      <c r="C280" s="329"/>
      <c r="D280" s="329"/>
      <c r="E280" s="329"/>
      <c r="F280" s="332"/>
      <c r="G280" s="332"/>
      <c r="H280" s="333"/>
      <c r="I280" s="174"/>
      <c r="J280" s="331"/>
      <c r="K280" s="174"/>
      <c r="L280" s="174"/>
      <c r="M280" s="174"/>
      <c r="N280" s="336"/>
      <c r="O280" s="330"/>
      <c r="P280" s="330"/>
      <c r="Q280" s="330"/>
      <c r="AB280" s="331"/>
      <c r="AC280" s="331"/>
      <c r="AD280" s="331"/>
      <c r="AE280" s="331"/>
      <c r="AF280" s="331"/>
      <c r="AG280" s="331"/>
      <c r="AH280" s="331"/>
      <c r="AI280" s="331"/>
      <c r="AJ280" s="331"/>
    </row>
    <row r="281" spans="1:36" s="245" customFormat="1" x14ac:dyDescent="0.2">
      <c r="A281" s="340"/>
      <c r="B281" s="337"/>
      <c r="C281" s="329"/>
      <c r="D281" s="329"/>
      <c r="E281" s="329"/>
      <c r="F281" s="329"/>
      <c r="G281" s="329"/>
      <c r="H281" s="329"/>
      <c r="I281" s="329"/>
      <c r="J281" s="329"/>
      <c r="K281" s="329"/>
      <c r="L281" s="329"/>
      <c r="M281" s="329"/>
      <c r="N281" s="329"/>
      <c r="O281" s="329"/>
      <c r="P281" s="330"/>
      <c r="Q281" s="330"/>
      <c r="AB281" s="331"/>
      <c r="AC281" s="331"/>
      <c r="AD281" s="331"/>
      <c r="AE281" s="331"/>
      <c r="AF281" s="331"/>
      <c r="AG281" s="331"/>
      <c r="AH281" s="331"/>
      <c r="AI281" s="331"/>
      <c r="AJ281" s="331"/>
    </row>
    <row r="282" spans="1:36" s="245" customFormat="1" x14ac:dyDescent="0.2">
      <c r="B282" s="337"/>
      <c r="C282" s="329"/>
      <c r="D282" s="329"/>
      <c r="E282" s="329"/>
      <c r="F282" s="332"/>
      <c r="G282" s="332"/>
      <c r="H282" s="333"/>
      <c r="I282" s="330"/>
      <c r="J282" s="330"/>
      <c r="K282" s="330"/>
      <c r="L282" s="330"/>
      <c r="M282" s="330"/>
      <c r="N282" s="339"/>
      <c r="O282" s="330"/>
      <c r="P282" s="330"/>
      <c r="Q282" s="330"/>
      <c r="AB282" s="331"/>
      <c r="AC282" s="331"/>
      <c r="AD282" s="331"/>
      <c r="AE282" s="331"/>
      <c r="AF282" s="331"/>
      <c r="AG282" s="331"/>
      <c r="AH282" s="331"/>
      <c r="AI282" s="331"/>
      <c r="AJ282" s="331"/>
    </row>
    <row r="283" spans="1:36" s="245" customFormat="1" x14ac:dyDescent="0.2">
      <c r="B283" s="337"/>
      <c r="C283" s="329"/>
      <c r="D283" s="329"/>
      <c r="E283" s="329"/>
      <c r="F283" s="329"/>
      <c r="G283" s="329"/>
      <c r="H283" s="329"/>
      <c r="I283" s="329"/>
      <c r="J283" s="329"/>
      <c r="K283" s="329"/>
      <c r="L283" s="329"/>
      <c r="M283" s="329"/>
      <c r="N283" s="329"/>
      <c r="O283" s="329"/>
      <c r="P283" s="330"/>
      <c r="Q283" s="330"/>
      <c r="AB283" s="331"/>
      <c r="AC283" s="331"/>
      <c r="AD283" s="331"/>
      <c r="AE283" s="331"/>
      <c r="AF283" s="331"/>
      <c r="AG283" s="331"/>
      <c r="AH283" s="331"/>
      <c r="AI283" s="331"/>
      <c r="AJ283" s="331"/>
    </row>
    <row r="284" spans="1:36" s="245" customFormat="1" x14ac:dyDescent="0.2">
      <c r="B284" s="337"/>
      <c r="C284" s="329"/>
      <c r="D284" s="329"/>
      <c r="E284" s="329"/>
      <c r="F284" s="329"/>
      <c r="G284" s="329"/>
      <c r="H284" s="329"/>
      <c r="I284" s="329"/>
      <c r="J284" s="329"/>
      <c r="K284" s="329"/>
      <c r="L284" s="329"/>
      <c r="M284" s="329"/>
      <c r="N284" s="329"/>
      <c r="O284" s="329"/>
      <c r="P284" s="330"/>
      <c r="Q284" s="330"/>
      <c r="AB284" s="331"/>
      <c r="AC284" s="331"/>
      <c r="AD284" s="331"/>
      <c r="AE284" s="331"/>
      <c r="AF284" s="331"/>
      <c r="AG284" s="331"/>
      <c r="AH284" s="331"/>
      <c r="AI284" s="331"/>
      <c r="AJ284" s="331"/>
    </row>
    <row r="285" spans="1:36" s="245" customFormat="1" x14ac:dyDescent="0.2">
      <c r="B285" s="337"/>
      <c r="C285" s="329"/>
      <c r="D285" s="329"/>
      <c r="E285" s="329"/>
      <c r="F285" s="329"/>
      <c r="G285" s="329"/>
      <c r="H285" s="329"/>
      <c r="I285" s="329"/>
      <c r="J285" s="329"/>
      <c r="K285" s="329"/>
      <c r="L285" s="329"/>
      <c r="M285" s="329"/>
      <c r="N285" s="329"/>
      <c r="O285" s="329"/>
      <c r="P285" s="330"/>
      <c r="Q285" s="330"/>
      <c r="AB285" s="331"/>
      <c r="AC285" s="331"/>
      <c r="AD285" s="331"/>
      <c r="AE285" s="331"/>
      <c r="AF285" s="331"/>
      <c r="AG285" s="331"/>
      <c r="AH285" s="331"/>
      <c r="AI285" s="331"/>
      <c r="AJ285" s="331"/>
    </row>
    <row r="286" spans="1:36" s="245" customFormat="1" x14ac:dyDescent="0.2">
      <c r="B286" s="331"/>
      <c r="C286" s="329"/>
      <c r="D286" s="329"/>
      <c r="E286" s="329"/>
      <c r="F286" s="332"/>
      <c r="G286" s="332"/>
      <c r="H286" s="333"/>
      <c r="I286" s="174"/>
      <c r="J286" s="174"/>
      <c r="K286" s="174"/>
      <c r="L286" s="174"/>
      <c r="M286" s="174"/>
      <c r="N286" s="336"/>
      <c r="O286" s="330"/>
      <c r="P286" s="330"/>
      <c r="Q286" s="330"/>
      <c r="AB286" s="331"/>
      <c r="AC286" s="331"/>
      <c r="AD286" s="331"/>
      <c r="AE286" s="331"/>
      <c r="AF286" s="331"/>
      <c r="AG286" s="331"/>
      <c r="AH286" s="331"/>
      <c r="AI286" s="331"/>
      <c r="AJ286" s="331"/>
    </row>
    <row r="287" spans="1:36" s="245" customFormat="1" x14ac:dyDescent="0.2">
      <c r="B287" s="331"/>
      <c r="C287" s="329"/>
      <c r="D287" s="329"/>
      <c r="E287" s="329"/>
      <c r="F287" s="332"/>
      <c r="G287" s="332"/>
      <c r="H287" s="333"/>
      <c r="I287" s="174"/>
      <c r="J287" s="174"/>
      <c r="K287" s="174"/>
      <c r="L287" s="174"/>
      <c r="M287" s="174"/>
      <c r="N287" s="336"/>
      <c r="O287" s="330"/>
      <c r="P287" s="330"/>
      <c r="Q287" s="330"/>
      <c r="AB287" s="331"/>
      <c r="AC287" s="331"/>
      <c r="AD287" s="331"/>
      <c r="AE287" s="331"/>
      <c r="AF287" s="331"/>
      <c r="AG287" s="331"/>
      <c r="AH287" s="331"/>
      <c r="AI287" s="331"/>
      <c r="AJ287" s="331"/>
    </row>
    <row r="288" spans="1:36" s="245" customFormat="1" x14ac:dyDescent="0.2">
      <c r="A288" s="340"/>
      <c r="B288" s="337"/>
      <c r="C288" s="329"/>
      <c r="D288" s="329"/>
      <c r="E288" s="329"/>
      <c r="F288" s="329"/>
      <c r="G288" s="329"/>
      <c r="H288" s="329"/>
      <c r="I288" s="329"/>
      <c r="J288" s="329"/>
      <c r="K288" s="329"/>
      <c r="L288" s="329"/>
      <c r="M288" s="329"/>
      <c r="N288" s="329"/>
      <c r="O288" s="329"/>
      <c r="P288" s="330"/>
      <c r="Q288" s="330"/>
      <c r="AB288" s="331"/>
      <c r="AC288" s="331"/>
      <c r="AD288" s="331"/>
      <c r="AE288" s="331"/>
      <c r="AF288" s="331"/>
      <c r="AG288" s="331"/>
      <c r="AH288" s="331"/>
      <c r="AI288" s="331"/>
      <c r="AJ288" s="331"/>
    </row>
    <row r="289" spans="1:36" s="245" customFormat="1" x14ac:dyDescent="0.2">
      <c r="B289" s="337"/>
      <c r="C289" s="329"/>
      <c r="D289" s="329"/>
      <c r="E289" s="329"/>
      <c r="F289" s="332"/>
      <c r="G289" s="332"/>
      <c r="H289" s="333"/>
      <c r="I289" s="330"/>
      <c r="J289" s="330"/>
      <c r="K289" s="330"/>
      <c r="L289" s="330"/>
      <c r="M289" s="330"/>
      <c r="N289" s="339"/>
      <c r="O289" s="330"/>
      <c r="P289" s="330"/>
      <c r="Q289" s="330"/>
      <c r="AB289" s="331"/>
      <c r="AC289" s="331"/>
      <c r="AD289" s="331"/>
      <c r="AE289" s="331"/>
      <c r="AF289" s="331"/>
      <c r="AG289" s="331"/>
      <c r="AH289" s="331"/>
      <c r="AI289" s="331"/>
      <c r="AJ289" s="331"/>
    </row>
    <row r="290" spans="1:36" s="245" customFormat="1" x14ac:dyDescent="0.2">
      <c r="B290" s="337"/>
      <c r="C290" s="329"/>
      <c r="D290" s="329"/>
      <c r="E290" s="329"/>
      <c r="F290" s="332"/>
      <c r="G290" s="332"/>
      <c r="H290" s="333"/>
      <c r="I290" s="174"/>
      <c r="J290" s="174"/>
      <c r="K290" s="174"/>
      <c r="L290" s="174"/>
      <c r="M290" s="174"/>
      <c r="N290" s="174"/>
      <c r="O290" s="174"/>
      <c r="P290" s="174"/>
      <c r="Q290" s="174"/>
      <c r="AB290" s="331"/>
      <c r="AC290" s="331"/>
      <c r="AD290" s="331"/>
      <c r="AE290" s="331"/>
      <c r="AF290" s="331"/>
      <c r="AG290" s="331"/>
      <c r="AH290" s="331"/>
      <c r="AI290" s="331"/>
      <c r="AJ290" s="331"/>
    </row>
    <row r="291" spans="1:36" s="245" customFormat="1" x14ac:dyDescent="0.2">
      <c r="B291" s="337"/>
      <c r="C291" s="329"/>
      <c r="D291" s="329"/>
      <c r="E291" s="329"/>
      <c r="F291" s="332"/>
      <c r="G291" s="332"/>
      <c r="H291" s="333"/>
      <c r="I291" s="174"/>
      <c r="J291" s="174"/>
      <c r="K291" s="174"/>
      <c r="L291" s="174"/>
      <c r="M291" s="174"/>
      <c r="N291" s="174"/>
      <c r="O291" s="174"/>
      <c r="P291" s="174"/>
      <c r="Q291" s="174"/>
      <c r="AB291" s="331"/>
      <c r="AC291" s="331"/>
      <c r="AD291" s="331"/>
      <c r="AE291" s="331"/>
      <c r="AF291" s="331"/>
      <c r="AG291" s="331"/>
      <c r="AH291" s="331"/>
      <c r="AI291" s="331"/>
      <c r="AJ291" s="331"/>
    </row>
    <row r="292" spans="1:36" s="245" customFormat="1" x14ac:dyDescent="0.2">
      <c r="B292" s="337"/>
      <c r="C292" s="329"/>
      <c r="D292" s="329"/>
      <c r="E292" s="329"/>
      <c r="F292" s="332"/>
      <c r="G292" s="332"/>
      <c r="H292" s="333"/>
      <c r="I292" s="174"/>
      <c r="J292" s="174"/>
      <c r="K292" s="174"/>
      <c r="L292" s="174"/>
      <c r="M292" s="174"/>
      <c r="N292" s="174"/>
      <c r="O292" s="174"/>
      <c r="P292" s="174"/>
      <c r="Q292" s="174"/>
      <c r="AB292" s="331"/>
      <c r="AC292" s="331"/>
      <c r="AD292" s="331"/>
      <c r="AE292" s="331"/>
      <c r="AF292" s="331"/>
      <c r="AG292" s="331"/>
      <c r="AH292" s="331"/>
      <c r="AI292" s="331"/>
      <c r="AJ292" s="331"/>
    </row>
    <row r="293" spans="1:36" s="245" customFormat="1" x14ac:dyDescent="0.2">
      <c r="B293" s="331"/>
      <c r="C293" s="329"/>
      <c r="D293" s="329"/>
      <c r="E293" s="329"/>
      <c r="F293" s="332"/>
      <c r="G293" s="332"/>
      <c r="H293" s="333"/>
      <c r="I293" s="174"/>
      <c r="J293" s="174"/>
      <c r="K293" s="174"/>
      <c r="L293" s="174"/>
      <c r="M293" s="174"/>
      <c r="N293" s="174"/>
      <c r="O293" s="174"/>
      <c r="P293" s="174"/>
      <c r="Q293" s="174"/>
      <c r="AB293" s="331"/>
      <c r="AC293" s="331"/>
      <c r="AD293" s="331"/>
      <c r="AE293" s="331"/>
      <c r="AF293" s="331"/>
      <c r="AG293" s="331"/>
      <c r="AH293" s="331"/>
      <c r="AI293" s="331"/>
      <c r="AJ293" s="331"/>
    </row>
    <row r="294" spans="1:36" s="245" customFormat="1" x14ac:dyDescent="0.2">
      <c r="B294" s="331"/>
      <c r="C294" s="329"/>
      <c r="D294" s="329"/>
      <c r="E294" s="329"/>
      <c r="F294" s="332"/>
      <c r="G294" s="332"/>
      <c r="H294" s="333"/>
      <c r="I294" s="174"/>
      <c r="J294" s="174"/>
      <c r="K294" s="174"/>
      <c r="L294" s="174"/>
      <c r="M294" s="174"/>
      <c r="N294" s="174"/>
      <c r="O294" s="174"/>
      <c r="P294" s="174"/>
      <c r="Q294" s="174"/>
      <c r="AB294" s="331"/>
      <c r="AC294" s="331"/>
      <c r="AD294" s="331"/>
      <c r="AE294" s="331"/>
      <c r="AF294" s="331"/>
      <c r="AG294" s="331"/>
      <c r="AH294" s="331"/>
      <c r="AI294" s="331"/>
      <c r="AJ294" s="331"/>
    </row>
    <row r="295" spans="1:36" s="245" customFormat="1" x14ac:dyDescent="0.2">
      <c r="A295" s="340"/>
      <c r="B295" s="337"/>
      <c r="C295" s="329"/>
      <c r="D295" s="329"/>
      <c r="E295" s="329"/>
      <c r="F295" s="332"/>
      <c r="G295" s="332"/>
      <c r="H295" s="333"/>
      <c r="I295" s="174"/>
      <c r="J295" s="174"/>
      <c r="K295" s="174"/>
      <c r="L295" s="174"/>
      <c r="M295" s="174"/>
      <c r="N295" s="174"/>
      <c r="O295" s="174"/>
      <c r="P295" s="174"/>
      <c r="Q295" s="174"/>
      <c r="AB295" s="331"/>
      <c r="AC295" s="331"/>
      <c r="AD295" s="331"/>
      <c r="AE295" s="331"/>
      <c r="AF295" s="331"/>
      <c r="AG295" s="331"/>
      <c r="AH295" s="331"/>
      <c r="AI295" s="331"/>
      <c r="AJ295" s="331"/>
    </row>
    <row r="296" spans="1:36" s="245" customFormat="1" x14ac:dyDescent="0.2">
      <c r="B296" s="337"/>
      <c r="C296" s="329"/>
      <c r="D296" s="329"/>
      <c r="E296" s="329"/>
      <c r="F296" s="332"/>
      <c r="G296" s="332"/>
      <c r="H296" s="333"/>
      <c r="I296" s="174"/>
      <c r="J296" s="174"/>
      <c r="K296" s="174"/>
      <c r="L296" s="174"/>
      <c r="M296" s="174"/>
      <c r="N296" s="174"/>
      <c r="O296" s="174"/>
      <c r="P296" s="174"/>
      <c r="Q296" s="174"/>
      <c r="AB296" s="331"/>
      <c r="AC296" s="331"/>
      <c r="AD296" s="331"/>
      <c r="AE296" s="331"/>
      <c r="AF296" s="331"/>
      <c r="AG296" s="331"/>
      <c r="AH296" s="331"/>
      <c r="AI296" s="331"/>
      <c r="AJ296" s="331"/>
    </row>
    <row r="297" spans="1:36" s="245" customFormat="1" x14ac:dyDescent="0.2">
      <c r="B297" s="337"/>
      <c r="C297" s="329"/>
      <c r="D297" s="329"/>
      <c r="E297" s="329"/>
      <c r="F297" s="332"/>
      <c r="G297" s="332"/>
      <c r="H297" s="333"/>
      <c r="I297" s="174"/>
      <c r="J297" s="174"/>
      <c r="K297" s="174"/>
      <c r="L297" s="174"/>
      <c r="M297" s="174"/>
      <c r="N297" s="174"/>
      <c r="O297" s="174"/>
      <c r="P297" s="174"/>
      <c r="Q297" s="174"/>
      <c r="AB297" s="331"/>
      <c r="AC297" s="331"/>
      <c r="AD297" s="331"/>
      <c r="AE297" s="331"/>
      <c r="AF297" s="331"/>
      <c r="AG297" s="331"/>
      <c r="AH297" s="331"/>
      <c r="AI297" s="331"/>
      <c r="AJ297" s="331"/>
    </row>
    <row r="298" spans="1:36" s="245" customFormat="1" x14ac:dyDescent="0.2">
      <c r="B298" s="337"/>
      <c r="C298" s="329"/>
      <c r="D298" s="329"/>
      <c r="E298" s="329"/>
      <c r="F298" s="332"/>
      <c r="G298" s="332"/>
      <c r="H298" s="333"/>
      <c r="I298" s="174"/>
      <c r="J298" s="174"/>
      <c r="K298" s="174"/>
      <c r="L298" s="174"/>
      <c r="M298" s="174"/>
      <c r="N298" s="174"/>
      <c r="O298" s="174"/>
      <c r="P298" s="174"/>
      <c r="Q298" s="174"/>
      <c r="AB298" s="331"/>
      <c r="AC298" s="331"/>
      <c r="AD298" s="331"/>
      <c r="AE298" s="331"/>
      <c r="AF298" s="331"/>
      <c r="AG298" s="331"/>
      <c r="AH298" s="331"/>
      <c r="AI298" s="331"/>
      <c r="AJ298" s="331"/>
    </row>
    <row r="299" spans="1:36" s="245" customFormat="1" x14ac:dyDescent="0.2">
      <c r="B299" s="337"/>
      <c r="C299" s="329"/>
      <c r="D299" s="329"/>
      <c r="E299" s="329"/>
      <c r="F299" s="332"/>
      <c r="G299" s="332"/>
      <c r="H299" s="333"/>
      <c r="I299" s="174"/>
      <c r="J299" s="174"/>
      <c r="K299" s="174"/>
      <c r="L299" s="174"/>
      <c r="M299" s="174"/>
      <c r="N299" s="174"/>
      <c r="O299" s="174"/>
      <c r="P299" s="174"/>
      <c r="Q299" s="174"/>
      <c r="AB299" s="331"/>
      <c r="AC299" s="331"/>
      <c r="AD299" s="331"/>
      <c r="AE299" s="331"/>
      <c r="AF299" s="331"/>
      <c r="AG299" s="331"/>
      <c r="AH299" s="331"/>
      <c r="AI299" s="331"/>
      <c r="AJ299" s="331"/>
    </row>
    <row r="300" spans="1:36" s="245" customFormat="1" x14ac:dyDescent="0.2">
      <c r="B300" s="331"/>
      <c r="C300" s="329"/>
      <c r="D300" s="329"/>
      <c r="E300" s="329"/>
      <c r="F300" s="332"/>
      <c r="G300" s="332"/>
      <c r="H300" s="333"/>
      <c r="I300" s="174"/>
      <c r="J300" s="174"/>
      <c r="K300" s="174"/>
      <c r="L300" s="174"/>
      <c r="M300" s="174"/>
      <c r="N300" s="174"/>
      <c r="O300" s="174"/>
      <c r="P300" s="174"/>
      <c r="Q300" s="174"/>
      <c r="AB300" s="331"/>
      <c r="AC300" s="331"/>
      <c r="AD300" s="331"/>
      <c r="AE300" s="331"/>
      <c r="AF300" s="331"/>
      <c r="AG300" s="331"/>
      <c r="AH300" s="331"/>
      <c r="AI300" s="331"/>
      <c r="AJ300" s="331"/>
    </row>
    <row r="301" spans="1:36" s="245" customFormat="1" x14ac:dyDescent="0.2">
      <c r="B301" s="331"/>
      <c r="C301" s="329"/>
      <c r="D301" s="329"/>
      <c r="E301" s="329"/>
      <c r="F301" s="332"/>
      <c r="G301" s="332"/>
      <c r="H301" s="333"/>
      <c r="I301" s="174"/>
      <c r="J301" s="174"/>
      <c r="K301" s="174"/>
      <c r="L301" s="174"/>
      <c r="M301" s="174"/>
      <c r="N301" s="174"/>
      <c r="O301" s="174"/>
      <c r="P301" s="174"/>
      <c r="Q301" s="174"/>
      <c r="AB301" s="331"/>
      <c r="AC301" s="331"/>
      <c r="AD301" s="331"/>
      <c r="AE301" s="331"/>
      <c r="AF301" s="331"/>
      <c r="AG301" s="331"/>
      <c r="AH301" s="331"/>
      <c r="AI301" s="331"/>
      <c r="AJ301" s="331"/>
    </row>
    <row r="302" spans="1:36" s="245" customFormat="1" x14ac:dyDescent="0.2">
      <c r="A302" s="340"/>
      <c r="B302" s="337"/>
      <c r="C302" s="329"/>
      <c r="D302" s="329"/>
      <c r="E302" s="329"/>
      <c r="F302" s="332"/>
      <c r="G302" s="332"/>
      <c r="H302" s="333"/>
      <c r="I302" s="174"/>
      <c r="J302" s="174"/>
      <c r="K302" s="174"/>
      <c r="L302" s="174"/>
      <c r="M302" s="174"/>
      <c r="N302" s="174"/>
      <c r="O302" s="174"/>
      <c r="P302" s="174"/>
      <c r="Q302" s="174"/>
      <c r="AB302" s="331"/>
      <c r="AC302" s="331"/>
      <c r="AD302" s="331"/>
      <c r="AE302" s="331"/>
      <c r="AF302" s="331"/>
      <c r="AG302" s="331"/>
      <c r="AH302" s="331"/>
      <c r="AI302" s="331"/>
      <c r="AJ302" s="331"/>
    </row>
    <row r="303" spans="1:36" s="245" customFormat="1" x14ac:dyDescent="0.2">
      <c r="B303" s="337"/>
      <c r="C303" s="329"/>
      <c r="D303" s="329"/>
      <c r="E303" s="329"/>
      <c r="F303" s="332"/>
      <c r="G303" s="332"/>
      <c r="H303" s="333"/>
      <c r="I303" s="174"/>
      <c r="J303" s="174"/>
      <c r="K303" s="174"/>
      <c r="L303" s="174"/>
      <c r="M303" s="174"/>
      <c r="N303" s="174"/>
      <c r="O303" s="174"/>
      <c r="P303" s="174"/>
      <c r="Q303" s="174"/>
      <c r="AB303" s="331"/>
      <c r="AC303" s="331"/>
      <c r="AD303" s="331"/>
      <c r="AE303" s="331"/>
      <c r="AF303" s="331"/>
      <c r="AG303" s="331"/>
      <c r="AH303" s="331"/>
      <c r="AI303" s="331"/>
      <c r="AJ303" s="331"/>
    </row>
    <row r="304" spans="1:36" s="245" customFormat="1" x14ac:dyDescent="0.2">
      <c r="B304" s="337"/>
      <c r="C304" s="329"/>
      <c r="D304" s="329"/>
      <c r="E304" s="329"/>
      <c r="F304" s="332"/>
      <c r="G304" s="332"/>
      <c r="H304" s="333"/>
      <c r="I304" s="174"/>
      <c r="J304" s="174"/>
      <c r="K304" s="174"/>
      <c r="L304" s="174"/>
      <c r="M304" s="174"/>
      <c r="N304" s="174"/>
      <c r="O304" s="174"/>
      <c r="P304" s="174"/>
      <c r="Q304" s="174"/>
      <c r="AB304" s="331"/>
      <c r="AC304" s="331"/>
      <c r="AD304" s="331"/>
      <c r="AE304" s="331"/>
      <c r="AF304" s="331"/>
      <c r="AG304" s="331"/>
      <c r="AH304" s="331"/>
      <c r="AI304" s="331"/>
      <c r="AJ304" s="331"/>
    </row>
    <row r="305" spans="1:36" s="245" customFormat="1" x14ac:dyDescent="0.2">
      <c r="B305" s="337"/>
      <c r="C305" s="329"/>
      <c r="D305" s="329"/>
      <c r="E305" s="329"/>
      <c r="F305" s="332"/>
      <c r="G305" s="332"/>
      <c r="H305" s="333"/>
      <c r="I305" s="174"/>
      <c r="J305" s="174"/>
      <c r="K305" s="174"/>
      <c r="L305" s="174"/>
      <c r="M305" s="174"/>
      <c r="N305" s="174"/>
      <c r="O305" s="174"/>
      <c r="P305" s="174"/>
      <c r="Q305" s="174"/>
      <c r="AB305" s="331"/>
      <c r="AC305" s="331"/>
      <c r="AD305" s="331"/>
      <c r="AE305" s="331"/>
      <c r="AF305" s="331"/>
      <c r="AG305" s="331"/>
      <c r="AH305" s="331"/>
      <c r="AI305" s="331"/>
      <c r="AJ305" s="331"/>
    </row>
    <row r="306" spans="1:36" s="245" customFormat="1" x14ac:dyDescent="0.2">
      <c r="B306" s="337"/>
      <c r="C306" s="329"/>
      <c r="D306" s="329"/>
      <c r="E306" s="329"/>
      <c r="F306" s="332"/>
      <c r="G306" s="332"/>
      <c r="H306" s="333"/>
      <c r="I306" s="174"/>
      <c r="J306" s="174"/>
      <c r="K306" s="174"/>
      <c r="L306" s="174"/>
      <c r="M306" s="174"/>
      <c r="N306" s="174"/>
      <c r="O306" s="174"/>
      <c r="P306" s="174"/>
      <c r="Q306" s="174"/>
      <c r="AB306" s="331"/>
      <c r="AC306" s="331"/>
      <c r="AD306" s="331"/>
      <c r="AE306" s="331"/>
      <c r="AF306" s="331"/>
      <c r="AG306" s="331"/>
      <c r="AH306" s="331"/>
      <c r="AI306" s="331"/>
      <c r="AJ306" s="331"/>
    </row>
    <row r="307" spans="1:36" s="245" customFormat="1" x14ac:dyDescent="0.2">
      <c r="B307" s="331"/>
      <c r="C307" s="329"/>
      <c r="D307" s="329"/>
      <c r="E307" s="329"/>
      <c r="F307" s="332"/>
      <c r="G307" s="332"/>
      <c r="H307" s="333"/>
      <c r="I307" s="174"/>
      <c r="J307" s="174"/>
      <c r="K307" s="174"/>
      <c r="L307" s="174"/>
      <c r="M307" s="174"/>
      <c r="N307" s="174"/>
      <c r="O307" s="174"/>
      <c r="P307" s="174"/>
      <c r="Q307" s="174"/>
      <c r="AB307" s="331"/>
      <c r="AC307" s="331"/>
      <c r="AD307" s="331"/>
      <c r="AE307" s="331"/>
      <c r="AF307" s="331"/>
      <c r="AG307" s="331"/>
      <c r="AH307" s="331"/>
      <c r="AI307" s="331"/>
      <c r="AJ307" s="331"/>
    </row>
    <row r="308" spans="1:36" s="245" customFormat="1" x14ac:dyDescent="0.2">
      <c r="B308" s="331"/>
      <c r="C308" s="329"/>
      <c r="D308" s="329"/>
      <c r="E308" s="329"/>
      <c r="F308" s="332"/>
      <c r="G308" s="332"/>
      <c r="H308" s="333"/>
      <c r="I308" s="174"/>
      <c r="J308" s="174"/>
      <c r="K308" s="174"/>
      <c r="L308" s="174"/>
      <c r="M308" s="174"/>
      <c r="N308" s="174"/>
      <c r="O308" s="174"/>
      <c r="P308" s="174"/>
      <c r="Q308" s="174"/>
      <c r="AB308" s="331"/>
      <c r="AC308" s="331"/>
      <c r="AD308" s="331"/>
      <c r="AE308" s="331"/>
      <c r="AF308" s="331"/>
      <c r="AG308" s="331"/>
      <c r="AH308" s="331"/>
      <c r="AI308" s="331"/>
      <c r="AJ308" s="331"/>
    </row>
    <row r="309" spans="1:36" s="245" customFormat="1" x14ac:dyDescent="0.2">
      <c r="A309" s="340"/>
      <c r="B309" s="337"/>
      <c r="C309" s="329"/>
      <c r="D309" s="329"/>
      <c r="E309" s="329"/>
      <c r="F309" s="332"/>
      <c r="G309" s="332"/>
      <c r="H309" s="333"/>
      <c r="I309" s="174"/>
      <c r="J309" s="174"/>
      <c r="K309" s="174"/>
      <c r="L309" s="174"/>
      <c r="M309" s="174"/>
      <c r="N309" s="174"/>
      <c r="O309" s="174"/>
      <c r="P309" s="174"/>
      <c r="Q309" s="174"/>
      <c r="AB309" s="331"/>
      <c r="AC309" s="331"/>
      <c r="AD309" s="331"/>
      <c r="AE309" s="331"/>
      <c r="AF309" s="331"/>
      <c r="AG309" s="331"/>
      <c r="AH309" s="331"/>
      <c r="AI309" s="331"/>
      <c r="AJ309" s="331"/>
    </row>
    <row r="310" spans="1:36" s="245" customFormat="1" x14ac:dyDescent="0.2">
      <c r="B310" s="337"/>
      <c r="C310" s="329"/>
      <c r="D310" s="329"/>
      <c r="E310" s="329"/>
      <c r="F310" s="332"/>
      <c r="G310" s="332"/>
      <c r="H310" s="333"/>
      <c r="I310" s="174"/>
      <c r="J310" s="174"/>
      <c r="K310" s="174"/>
      <c r="L310" s="174"/>
      <c r="M310" s="174"/>
      <c r="N310" s="174"/>
      <c r="O310" s="174"/>
      <c r="P310" s="174"/>
      <c r="Q310" s="174"/>
      <c r="AB310" s="331"/>
      <c r="AC310" s="331"/>
      <c r="AD310" s="331"/>
      <c r="AE310" s="331"/>
      <c r="AF310" s="331"/>
      <c r="AG310" s="331"/>
      <c r="AH310" s="331"/>
      <c r="AI310" s="331"/>
      <c r="AJ310" s="331"/>
    </row>
    <row r="311" spans="1:36" s="245" customFormat="1" x14ac:dyDescent="0.2">
      <c r="B311" s="337"/>
      <c r="C311" s="329"/>
      <c r="D311" s="329"/>
      <c r="E311" s="329"/>
      <c r="F311" s="332"/>
      <c r="G311" s="332"/>
      <c r="H311" s="333"/>
      <c r="I311" s="174"/>
      <c r="J311" s="174"/>
      <c r="K311" s="174"/>
      <c r="L311" s="174"/>
      <c r="M311" s="174"/>
      <c r="N311" s="174"/>
      <c r="O311" s="174"/>
      <c r="P311" s="174"/>
      <c r="Q311" s="174"/>
      <c r="AB311" s="331"/>
      <c r="AC311" s="331"/>
      <c r="AD311" s="331"/>
      <c r="AE311" s="331"/>
      <c r="AF311" s="331"/>
      <c r="AG311" s="331"/>
      <c r="AH311" s="331"/>
      <c r="AI311" s="331"/>
      <c r="AJ311" s="331"/>
    </row>
    <row r="312" spans="1:36" s="245" customFormat="1" x14ac:dyDescent="0.2">
      <c r="B312" s="337"/>
      <c r="C312" s="329"/>
      <c r="D312" s="329"/>
      <c r="E312" s="329"/>
      <c r="F312" s="332"/>
      <c r="G312" s="332"/>
      <c r="H312" s="333"/>
      <c r="I312" s="174"/>
      <c r="J312" s="174"/>
      <c r="K312" s="174"/>
      <c r="L312" s="174"/>
      <c r="M312" s="174"/>
      <c r="N312" s="174"/>
      <c r="O312" s="174"/>
      <c r="P312" s="174"/>
      <c r="Q312" s="174"/>
      <c r="AB312" s="331"/>
      <c r="AC312" s="331"/>
      <c r="AD312" s="331"/>
      <c r="AE312" s="331"/>
      <c r="AF312" s="331"/>
      <c r="AG312" s="331"/>
      <c r="AH312" s="331"/>
      <c r="AI312" s="331"/>
      <c r="AJ312" s="331"/>
    </row>
    <row r="313" spans="1:36" s="245" customFormat="1" x14ac:dyDescent="0.2">
      <c r="B313" s="337"/>
      <c r="C313" s="329"/>
      <c r="D313" s="329"/>
      <c r="E313" s="329"/>
      <c r="F313" s="332"/>
      <c r="G313" s="332"/>
      <c r="H313" s="333"/>
      <c r="I313" s="174"/>
      <c r="J313" s="174"/>
      <c r="K313" s="174"/>
      <c r="L313" s="174"/>
      <c r="M313" s="174"/>
      <c r="N313" s="174"/>
      <c r="O313" s="174"/>
      <c r="P313" s="174"/>
      <c r="Q313" s="174"/>
      <c r="AB313" s="331"/>
      <c r="AC313" s="331"/>
      <c r="AD313" s="331"/>
      <c r="AE313" s="331"/>
      <c r="AF313" s="331"/>
      <c r="AG313" s="331"/>
      <c r="AH313" s="331"/>
      <c r="AI313" s="331"/>
      <c r="AJ313" s="331"/>
    </row>
    <row r="314" spans="1:36" s="245" customFormat="1" x14ac:dyDescent="0.2">
      <c r="B314" s="331"/>
      <c r="C314" s="329"/>
      <c r="D314" s="329"/>
      <c r="E314" s="329"/>
      <c r="F314" s="332"/>
      <c r="G314" s="332"/>
      <c r="H314" s="333"/>
      <c r="I314" s="174"/>
      <c r="J314" s="174"/>
      <c r="K314" s="174"/>
      <c r="L314" s="174"/>
      <c r="M314" s="174"/>
      <c r="N314" s="174"/>
      <c r="O314" s="174"/>
      <c r="P314" s="174"/>
      <c r="Q314" s="174"/>
      <c r="AB314" s="331"/>
      <c r="AC314" s="331"/>
      <c r="AD314" s="331"/>
      <c r="AE314" s="331"/>
      <c r="AF314" s="331"/>
      <c r="AG314" s="331"/>
      <c r="AH314" s="331"/>
      <c r="AI314" s="331"/>
      <c r="AJ314" s="331"/>
    </row>
    <row r="315" spans="1:36" s="245" customFormat="1" x14ac:dyDescent="0.2">
      <c r="B315" s="331"/>
      <c r="C315" s="329"/>
      <c r="D315" s="329"/>
      <c r="E315" s="329"/>
      <c r="F315" s="332"/>
      <c r="G315" s="332"/>
      <c r="H315" s="333"/>
      <c r="I315" s="174"/>
      <c r="J315" s="174"/>
      <c r="K315" s="174"/>
      <c r="L315" s="174"/>
      <c r="M315" s="174"/>
      <c r="N315" s="174"/>
      <c r="O315" s="174"/>
      <c r="P315" s="174"/>
      <c r="Q315" s="174"/>
      <c r="AB315" s="331"/>
      <c r="AC315" s="331"/>
      <c r="AD315" s="331"/>
      <c r="AE315" s="331"/>
      <c r="AF315" s="331"/>
      <c r="AG315" s="331"/>
      <c r="AH315" s="331"/>
      <c r="AI315" s="331"/>
      <c r="AJ315" s="331"/>
    </row>
    <row r="316" spans="1:36" s="245" customFormat="1" x14ac:dyDescent="0.2">
      <c r="A316" s="340"/>
      <c r="B316" s="337"/>
      <c r="C316" s="329"/>
      <c r="D316" s="329"/>
      <c r="E316" s="329"/>
      <c r="F316" s="332"/>
      <c r="G316" s="332"/>
      <c r="H316" s="333"/>
      <c r="I316" s="174"/>
      <c r="J316" s="174"/>
      <c r="K316" s="174"/>
      <c r="L316" s="174"/>
      <c r="M316" s="174"/>
      <c r="N316" s="174"/>
      <c r="O316" s="174"/>
      <c r="P316" s="174"/>
      <c r="Q316" s="174"/>
      <c r="AB316" s="331"/>
      <c r="AC316" s="331"/>
      <c r="AD316" s="331"/>
      <c r="AE316" s="331"/>
      <c r="AF316" s="331"/>
      <c r="AG316" s="331"/>
      <c r="AH316" s="331"/>
      <c r="AI316" s="331"/>
      <c r="AJ316" s="331"/>
    </row>
    <row r="317" spans="1:36" s="245" customFormat="1" x14ac:dyDescent="0.2">
      <c r="B317" s="337"/>
      <c r="C317" s="329"/>
      <c r="D317" s="329"/>
      <c r="E317" s="329"/>
      <c r="F317" s="332"/>
      <c r="G317" s="332"/>
      <c r="H317" s="333"/>
      <c r="I317" s="174"/>
      <c r="J317" s="174"/>
      <c r="K317" s="174"/>
      <c r="L317" s="174"/>
      <c r="M317" s="174"/>
      <c r="N317" s="174"/>
      <c r="O317" s="174"/>
      <c r="P317" s="174"/>
      <c r="Q317" s="174"/>
      <c r="AB317" s="331"/>
      <c r="AC317" s="331"/>
      <c r="AD317" s="331"/>
      <c r="AE317" s="331"/>
      <c r="AF317" s="331"/>
      <c r="AG317" s="331"/>
      <c r="AH317" s="331"/>
      <c r="AI317" s="331"/>
      <c r="AJ317" s="331"/>
    </row>
    <row r="318" spans="1:36" s="245" customFormat="1" x14ac:dyDescent="0.2">
      <c r="B318" s="337"/>
      <c r="C318" s="329"/>
      <c r="D318" s="329"/>
      <c r="E318" s="329"/>
      <c r="F318" s="332"/>
      <c r="G318" s="332"/>
      <c r="H318" s="333"/>
      <c r="I318" s="174"/>
      <c r="J318" s="174"/>
      <c r="K318" s="174"/>
      <c r="L318" s="174"/>
      <c r="M318" s="174"/>
      <c r="N318" s="174"/>
      <c r="O318" s="174"/>
      <c r="P318" s="174"/>
      <c r="Q318" s="174"/>
      <c r="AB318" s="331"/>
      <c r="AC318" s="331"/>
      <c r="AD318" s="331"/>
      <c r="AE318" s="331"/>
      <c r="AF318" s="331"/>
      <c r="AG318" s="331"/>
      <c r="AH318" s="331"/>
      <c r="AI318" s="331"/>
      <c r="AJ318" s="331"/>
    </row>
    <row r="319" spans="1:36" s="245" customFormat="1" x14ac:dyDescent="0.2">
      <c r="B319" s="337"/>
      <c r="C319" s="329"/>
      <c r="D319" s="329"/>
      <c r="E319" s="329"/>
      <c r="F319" s="332"/>
      <c r="G319" s="332"/>
      <c r="H319" s="333"/>
      <c r="I319" s="174"/>
      <c r="J319" s="174"/>
      <c r="K319" s="174"/>
      <c r="L319" s="174"/>
      <c r="M319" s="174"/>
      <c r="N319" s="174"/>
      <c r="O319" s="174"/>
      <c r="P319" s="174"/>
      <c r="Q319" s="174"/>
      <c r="AB319" s="331"/>
      <c r="AC319" s="331"/>
      <c r="AD319" s="331"/>
      <c r="AE319" s="331"/>
      <c r="AF319" s="331"/>
      <c r="AG319" s="331"/>
      <c r="AH319" s="331"/>
      <c r="AI319" s="331"/>
      <c r="AJ319" s="331"/>
    </row>
    <row r="320" spans="1:36" s="245" customFormat="1" x14ac:dyDescent="0.2">
      <c r="B320" s="337"/>
      <c r="C320" s="329"/>
      <c r="D320" s="329"/>
      <c r="E320" s="329"/>
      <c r="F320" s="332"/>
      <c r="G320" s="332"/>
      <c r="H320" s="333"/>
      <c r="I320" s="174"/>
      <c r="J320" s="174"/>
      <c r="K320" s="174"/>
      <c r="L320" s="174"/>
      <c r="M320" s="174"/>
      <c r="N320" s="174"/>
      <c r="O320" s="174"/>
      <c r="P320" s="174"/>
      <c r="Q320" s="174"/>
      <c r="AB320" s="331"/>
      <c r="AC320" s="331"/>
      <c r="AD320" s="331"/>
      <c r="AE320" s="331"/>
      <c r="AF320" s="331"/>
      <c r="AG320" s="331"/>
      <c r="AH320" s="331"/>
      <c r="AI320" s="331"/>
      <c r="AJ320" s="331"/>
    </row>
    <row r="321" spans="1:36" s="245" customFormat="1" x14ac:dyDescent="0.2">
      <c r="B321" s="331"/>
      <c r="C321" s="329"/>
      <c r="D321" s="329"/>
      <c r="E321" s="329"/>
      <c r="F321" s="332"/>
      <c r="G321" s="332"/>
      <c r="H321" s="333"/>
      <c r="I321" s="174"/>
      <c r="J321" s="174"/>
      <c r="K321" s="174"/>
      <c r="L321" s="174"/>
      <c r="M321" s="174"/>
      <c r="N321" s="174"/>
      <c r="O321" s="174"/>
      <c r="P321" s="174"/>
      <c r="Q321" s="174"/>
      <c r="AB321" s="331"/>
      <c r="AC321" s="331"/>
      <c r="AD321" s="331"/>
      <c r="AE321" s="331"/>
      <c r="AF321" s="331"/>
      <c r="AG321" s="331"/>
      <c r="AH321" s="331"/>
      <c r="AI321" s="331"/>
      <c r="AJ321" s="331"/>
    </row>
    <row r="322" spans="1:36" s="245" customFormat="1" x14ac:dyDescent="0.2">
      <c r="B322" s="331"/>
      <c r="C322" s="329"/>
      <c r="D322" s="329"/>
      <c r="E322" s="329"/>
      <c r="F322" s="332"/>
      <c r="G322" s="332"/>
      <c r="H322" s="333"/>
      <c r="I322" s="174"/>
      <c r="J322" s="174"/>
      <c r="K322" s="174"/>
      <c r="L322" s="174"/>
      <c r="M322" s="174"/>
      <c r="N322" s="174"/>
      <c r="O322" s="174"/>
      <c r="P322" s="174"/>
      <c r="Q322" s="174"/>
      <c r="AB322" s="331"/>
      <c r="AC322" s="331"/>
      <c r="AD322" s="331"/>
      <c r="AE322" s="331"/>
      <c r="AF322" s="331"/>
      <c r="AG322" s="331"/>
      <c r="AH322" s="331"/>
      <c r="AI322" s="331"/>
      <c r="AJ322" s="331"/>
    </row>
    <row r="323" spans="1:36" s="245" customFormat="1" x14ac:dyDescent="0.2">
      <c r="A323" s="340"/>
      <c r="B323" s="337"/>
      <c r="C323" s="329"/>
      <c r="D323" s="329"/>
      <c r="E323" s="329"/>
      <c r="F323" s="332"/>
      <c r="G323" s="332"/>
      <c r="H323" s="333"/>
      <c r="I323" s="174"/>
      <c r="J323" s="174"/>
      <c r="K323" s="174"/>
      <c r="L323" s="174"/>
      <c r="M323" s="174"/>
      <c r="N323" s="174"/>
      <c r="O323" s="174"/>
      <c r="P323" s="174"/>
      <c r="Q323" s="174"/>
      <c r="AB323" s="331"/>
      <c r="AC323" s="331"/>
      <c r="AD323" s="331"/>
      <c r="AE323" s="331"/>
      <c r="AF323" s="331"/>
      <c r="AG323" s="331"/>
      <c r="AH323" s="331"/>
      <c r="AI323" s="331"/>
      <c r="AJ323" s="331"/>
    </row>
    <row r="324" spans="1:36" s="245" customFormat="1" x14ac:dyDescent="0.2">
      <c r="B324" s="337"/>
      <c r="C324" s="329"/>
      <c r="D324" s="329"/>
      <c r="E324" s="329"/>
      <c r="F324" s="332"/>
      <c r="G324" s="332"/>
      <c r="H324" s="333"/>
      <c r="I324" s="174"/>
      <c r="J324" s="174"/>
      <c r="K324" s="174"/>
      <c r="L324" s="174"/>
      <c r="M324" s="174"/>
      <c r="N324" s="174"/>
      <c r="O324" s="174"/>
      <c r="P324" s="174"/>
      <c r="Q324" s="174"/>
      <c r="AB324" s="331"/>
      <c r="AC324" s="331"/>
      <c r="AD324" s="331"/>
      <c r="AE324" s="331"/>
      <c r="AF324" s="331"/>
      <c r="AG324" s="331"/>
      <c r="AH324" s="331"/>
      <c r="AI324" s="331"/>
      <c r="AJ324" s="331"/>
    </row>
    <row r="325" spans="1:36" s="245" customFormat="1" x14ac:dyDescent="0.2">
      <c r="B325" s="337"/>
      <c r="C325" s="329"/>
      <c r="D325" s="329"/>
      <c r="E325" s="329"/>
      <c r="F325" s="332"/>
      <c r="G325" s="332"/>
      <c r="H325" s="333"/>
      <c r="I325" s="174"/>
      <c r="J325" s="174"/>
      <c r="K325" s="174"/>
      <c r="L325" s="174"/>
      <c r="M325" s="174"/>
      <c r="N325" s="174"/>
      <c r="O325" s="174"/>
      <c r="P325" s="174"/>
      <c r="Q325" s="174"/>
      <c r="AB325" s="331"/>
      <c r="AC325" s="331"/>
      <c r="AD325" s="331"/>
      <c r="AE325" s="331"/>
      <c r="AF325" s="331"/>
      <c r="AG325" s="331"/>
      <c r="AH325" s="331"/>
      <c r="AI325" s="331"/>
      <c r="AJ325" s="331"/>
    </row>
    <row r="326" spans="1:36" s="245" customFormat="1" x14ac:dyDescent="0.2">
      <c r="B326" s="337"/>
      <c r="C326" s="329"/>
      <c r="D326" s="329"/>
      <c r="E326" s="329"/>
      <c r="F326" s="332"/>
      <c r="G326" s="332"/>
      <c r="H326" s="333"/>
      <c r="I326" s="174"/>
      <c r="J326" s="174"/>
      <c r="K326" s="174"/>
      <c r="L326" s="174"/>
      <c r="M326" s="174"/>
      <c r="N326" s="174"/>
      <c r="O326" s="174"/>
      <c r="P326" s="174"/>
      <c r="Q326" s="174"/>
      <c r="AB326" s="331"/>
      <c r="AC326" s="331"/>
      <c r="AD326" s="331"/>
      <c r="AE326" s="331"/>
      <c r="AF326" s="331"/>
      <c r="AG326" s="331"/>
      <c r="AH326" s="331"/>
      <c r="AI326" s="331"/>
      <c r="AJ326" s="331"/>
    </row>
    <row r="327" spans="1:36" s="245" customFormat="1" x14ac:dyDescent="0.2">
      <c r="B327" s="337"/>
      <c r="C327" s="329"/>
      <c r="D327" s="329"/>
      <c r="E327" s="329"/>
      <c r="F327" s="332"/>
      <c r="G327" s="332"/>
      <c r="H327" s="333"/>
      <c r="I327" s="174"/>
      <c r="J327" s="174"/>
      <c r="K327" s="174"/>
      <c r="L327" s="174"/>
      <c r="M327" s="174"/>
      <c r="N327" s="174"/>
      <c r="O327" s="174"/>
      <c r="P327" s="174"/>
      <c r="Q327" s="174"/>
      <c r="AB327" s="331"/>
      <c r="AC327" s="331"/>
      <c r="AD327" s="331"/>
      <c r="AE327" s="331"/>
      <c r="AF327" s="331"/>
      <c r="AG327" s="331"/>
      <c r="AH327" s="331"/>
      <c r="AI327" s="331"/>
      <c r="AJ327" s="331"/>
    </row>
    <row r="328" spans="1:36" s="245" customFormat="1" x14ac:dyDescent="0.2">
      <c r="B328" s="331"/>
      <c r="C328" s="329"/>
      <c r="D328" s="329"/>
      <c r="E328" s="329"/>
      <c r="F328" s="332"/>
      <c r="G328" s="332"/>
      <c r="H328" s="333"/>
      <c r="I328" s="174"/>
      <c r="J328" s="174"/>
      <c r="K328" s="174"/>
      <c r="L328" s="174"/>
      <c r="M328" s="174"/>
      <c r="N328" s="174"/>
      <c r="O328" s="174"/>
      <c r="P328" s="174"/>
      <c r="Q328" s="174"/>
      <c r="AB328" s="331"/>
      <c r="AC328" s="331"/>
      <c r="AD328" s="331"/>
      <c r="AE328" s="331"/>
      <c r="AF328" s="331"/>
      <c r="AG328" s="331"/>
      <c r="AH328" s="331"/>
      <c r="AI328" s="331"/>
      <c r="AJ328" s="331"/>
    </row>
    <row r="329" spans="1:36" s="245" customFormat="1" x14ac:dyDescent="0.2">
      <c r="B329" s="331"/>
      <c r="C329" s="329"/>
      <c r="D329" s="329"/>
      <c r="E329" s="329"/>
      <c r="F329" s="332"/>
      <c r="G329" s="332"/>
      <c r="H329" s="333"/>
      <c r="I329" s="174"/>
      <c r="J329" s="174"/>
      <c r="K329" s="174"/>
      <c r="L329" s="174"/>
      <c r="M329" s="174"/>
      <c r="N329" s="174"/>
      <c r="O329" s="174"/>
      <c r="P329" s="174"/>
      <c r="Q329" s="174"/>
      <c r="AB329" s="331"/>
      <c r="AC329" s="331"/>
      <c r="AD329" s="331"/>
      <c r="AE329" s="331"/>
      <c r="AF329" s="331"/>
      <c r="AG329" s="331"/>
      <c r="AH329" s="331"/>
      <c r="AI329" s="331"/>
      <c r="AJ329" s="331"/>
    </row>
    <row r="330" spans="1:36" s="245" customFormat="1" x14ac:dyDescent="0.2">
      <c r="A330" s="340"/>
      <c r="B330" s="337"/>
      <c r="C330" s="329"/>
      <c r="D330" s="329"/>
      <c r="E330" s="329"/>
      <c r="F330" s="332"/>
      <c r="G330" s="332"/>
      <c r="H330" s="333"/>
      <c r="I330" s="174"/>
      <c r="J330" s="174"/>
      <c r="K330" s="174"/>
      <c r="L330" s="174"/>
      <c r="M330" s="174"/>
      <c r="N330" s="174"/>
      <c r="O330" s="174"/>
      <c r="P330" s="174"/>
      <c r="Q330" s="174"/>
      <c r="AB330" s="331"/>
      <c r="AC330" s="331"/>
      <c r="AD330" s="331"/>
      <c r="AE330" s="331"/>
      <c r="AF330" s="331"/>
      <c r="AG330" s="331"/>
      <c r="AH330" s="331"/>
      <c r="AI330" s="331"/>
      <c r="AJ330" s="331"/>
    </row>
    <row r="331" spans="1:36" s="245" customFormat="1" x14ac:dyDescent="0.2">
      <c r="B331" s="337"/>
      <c r="C331" s="329"/>
      <c r="D331" s="329"/>
      <c r="E331" s="329"/>
      <c r="F331" s="332"/>
      <c r="G331" s="332"/>
      <c r="H331" s="333"/>
      <c r="I331" s="174"/>
      <c r="J331" s="174"/>
      <c r="K331" s="174"/>
      <c r="L331" s="174"/>
      <c r="M331" s="174"/>
      <c r="N331" s="174"/>
      <c r="O331" s="174"/>
      <c r="P331" s="174"/>
      <c r="Q331" s="174"/>
      <c r="AB331" s="331"/>
      <c r="AC331" s="331"/>
      <c r="AD331" s="331"/>
      <c r="AE331" s="331"/>
      <c r="AF331" s="331"/>
      <c r="AG331" s="331"/>
      <c r="AH331" s="331"/>
      <c r="AI331" s="331"/>
      <c r="AJ331" s="331"/>
    </row>
    <row r="332" spans="1:36" s="245" customFormat="1" x14ac:dyDescent="0.2">
      <c r="B332" s="337"/>
      <c r="C332" s="329"/>
      <c r="D332" s="329"/>
      <c r="E332" s="329"/>
      <c r="F332" s="332"/>
      <c r="G332" s="332"/>
      <c r="H332" s="333"/>
      <c r="I332" s="174"/>
      <c r="J332" s="174"/>
      <c r="K332" s="174"/>
      <c r="L332" s="174"/>
      <c r="M332" s="174"/>
      <c r="N332" s="174"/>
      <c r="O332" s="174"/>
      <c r="P332" s="174"/>
      <c r="Q332" s="174"/>
      <c r="AB332" s="331"/>
      <c r="AC332" s="331"/>
      <c r="AD332" s="331"/>
      <c r="AE332" s="331"/>
      <c r="AF332" s="331"/>
      <c r="AG332" s="331"/>
      <c r="AH332" s="331"/>
      <c r="AI332" s="331"/>
      <c r="AJ332" s="331"/>
    </row>
    <row r="333" spans="1:36" s="245" customFormat="1" x14ac:dyDescent="0.2">
      <c r="B333" s="337"/>
      <c r="C333" s="329"/>
      <c r="D333" s="329"/>
      <c r="E333" s="329"/>
      <c r="F333" s="332"/>
      <c r="G333" s="332"/>
      <c r="H333" s="333"/>
      <c r="I333" s="174"/>
      <c r="J333" s="174"/>
      <c r="K333" s="174"/>
      <c r="L333" s="174"/>
      <c r="M333" s="174"/>
      <c r="N333" s="174"/>
      <c r="O333" s="174"/>
      <c r="P333" s="174"/>
      <c r="Q333" s="174"/>
      <c r="AB333" s="331"/>
      <c r="AC333" s="331"/>
      <c r="AD333" s="331"/>
      <c r="AE333" s="331"/>
      <c r="AF333" s="331"/>
      <c r="AG333" s="331"/>
      <c r="AH333" s="331"/>
      <c r="AI333" s="331"/>
      <c r="AJ333" s="331"/>
    </row>
    <row r="334" spans="1:36" s="245" customFormat="1" x14ac:dyDescent="0.2">
      <c r="B334" s="337"/>
      <c r="C334" s="329"/>
      <c r="D334" s="329"/>
      <c r="E334" s="329"/>
      <c r="F334" s="332"/>
      <c r="G334" s="332"/>
      <c r="H334" s="333"/>
      <c r="I334" s="174"/>
      <c r="J334" s="174"/>
      <c r="K334" s="174"/>
      <c r="L334" s="174"/>
      <c r="M334" s="174"/>
      <c r="N334" s="174"/>
      <c r="O334" s="174"/>
      <c r="P334" s="174"/>
      <c r="Q334" s="174"/>
      <c r="AB334" s="331"/>
      <c r="AC334" s="331"/>
      <c r="AD334" s="331"/>
      <c r="AE334" s="331"/>
      <c r="AF334" s="331"/>
      <c r="AG334" s="331"/>
      <c r="AH334" s="331"/>
      <c r="AI334" s="331"/>
      <c r="AJ334" s="331"/>
    </row>
    <row r="335" spans="1:36" s="245" customFormat="1" x14ac:dyDescent="0.2">
      <c r="B335" s="331"/>
      <c r="C335" s="329"/>
      <c r="D335" s="329"/>
      <c r="E335" s="329"/>
      <c r="F335" s="332"/>
      <c r="G335" s="332"/>
      <c r="H335" s="333"/>
      <c r="I335" s="174"/>
      <c r="J335" s="174"/>
      <c r="K335" s="174"/>
      <c r="L335" s="174"/>
      <c r="M335" s="174"/>
      <c r="N335" s="174"/>
      <c r="O335" s="174"/>
      <c r="P335" s="174"/>
      <c r="Q335" s="174"/>
      <c r="AB335" s="331"/>
      <c r="AC335" s="331"/>
      <c r="AD335" s="331"/>
      <c r="AE335" s="331"/>
      <c r="AF335" s="331"/>
      <c r="AG335" s="331"/>
      <c r="AH335" s="331"/>
      <c r="AI335" s="331"/>
      <c r="AJ335" s="331"/>
    </row>
    <row r="336" spans="1:36" s="245" customFormat="1" x14ac:dyDescent="0.2">
      <c r="B336" s="331"/>
      <c r="C336" s="329"/>
      <c r="D336" s="329"/>
      <c r="E336" s="329"/>
      <c r="F336" s="332"/>
      <c r="G336" s="332"/>
      <c r="H336" s="333"/>
      <c r="I336" s="174"/>
      <c r="J336" s="174"/>
      <c r="K336" s="174"/>
      <c r="L336" s="174"/>
      <c r="M336" s="174"/>
      <c r="N336" s="174"/>
      <c r="O336" s="174"/>
      <c r="P336" s="174"/>
      <c r="Q336" s="174"/>
      <c r="AB336" s="331"/>
      <c r="AC336" s="331"/>
      <c r="AD336" s="331"/>
      <c r="AE336" s="331"/>
      <c r="AF336" s="331"/>
      <c r="AG336" s="331"/>
      <c r="AH336" s="331"/>
      <c r="AI336" s="331"/>
      <c r="AJ336" s="331"/>
    </row>
    <row r="337" spans="2:36" s="245" customFormat="1" x14ac:dyDescent="0.2">
      <c r="B337" s="331"/>
      <c r="C337" s="329"/>
      <c r="D337" s="329"/>
      <c r="E337" s="329"/>
      <c r="F337" s="332"/>
      <c r="G337" s="332"/>
      <c r="H337" s="333"/>
      <c r="I337" s="174"/>
      <c r="J337" s="174"/>
      <c r="K337" s="174"/>
      <c r="L337" s="174"/>
      <c r="M337" s="174"/>
      <c r="N337" s="174"/>
      <c r="O337" s="174"/>
      <c r="P337" s="174"/>
      <c r="Q337" s="174"/>
      <c r="AB337" s="331"/>
      <c r="AC337" s="331"/>
      <c r="AD337" s="331"/>
      <c r="AE337" s="331"/>
      <c r="AF337" s="331"/>
      <c r="AG337" s="331"/>
      <c r="AH337" s="331"/>
      <c r="AI337" s="331"/>
      <c r="AJ337" s="331"/>
    </row>
    <row r="338" spans="2:36" s="245" customFormat="1" x14ac:dyDescent="0.2">
      <c r="B338" s="331"/>
      <c r="C338" s="329"/>
      <c r="D338" s="329"/>
      <c r="E338" s="329"/>
      <c r="F338" s="332"/>
      <c r="G338" s="332"/>
      <c r="H338" s="333"/>
      <c r="I338" s="174"/>
      <c r="J338" s="174"/>
      <c r="K338" s="174"/>
      <c r="L338" s="174"/>
      <c r="M338" s="174"/>
      <c r="N338" s="174"/>
      <c r="O338" s="174"/>
      <c r="P338" s="174"/>
      <c r="Q338" s="174"/>
      <c r="AB338" s="331"/>
      <c r="AC338" s="331"/>
      <c r="AD338" s="331"/>
      <c r="AE338" s="331"/>
      <c r="AF338" s="331"/>
      <c r="AG338" s="331"/>
      <c r="AH338" s="331"/>
      <c r="AI338" s="331"/>
      <c r="AJ338" s="331"/>
    </row>
    <row r="339" spans="2:36" s="245" customFormat="1" x14ac:dyDescent="0.2">
      <c r="B339" s="331"/>
      <c r="C339" s="329"/>
      <c r="D339" s="329"/>
      <c r="E339" s="329"/>
      <c r="F339" s="332"/>
      <c r="G339" s="332"/>
      <c r="H339" s="333"/>
      <c r="I339" s="174"/>
      <c r="J339" s="174"/>
      <c r="K339" s="174"/>
      <c r="L339" s="174"/>
      <c r="M339" s="174"/>
      <c r="N339" s="174"/>
      <c r="O339" s="174"/>
      <c r="P339" s="174"/>
      <c r="Q339" s="174"/>
      <c r="AB339" s="331"/>
      <c r="AC339" s="331"/>
      <c r="AD339" s="331"/>
      <c r="AE339" s="331"/>
      <c r="AF339" s="331"/>
      <c r="AG339" s="331"/>
      <c r="AH339" s="331"/>
      <c r="AI339" s="331"/>
      <c r="AJ339" s="331"/>
    </row>
    <row r="340" spans="2:36" s="245" customFormat="1" x14ac:dyDescent="0.2">
      <c r="B340" s="331"/>
      <c r="C340" s="329"/>
      <c r="D340" s="329"/>
      <c r="E340" s="329"/>
      <c r="F340" s="332"/>
      <c r="G340" s="332"/>
      <c r="H340" s="333"/>
      <c r="I340" s="174"/>
      <c r="J340" s="174"/>
      <c r="K340" s="174"/>
      <c r="L340" s="174"/>
      <c r="M340" s="174"/>
      <c r="N340" s="174"/>
      <c r="O340" s="174"/>
      <c r="P340" s="174"/>
      <c r="Q340" s="174"/>
      <c r="AB340" s="331"/>
      <c r="AC340" s="331"/>
      <c r="AD340" s="331"/>
      <c r="AE340" s="331"/>
      <c r="AF340" s="331"/>
      <c r="AG340" s="331"/>
      <c r="AH340" s="331"/>
      <c r="AI340" s="331"/>
      <c r="AJ340" s="331"/>
    </row>
    <row r="341" spans="2:36" s="245" customFormat="1" x14ac:dyDescent="0.2">
      <c r="B341" s="331"/>
      <c r="C341" s="329"/>
      <c r="D341" s="329"/>
      <c r="E341" s="329"/>
      <c r="F341" s="332"/>
      <c r="G341" s="332"/>
      <c r="H341" s="333"/>
      <c r="I341" s="174"/>
      <c r="J341" s="174"/>
      <c r="K341" s="174"/>
      <c r="L341" s="174"/>
      <c r="M341" s="174"/>
      <c r="N341" s="174"/>
      <c r="O341" s="174"/>
      <c r="P341" s="174"/>
      <c r="Q341" s="174"/>
      <c r="AB341" s="331"/>
      <c r="AC341" s="331"/>
      <c r="AD341" s="331"/>
      <c r="AE341" s="331"/>
      <c r="AF341" s="331"/>
      <c r="AG341" s="331"/>
      <c r="AH341" s="331"/>
      <c r="AI341" s="331"/>
      <c r="AJ341" s="331"/>
    </row>
    <row r="342" spans="2:36" s="245" customFormat="1" x14ac:dyDescent="0.2">
      <c r="B342" s="331"/>
      <c r="C342" s="329"/>
      <c r="D342" s="329"/>
      <c r="E342" s="329"/>
      <c r="F342" s="332"/>
      <c r="G342" s="332"/>
      <c r="H342" s="333"/>
      <c r="I342" s="174"/>
      <c r="J342" s="174"/>
      <c r="K342" s="174"/>
      <c r="L342" s="174"/>
      <c r="M342" s="174"/>
      <c r="N342" s="174"/>
      <c r="O342" s="174"/>
      <c r="P342" s="174"/>
      <c r="Q342" s="174"/>
      <c r="AB342" s="331"/>
      <c r="AC342" s="331"/>
      <c r="AD342" s="331"/>
      <c r="AE342" s="331"/>
      <c r="AF342" s="331"/>
      <c r="AG342" s="331"/>
      <c r="AH342" s="331"/>
      <c r="AI342" s="331"/>
      <c r="AJ342" s="331"/>
    </row>
    <row r="343" spans="2:36" s="245" customFormat="1" x14ac:dyDescent="0.2">
      <c r="B343" s="331"/>
      <c r="C343" s="329"/>
      <c r="D343" s="329"/>
      <c r="E343" s="329"/>
      <c r="F343" s="332"/>
      <c r="G343" s="332"/>
      <c r="H343" s="333"/>
      <c r="I343" s="174"/>
      <c r="J343" s="174"/>
      <c r="K343" s="174"/>
      <c r="L343" s="174"/>
      <c r="M343" s="174"/>
      <c r="N343" s="174"/>
      <c r="O343" s="174"/>
      <c r="P343" s="174"/>
      <c r="Q343" s="174"/>
      <c r="AB343" s="331"/>
      <c r="AC343" s="331"/>
      <c r="AD343" s="331"/>
      <c r="AE343" s="331"/>
      <c r="AF343" s="331"/>
      <c r="AG343" s="331"/>
      <c r="AH343" s="331"/>
      <c r="AI343" s="331"/>
      <c r="AJ343" s="331"/>
    </row>
    <row r="344" spans="2:36" s="245" customFormat="1" x14ac:dyDescent="0.2">
      <c r="B344" s="331"/>
      <c r="C344" s="329"/>
      <c r="D344" s="329"/>
      <c r="E344" s="329"/>
      <c r="F344" s="332"/>
      <c r="G344" s="332"/>
      <c r="H344" s="333"/>
      <c r="I344" s="174"/>
      <c r="J344" s="174"/>
      <c r="K344" s="174"/>
      <c r="L344" s="174"/>
      <c r="M344" s="174"/>
      <c r="N344" s="174"/>
      <c r="O344" s="174"/>
      <c r="P344" s="174"/>
      <c r="Q344" s="174"/>
      <c r="AB344" s="331"/>
      <c r="AC344" s="331"/>
      <c r="AD344" s="331"/>
      <c r="AE344" s="331"/>
      <c r="AF344" s="331"/>
      <c r="AG344" s="331"/>
      <c r="AH344" s="331"/>
      <c r="AI344" s="331"/>
      <c r="AJ344" s="331"/>
    </row>
    <row r="345" spans="2:36" s="245" customFormat="1" x14ac:dyDescent="0.2">
      <c r="B345" s="331"/>
      <c r="C345" s="329"/>
      <c r="D345" s="329"/>
      <c r="E345" s="329"/>
      <c r="F345" s="332"/>
      <c r="G345" s="332"/>
      <c r="H345" s="333"/>
      <c r="I345" s="174"/>
      <c r="J345" s="174"/>
      <c r="K345" s="174"/>
      <c r="L345" s="174"/>
      <c r="M345" s="174"/>
      <c r="N345" s="174"/>
      <c r="O345" s="174"/>
      <c r="P345" s="174"/>
      <c r="Q345" s="174"/>
      <c r="AB345" s="331"/>
      <c r="AC345" s="331"/>
      <c r="AD345" s="331"/>
      <c r="AE345" s="331"/>
      <c r="AF345" s="331"/>
      <c r="AG345" s="331"/>
      <c r="AH345" s="331"/>
      <c r="AI345" s="331"/>
      <c r="AJ345" s="331"/>
    </row>
    <row r="346" spans="2:36" s="245" customFormat="1" x14ac:dyDescent="0.2">
      <c r="B346" s="331"/>
      <c r="C346" s="329"/>
      <c r="D346" s="329"/>
      <c r="E346" s="329"/>
      <c r="F346" s="332"/>
      <c r="G346" s="332"/>
      <c r="H346" s="333"/>
      <c r="I346" s="174"/>
      <c r="J346" s="174"/>
      <c r="K346" s="174"/>
      <c r="L346" s="174"/>
      <c r="M346" s="174"/>
      <c r="N346" s="174"/>
      <c r="O346" s="174"/>
      <c r="P346" s="174"/>
      <c r="Q346" s="174"/>
      <c r="AB346" s="331"/>
      <c r="AC346" s="331"/>
      <c r="AD346" s="331"/>
      <c r="AE346" s="331"/>
      <c r="AF346" s="331"/>
      <c r="AG346" s="331"/>
      <c r="AH346" s="331"/>
      <c r="AI346" s="331"/>
      <c r="AJ346" s="331"/>
    </row>
    <row r="347" spans="2:36" s="245" customFormat="1" x14ac:dyDescent="0.2">
      <c r="B347" s="331"/>
      <c r="C347" s="329"/>
      <c r="D347" s="329"/>
      <c r="E347" s="329"/>
      <c r="F347" s="332"/>
      <c r="G347" s="332"/>
      <c r="H347" s="333"/>
      <c r="I347" s="174"/>
      <c r="J347" s="174"/>
      <c r="K347" s="174"/>
      <c r="L347" s="174"/>
      <c r="M347" s="174"/>
      <c r="N347" s="174"/>
      <c r="O347" s="174"/>
      <c r="P347" s="174"/>
      <c r="Q347" s="174"/>
      <c r="AB347" s="331"/>
      <c r="AC347" s="331"/>
      <c r="AD347" s="331"/>
      <c r="AE347" s="331"/>
      <c r="AF347" s="331"/>
      <c r="AG347" s="331"/>
      <c r="AH347" s="331"/>
      <c r="AI347" s="331"/>
      <c r="AJ347" s="331"/>
    </row>
    <row r="348" spans="2:36" s="245" customFormat="1" x14ac:dyDescent="0.2">
      <c r="B348" s="331"/>
      <c r="C348" s="329"/>
      <c r="D348" s="329"/>
      <c r="E348" s="329"/>
      <c r="F348" s="332"/>
      <c r="G348" s="332"/>
      <c r="H348" s="333"/>
      <c r="I348" s="174"/>
      <c r="J348" s="174"/>
      <c r="K348" s="174"/>
      <c r="L348" s="174"/>
      <c r="M348" s="174"/>
      <c r="N348" s="174"/>
      <c r="O348" s="174"/>
      <c r="P348" s="174"/>
      <c r="Q348" s="174"/>
      <c r="AB348" s="331"/>
      <c r="AC348" s="331"/>
      <c r="AD348" s="331"/>
      <c r="AE348" s="331"/>
      <c r="AF348" s="331"/>
      <c r="AG348" s="331"/>
      <c r="AH348" s="331"/>
      <c r="AI348" s="331"/>
      <c r="AJ348" s="331"/>
    </row>
  </sheetData>
  <phoneticPr fontId="0" type="noConversion"/>
  <pageMargins left="0.25" right="0.3" top="0.73" bottom="0.33" header="0.5" footer="0.22"/>
  <pageSetup scale="59" fitToWidth="4" fitToHeight="4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09"/>
  <sheetViews>
    <sheetView zoomScale="75" zoomScaleNormal="75" workbookViewId="0">
      <selection activeCell="K1" sqref="K1:N65536"/>
    </sheetView>
  </sheetViews>
  <sheetFormatPr defaultRowHeight="12.75" x14ac:dyDescent="0.2"/>
  <cols>
    <col min="1" max="1" width="18.140625" style="33" customWidth="1"/>
    <col min="2" max="5" width="18.140625" style="22" customWidth="1"/>
    <col min="6" max="6" width="11" style="22" bestFit="1" customWidth="1"/>
    <col min="7" max="10" width="12.7109375" style="26" bestFit="1" customWidth="1"/>
    <col min="11" max="11" width="10" style="26" bestFit="1" customWidth="1"/>
    <col min="12" max="12" width="9.140625" style="26" bestFit="1" customWidth="1"/>
    <col min="13" max="13" width="10.42578125" style="26" bestFit="1" customWidth="1"/>
    <col min="14" max="14" width="10.140625" style="26" bestFit="1" customWidth="1"/>
    <col min="15" max="15" width="15.7109375" style="26" customWidth="1"/>
    <col min="16" max="16" width="11.140625" style="26" bestFit="1" customWidth="1"/>
    <col min="17" max="17" width="11.7109375" style="26" bestFit="1" customWidth="1"/>
    <col min="18" max="18" width="10.7109375" style="26" bestFit="1" customWidth="1"/>
    <col min="19" max="19" width="9.140625" style="26"/>
    <col min="20" max="20" width="11.140625" style="26" bestFit="1" customWidth="1"/>
    <col min="21" max="16384" width="9.140625" style="33"/>
  </cols>
  <sheetData>
    <row r="2" spans="1:20" ht="42" customHeight="1" x14ac:dyDescent="0.2">
      <c r="B2" s="77" t="s">
        <v>8</v>
      </c>
      <c r="C2" s="77" t="s">
        <v>9</v>
      </c>
      <c r="D2" s="77" t="s">
        <v>45</v>
      </c>
      <c r="E2" s="77" t="s">
        <v>10</v>
      </c>
      <c r="F2" s="77" t="s">
        <v>1</v>
      </c>
      <c r="G2" s="74" t="s">
        <v>2</v>
      </c>
      <c r="H2" s="73" t="s">
        <v>70</v>
      </c>
      <c r="I2" s="78" t="s">
        <v>71</v>
      </c>
      <c r="J2" s="78" t="s">
        <v>72</v>
      </c>
      <c r="K2" s="78" t="s">
        <v>81</v>
      </c>
      <c r="L2" s="78" t="s">
        <v>82</v>
      </c>
      <c r="M2" s="78" t="s">
        <v>75</v>
      </c>
      <c r="N2" s="74" t="s">
        <v>73</v>
      </c>
    </row>
    <row r="4" spans="1:20" x14ac:dyDescent="0.2">
      <c r="A4" s="22"/>
      <c r="B4" s="47" t="s">
        <v>84</v>
      </c>
    </row>
    <row r="5" spans="1:20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7" spans="1:20" x14ac:dyDescent="0.2">
      <c r="A7" s="33">
        <f>'Purchased Power Model'!A247</f>
        <v>1996</v>
      </c>
      <c r="B7" s="26">
        <f>'Purchased Power Model'!E247</f>
        <v>0</v>
      </c>
      <c r="C7" s="26">
        <f>'Purchased Power Model'!O247</f>
        <v>918650548.56827152</v>
      </c>
      <c r="D7" s="79">
        <f>C7-B7</f>
        <v>918650548.56827152</v>
      </c>
      <c r="E7" s="80"/>
    </row>
    <row r="8" spans="1:20" x14ac:dyDescent="0.2">
      <c r="A8" s="33">
        <f>'Purchased Power Model'!A248</f>
        <v>1997</v>
      </c>
      <c r="B8" s="26">
        <f>'Purchased Power Model'!E248</f>
        <v>0</v>
      </c>
      <c r="C8" s="26">
        <f>'Purchased Power Model'!O248</f>
        <v>929128148.46270084</v>
      </c>
      <c r="D8" s="79">
        <f t="shared" ref="D8:D24" si="0">C8-B8</f>
        <v>929128148.46270084</v>
      </c>
      <c r="E8" s="80"/>
    </row>
    <row r="9" spans="1:20" x14ac:dyDescent="0.2">
      <c r="A9" s="33">
        <f>'Purchased Power Model'!A249</f>
        <v>1998</v>
      </c>
      <c r="B9" s="26">
        <f>'Purchased Power Model'!E249</f>
        <v>0</v>
      </c>
      <c r="C9" s="26">
        <f>'Purchased Power Model'!O249</f>
        <v>989909521.93485343</v>
      </c>
      <c r="D9" s="79">
        <f t="shared" si="0"/>
        <v>989909521.93485343</v>
      </c>
      <c r="E9" s="80"/>
    </row>
    <row r="10" spans="1:20" x14ac:dyDescent="0.2">
      <c r="A10" s="33">
        <f>'Purchased Power Model'!A250</f>
        <v>1999</v>
      </c>
      <c r="B10" s="26">
        <f>'Purchased Power Model'!E250</f>
        <v>0</v>
      </c>
      <c r="C10" s="26">
        <f>'Purchased Power Model'!O250</f>
        <v>1036760386.7819476</v>
      </c>
      <c r="D10" s="79">
        <f t="shared" si="0"/>
        <v>1036760386.7819476</v>
      </c>
      <c r="E10" s="80"/>
      <c r="F10" s="50"/>
    </row>
    <row r="11" spans="1:20" x14ac:dyDescent="0.2">
      <c r="A11" s="33">
        <f>'Purchased Power Model'!A251</f>
        <v>2000</v>
      </c>
      <c r="B11" s="26">
        <f>'Purchased Power Model'!E251</f>
        <v>0</v>
      </c>
      <c r="C11" s="26">
        <f>'Purchased Power Model'!O251</f>
        <v>1060388686.0239441</v>
      </c>
      <c r="D11" s="79">
        <f t="shared" si="0"/>
        <v>1060388686.0239441</v>
      </c>
      <c r="E11" s="80"/>
      <c r="F11" s="50"/>
    </row>
    <row r="12" spans="1:20" x14ac:dyDescent="0.2">
      <c r="A12" s="33">
        <f>'Purchased Power Model'!A252</f>
        <v>2001</v>
      </c>
      <c r="B12" s="26">
        <f>'Purchased Power Model'!E252</f>
        <v>0</v>
      </c>
      <c r="C12" s="26">
        <f>'Purchased Power Model'!O252</f>
        <v>1068771299.9834902</v>
      </c>
      <c r="D12" s="79">
        <f t="shared" si="0"/>
        <v>1068771299.9834902</v>
      </c>
      <c r="E12" s="80"/>
      <c r="F12" s="50"/>
    </row>
    <row r="13" spans="1:20" x14ac:dyDescent="0.2">
      <c r="A13" s="33">
        <f>'Purchased Power Model'!A253</f>
        <v>2002</v>
      </c>
      <c r="B13" s="26">
        <f>'Purchased Power Model'!E253</f>
        <v>1162710673.7803967</v>
      </c>
      <c r="C13" s="26">
        <f>'Purchased Power Model'!O253</f>
        <v>1162665476.2128398</v>
      </c>
      <c r="D13" s="79">
        <f t="shared" si="0"/>
        <v>-45197.567556858063</v>
      </c>
      <c r="E13" s="80">
        <f t="shared" ref="E13:E24" si="1">D13/B13</f>
        <v>-3.8872583331418362E-5</v>
      </c>
      <c r="F13" s="50"/>
      <c r="G13" s="60">
        <f>SUM(H13:N13)</f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</row>
    <row r="14" spans="1:20" x14ac:dyDescent="0.2">
      <c r="A14" s="33">
        <f>'Purchased Power Model'!A254</f>
        <v>2003</v>
      </c>
      <c r="B14" s="26">
        <f>'Purchased Power Model'!E254</f>
        <v>1152043160.1684203</v>
      </c>
      <c r="C14" s="26">
        <f>'Purchased Power Model'!O254</f>
        <v>1167650715.8182812</v>
      </c>
      <c r="D14" s="79">
        <f t="shared" si="0"/>
        <v>15607555.649860859</v>
      </c>
      <c r="E14" s="80">
        <f t="shared" si="1"/>
        <v>1.3547717819512204E-2</v>
      </c>
      <c r="F14" s="50">
        <f t="shared" ref="F14:F20" si="2">1 +(B14-G14)/G14</f>
        <v>1.0394242267009584</v>
      </c>
      <c r="G14" s="60">
        <f>SUM(H14:N14)</f>
        <v>1108347420.2106147</v>
      </c>
      <c r="H14" s="26">
        <v>418838011.97364974</v>
      </c>
      <c r="I14" s="26">
        <v>126366945.1775369</v>
      </c>
      <c r="J14" s="26">
        <v>553710684.70883942</v>
      </c>
      <c r="K14" s="26">
        <v>0</v>
      </c>
      <c r="L14" s="26">
        <v>298684.57708839467</v>
      </c>
      <c r="M14" s="26">
        <v>6713622.3509624368</v>
      </c>
      <c r="N14" s="26">
        <v>2419471.4225378432</v>
      </c>
    </row>
    <row r="15" spans="1:20" x14ac:dyDescent="0.2">
      <c r="A15" s="33">
        <f>'Purchased Power Model'!A255</f>
        <v>2004</v>
      </c>
      <c r="B15" s="26">
        <f>'Purchased Power Model'!E255</f>
        <v>1205241073.8281755</v>
      </c>
      <c r="C15" s="26">
        <f>'Purchased Power Model'!O255</f>
        <v>1182645856.3429189</v>
      </c>
      <c r="D15" s="79">
        <f t="shared" si="0"/>
        <v>-22595217.485256672</v>
      </c>
      <c r="E15" s="80">
        <f t="shared" si="1"/>
        <v>-1.8747467188027434E-2</v>
      </c>
      <c r="F15" s="50">
        <f t="shared" si="2"/>
        <v>1.0615068810357351</v>
      </c>
      <c r="G15" s="60">
        <f>SUM(H15:N15)</f>
        <v>1135405804.1076436</v>
      </c>
      <c r="H15" s="26">
        <v>404285804.09904695</v>
      </c>
      <c r="I15" s="26">
        <v>122937632.96654831</v>
      </c>
      <c r="J15" s="26">
        <v>598431000.79872918</v>
      </c>
      <c r="K15" s="26">
        <v>0</v>
      </c>
      <c r="L15" s="26">
        <v>299221.74210427958</v>
      </c>
      <c r="M15" s="26">
        <v>7027057.9585124273</v>
      </c>
      <c r="N15" s="26">
        <v>2425086.5427022986</v>
      </c>
    </row>
    <row r="16" spans="1:20" x14ac:dyDescent="0.2">
      <c r="A16" s="33">
        <f>'Purchased Power Model'!A256</f>
        <v>2005</v>
      </c>
      <c r="B16" s="26">
        <f>'Purchased Power Model'!E256</f>
        <v>1272191338.9746144</v>
      </c>
      <c r="C16" s="26">
        <f>'Purchased Power Model'!O256</f>
        <v>1271722798.002039</v>
      </c>
      <c r="D16" s="79">
        <f t="shared" si="0"/>
        <v>-468540.9725754261</v>
      </c>
      <c r="E16" s="80">
        <f t="shared" si="1"/>
        <v>-3.6829442098943225E-4</v>
      </c>
      <c r="F16" s="50">
        <f t="shared" si="2"/>
        <v>1.0523594926130322</v>
      </c>
      <c r="G16" s="60">
        <f>SUM(H16:N16)</f>
        <v>1208894249.4505701</v>
      </c>
      <c r="H16" s="26">
        <v>463562202.48701179</v>
      </c>
      <c r="I16" s="26">
        <v>125194926.23883386</v>
      </c>
      <c r="J16" s="26">
        <v>609950002.12689221</v>
      </c>
      <c r="K16" s="26">
        <v>0</v>
      </c>
      <c r="L16" s="26">
        <v>336742.55354139413</v>
      </c>
      <c r="M16" s="26">
        <v>7458446.3496542703</v>
      </c>
      <c r="N16" s="26">
        <v>2391929.6946365163</v>
      </c>
    </row>
    <row r="17" spans="1:14" x14ac:dyDescent="0.2">
      <c r="A17" s="33">
        <f>'Purchased Power Model'!A257</f>
        <v>2006</v>
      </c>
      <c r="B17" s="26">
        <f>'Purchased Power Model'!E257</f>
        <v>1248057839.7212546</v>
      </c>
      <c r="C17" s="26">
        <f>'Purchased Power Model'!O257</f>
        <v>1249433262.1496065</v>
      </c>
      <c r="D17" s="79">
        <f t="shared" si="0"/>
        <v>1375422.4283518791</v>
      </c>
      <c r="E17" s="80">
        <f t="shared" si="1"/>
        <v>1.1020502292258111E-3</v>
      </c>
      <c r="F17" s="50">
        <f t="shared" si="2"/>
        <v>1.0539385416969218</v>
      </c>
      <c r="G17" s="60">
        <f>SUM(H17:N17)</f>
        <v>1184184646.7743611</v>
      </c>
      <c r="H17" s="26">
        <v>450017939.32666731</v>
      </c>
      <c r="I17" s="26">
        <v>122020708.4166588</v>
      </c>
      <c r="J17" s="26">
        <v>601216533.34628808</v>
      </c>
      <c r="K17" s="26">
        <v>0</v>
      </c>
      <c r="L17" s="26">
        <v>317191.45703235542</v>
      </c>
      <c r="M17" s="26">
        <v>8236753.7636072068</v>
      </c>
      <c r="N17" s="26">
        <v>2375520.4641071595</v>
      </c>
    </row>
    <row r="18" spans="1:14" x14ac:dyDescent="0.2">
      <c r="A18" s="33">
        <f>'Purchased Power Model'!A258</f>
        <v>2007</v>
      </c>
      <c r="B18" s="26">
        <f>'Purchased Power Model'!E258</f>
        <v>1283916366.3514185</v>
      </c>
      <c r="C18" s="26">
        <f>'Purchased Power Model'!O258</f>
        <v>1270377856.264178</v>
      </c>
      <c r="D18" s="79">
        <f t="shared" si="0"/>
        <v>-13538510.087240458</v>
      </c>
      <c r="E18" s="80">
        <f t="shared" si="1"/>
        <v>-1.0544697802796647E-2</v>
      </c>
      <c r="F18" s="50">
        <f t="shared" si="2"/>
        <v>1.0519999998774618</v>
      </c>
      <c r="G18" s="60">
        <f t="shared" ref="G18:G23" si="3">SUM(H18:N18)</f>
        <v>1220452819.8678427</v>
      </c>
      <c r="H18" s="26">
        <v>462721167.95736253</v>
      </c>
      <c r="I18" s="26">
        <v>125994115.17781341</v>
      </c>
      <c r="J18" s="26">
        <v>622092059.27695501</v>
      </c>
      <c r="K18" s="26">
        <v>0</v>
      </c>
      <c r="L18" s="26">
        <v>295242.58428450144</v>
      </c>
      <c r="M18" s="26">
        <v>7023291.2978020944</v>
      </c>
      <c r="N18" s="26">
        <v>2326943.5736251296</v>
      </c>
    </row>
    <row r="19" spans="1:14" x14ac:dyDescent="0.2">
      <c r="A19" s="33">
        <f>'Purchased Power Model'!A259</f>
        <v>2008</v>
      </c>
      <c r="B19" s="26">
        <f>'Purchased Power Model'!E259</f>
        <v>1247356069.218019</v>
      </c>
      <c r="C19" s="26">
        <f>'Purchased Power Model'!O259</f>
        <v>1255843367.8588324</v>
      </c>
      <c r="D19" s="79">
        <f t="shared" si="0"/>
        <v>8487298.6408133507</v>
      </c>
      <c r="E19" s="80">
        <f t="shared" si="1"/>
        <v>6.8042308449536223E-3</v>
      </c>
      <c r="F19" s="50">
        <f t="shared" si="2"/>
        <v>1.0491701982807879</v>
      </c>
      <c r="G19" s="60">
        <f t="shared" si="3"/>
        <v>1188897732</v>
      </c>
      <c r="H19" s="26">
        <v>450470689.5</v>
      </c>
      <c r="I19" s="26">
        <v>122663803.5</v>
      </c>
      <c r="J19" s="26">
        <v>605669659</v>
      </c>
      <c r="K19" s="26">
        <v>0</v>
      </c>
      <c r="L19" s="26">
        <f>1904+4130+18625+148+21500+3969+2065+19404+148+295+23389+3969+2065+20585+148+295+24106+2674+2065+18193+148+295+23352+3674+1475+21587+74+295+21140+3600+2065+20463+576+295+18116</f>
        <v>286832</v>
      </c>
      <c r="M19" s="26">
        <f>601963+179169+518622+154762+506397+147986+427298+124905+384059+113085+351428+105938+377696+114876+439710+130283+472441+143247+520246+167046+553944+177867+598950+192318</f>
        <v>7504236</v>
      </c>
      <c r="N19" s="26">
        <f>64952+64952+64952+64951+64952+65470+65470+65470+65470+65470+65470+66071+253164-126582+126960+126582+126482+126582+126482+126582+126482+126582+126482+126582+126482</f>
        <v>2302512</v>
      </c>
    </row>
    <row r="20" spans="1:14" x14ac:dyDescent="0.2">
      <c r="A20" s="33">
        <f>'Purchased Power Model'!A260</f>
        <v>2009</v>
      </c>
      <c r="B20" s="26">
        <f>'Purchased Power Model'!E260</f>
        <v>1216807819.4732933</v>
      </c>
      <c r="C20" s="26">
        <f>'Purchased Power Model'!O260</f>
        <v>1225399085.2882426</v>
      </c>
      <c r="D20" s="79">
        <f t="shared" si="0"/>
        <v>8591265.8149492741</v>
      </c>
      <c r="E20" s="80">
        <f t="shared" si="1"/>
        <v>7.0604952379974715E-3</v>
      </c>
      <c r="F20" s="50">
        <f t="shared" si="2"/>
        <v>1.0473667911459952</v>
      </c>
      <c r="G20" s="60">
        <f t="shared" si="3"/>
        <v>1161778118</v>
      </c>
      <c r="H20" s="26">
        <v>438952917.5</v>
      </c>
      <c r="I20" s="26">
        <v>119930975.5</v>
      </c>
      <c r="J20" s="26">
        <v>592972281</v>
      </c>
      <c r="K20" s="26">
        <v>0</v>
      </c>
      <c r="L20" s="26">
        <f>2951+2065+20746+295+23475+3527+2065+18036+295+20233+3527+2065+22911+295+21039+3527+2065+18663+295+22116+3527+2065+9184+497+295+36410+2916+3527+2065+19207+2596+295+19810+1688</f>
        <v>294273</v>
      </c>
      <c r="M20" s="26">
        <f>583878+187605+473965+157158+468969+155653+399195+132062+365158+120259-365158+97403+1052312+127279+400227+130665+129595+441787+14556+151675+515289+16964+145466+548234+16156+18063+157285+592863+17416+19531</f>
        <v>7271510</v>
      </c>
      <c r="N20" s="26">
        <f>66071+65293+67256+67256+67255+67256+67256+67256+67367+67558+67407+73252+126582+126482+126582+126482+22800+126860+127032+127254+127032+772+73382-45060+479478</f>
        <v>2356161</v>
      </c>
    </row>
    <row r="21" spans="1:14" x14ac:dyDescent="0.2">
      <c r="A21" s="33">
        <f>'Purchased Power Model'!A261</f>
        <v>2010</v>
      </c>
      <c r="B21" s="26">
        <f>'Purchased Power Model'!E261</f>
        <v>1264714636.949239</v>
      </c>
      <c r="C21" s="26">
        <f>'Purchased Power Model'!O261</f>
        <v>1256450872.6026883</v>
      </c>
      <c r="D21" s="79">
        <f t="shared" si="0"/>
        <v>-8263764.346550703</v>
      </c>
      <c r="E21" s="80">
        <f t="shared" si="1"/>
        <v>-6.5340940202010013E-3</v>
      </c>
      <c r="F21" s="50">
        <f>1 +(B21-G21)/G21</f>
        <v>1.0594804745493098</v>
      </c>
      <c r="G21" s="60">
        <f t="shared" si="3"/>
        <v>1193712076.182653</v>
      </c>
      <c r="H21" s="26">
        <v>451343387.28237766</v>
      </c>
      <c r="I21" s="26">
        <v>121294613.50873116</v>
      </c>
      <c r="J21" s="26">
        <v>611065861.60869288</v>
      </c>
      <c r="K21" s="26">
        <v>0</v>
      </c>
      <c r="L21" s="26">
        <v>293544.09823073843</v>
      </c>
      <c r="M21" s="26">
        <v>7368898.1738683414</v>
      </c>
      <c r="N21" s="26">
        <v>2345771.5107520283</v>
      </c>
    </row>
    <row r="22" spans="1:14" x14ac:dyDescent="0.2">
      <c r="A22" s="33">
        <f>'Purchased Power Model'!A262</f>
        <v>2011</v>
      </c>
      <c r="B22" s="26">
        <f>'Purchased Power Model'!E262</f>
        <v>1266311662.4232736</v>
      </c>
      <c r="C22" s="26">
        <f>'Purchased Power Model'!O262</f>
        <v>1265208873.2973049</v>
      </c>
      <c r="D22" s="79">
        <f t="shared" si="0"/>
        <v>-1102789.1259686947</v>
      </c>
      <c r="E22" s="80">
        <f t="shared" si="1"/>
        <v>-8.7086706905813811E-4</v>
      </c>
      <c r="F22" s="50">
        <f>1 +(B22-G22)/G22</f>
        <v>1.0270177348865179</v>
      </c>
      <c r="G22" s="60">
        <f>SUM(H22:N22)</f>
        <v>1232998827</v>
      </c>
      <c r="H22" s="26">
        <v>418849931</v>
      </c>
      <c r="I22" s="26">
        <v>129680926</v>
      </c>
      <c r="J22" s="26">
        <v>675128624</v>
      </c>
      <c r="K22" s="26">
        <v>0</v>
      </c>
      <c r="L22" s="26">
        <v>246192</v>
      </c>
      <c r="M22" s="26">
        <v>7294838</v>
      </c>
      <c r="N22" s="26">
        <v>1798316</v>
      </c>
    </row>
    <row r="23" spans="1:14" x14ac:dyDescent="0.2">
      <c r="A23" s="33">
        <v>2012</v>
      </c>
      <c r="B23" s="26">
        <f>'Purchased Power Model'!E263</f>
        <v>1260789450.8992722</v>
      </c>
      <c r="C23" s="26">
        <f>'Purchased Power Model'!O263</f>
        <v>1275140355.1855636</v>
      </c>
      <c r="D23" s="79">
        <f t="shared" si="0"/>
        <v>14350904.286291361</v>
      </c>
      <c r="E23" s="80">
        <f t="shared" si="1"/>
        <v>1.1382474905746886E-2</v>
      </c>
      <c r="F23" s="50">
        <f>1 +(B23-G23)/G23</f>
        <v>1.0385284568403648</v>
      </c>
      <c r="G23" s="60">
        <f t="shared" si="3"/>
        <v>1214015314.2602541</v>
      </c>
      <c r="H23" s="26">
        <v>414592237</v>
      </c>
      <c r="I23" s="26">
        <v>125465897</v>
      </c>
      <c r="J23" s="26">
        <v>664095955</v>
      </c>
      <c r="K23" s="26">
        <v>0</v>
      </c>
      <c r="L23" s="26">
        <v>267435.26025404601</v>
      </c>
      <c r="M23" s="26">
        <v>7329519</v>
      </c>
      <c r="N23" s="26">
        <v>2264271</v>
      </c>
    </row>
    <row r="24" spans="1:14" x14ac:dyDescent="0.2">
      <c r="A24" s="33">
        <v>2013</v>
      </c>
      <c r="B24" s="26">
        <f>'Purchased Power Model'!E264</f>
        <v>1250000079.5232756</v>
      </c>
      <c r="C24" s="26">
        <f>'Purchased Power Model'!O264</f>
        <v>1237576506.9836352</v>
      </c>
      <c r="D24" s="79">
        <f t="shared" si="0"/>
        <v>-12423572.539640427</v>
      </c>
      <c r="E24" s="80">
        <f t="shared" si="1"/>
        <v>-9.9388573994159436E-3</v>
      </c>
      <c r="F24" s="50">
        <f>1 +(B24-G24)/G24</f>
        <v>1.0396694715657555</v>
      </c>
      <c r="G24" s="60">
        <f>SUM(H24:N24)</f>
        <v>1202305265</v>
      </c>
      <c r="H24" s="26">
        <v>412298278</v>
      </c>
      <c r="I24" s="26">
        <v>124179905</v>
      </c>
      <c r="J24" s="26">
        <v>655968805</v>
      </c>
      <c r="K24" s="26">
        <v>0</v>
      </c>
      <c r="L24" s="26">
        <v>265619</v>
      </c>
      <c r="M24" s="26">
        <v>7344781</v>
      </c>
      <c r="N24" s="26">
        <v>2247877</v>
      </c>
    </row>
    <row r="25" spans="1:14" x14ac:dyDescent="0.2">
      <c r="A25" s="33">
        <v>2014</v>
      </c>
      <c r="B25" s="26">
        <f>'Purchased Power Model'!E265</f>
        <v>418069505.98058736</v>
      </c>
      <c r="C25" s="26">
        <f>'Purchased Power Model'!O265</f>
        <v>1238461756.4547868</v>
      </c>
      <c r="D25" s="79"/>
      <c r="E25" s="80"/>
      <c r="G25" s="26">
        <f>C25/$F$29</f>
        <v>1188072528.4098463</v>
      </c>
    </row>
    <row r="26" spans="1:14" x14ac:dyDescent="0.2">
      <c r="A26" s="97">
        <v>2015</v>
      </c>
      <c r="B26" s="94">
        <f>'Purchased Power Model'!E266</f>
        <v>0</v>
      </c>
      <c r="C26" s="94">
        <f>'Purchased Power Model'!O266</f>
        <v>1245167213.1371078</v>
      </c>
      <c r="D26" s="98"/>
      <c r="E26" s="99"/>
      <c r="F26" s="100"/>
      <c r="G26" s="94">
        <f>C26/$F$29</f>
        <v>1194505160.530448</v>
      </c>
      <c r="H26" s="94"/>
      <c r="I26" s="94"/>
      <c r="J26" s="94"/>
      <c r="K26" s="94"/>
      <c r="L26" s="94"/>
      <c r="M26" s="94"/>
      <c r="N26" s="94"/>
    </row>
    <row r="27" spans="1:14" x14ac:dyDescent="0.2">
      <c r="H27" s="26">
        <f t="shared" ref="H27:N27" si="4">SUM(H14:H24)</f>
        <v>4785932566.1261158</v>
      </c>
      <c r="I27" s="26">
        <f t="shared" si="4"/>
        <v>1365730448.4861224</v>
      </c>
      <c r="J27" s="26">
        <f t="shared" si="4"/>
        <v>6790301465.8663969</v>
      </c>
      <c r="K27" s="26">
        <f t="shared" si="4"/>
        <v>0</v>
      </c>
      <c r="L27" s="26">
        <f t="shared" si="4"/>
        <v>3200978.2725357097</v>
      </c>
      <c r="M27" s="26">
        <f t="shared" si="4"/>
        <v>80572953.894406781</v>
      </c>
      <c r="N27" s="26">
        <f t="shared" si="4"/>
        <v>25253860.208360977</v>
      </c>
    </row>
    <row r="28" spans="1:14" x14ac:dyDescent="0.2">
      <c r="F28" s="50"/>
      <c r="H28" s="81">
        <f t="shared" ref="H28:N28" si="5">H27/SUM($G$14:$G$24)</f>
        <v>0.36671024440653871</v>
      </c>
      <c r="I28" s="81">
        <f t="shared" si="5"/>
        <v>0.10464571734724273</v>
      </c>
      <c r="J28" s="81">
        <f t="shared" si="5"/>
        <v>0.52029005334638212</v>
      </c>
      <c r="K28" s="81">
        <f t="shared" si="5"/>
        <v>0</v>
      </c>
      <c r="L28" s="81">
        <f t="shared" si="5"/>
        <v>2.4526704219982905E-4</v>
      </c>
      <c r="M28" s="81">
        <f t="shared" si="5"/>
        <v>6.1737032870671843E-3</v>
      </c>
      <c r="N28" s="81">
        <f t="shared" si="5"/>
        <v>1.9350145705693965E-3</v>
      </c>
    </row>
    <row r="29" spans="1:14" x14ac:dyDescent="0.2">
      <c r="A29" s="33" t="s">
        <v>112</v>
      </c>
      <c r="E29" s="95" t="s">
        <v>85</v>
      </c>
      <c r="F29" s="96">
        <f>AVERAGE(F20:F24)</f>
        <v>1.0424125857975886</v>
      </c>
      <c r="H29" s="81"/>
      <c r="I29" s="81"/>
      <c r="J29" s="81"/>
      <c r="K29" s="81"/>
      <c r="L29" s="81"/>
      <c r="M29" s="81"/>
      <c r="N29" s="81"/>
    </row>
    <row r="30" spans="1:14" x14ac:dyDescent="0.2">
      <c r="A30" s="82"/>
      <c r="F30" s="50"/>
      <c r="H30" s="81"/>
      <c r="I30" s="81"/>
      <c r="J30" s="81"/>
      <c r="K30" s="81"/>
      <c r="L30" s="81"/>
      <c r="M30" s="81"/>
      <c r="N30" s="81"/>
    </row>
    <row r="31" spans="1:14" x14ac:dyDescent="0.2">
      <c r="A31" s="82"/>
      <c r="F31" s="50"/>
      <c r="H31" s="81"/>
      <c r="I31" s="81"/>
      <c r="J31" s="81"/>
      <c r="K31" s="81"/>
      <c r="L31" s="81"/>
      <c r="M31" s="81"/>
      <c r="N31" s="81"/>
    </row>
    <row r="32" spans="1:14" x14ac:dyDescent="0.2">
      <c r="A32" s="82"/>
      <c r="F32" s="50"/>
      <c r="H32" s="81"/>
      <c r="I32" s="81"/>
      <c r="J32" s="81"/>
      <c r="K32" s="81"/>
      <c r="L32" s="81"/>
      <c r="M32" s="81"/>
      <c r="N32" s="81"/>
    </row>
    <row r="33" spans="1:14" x14ac:dyDescent="0.2">
      <c r="A33" s="82" t="s">
        <v>15</v>
      </c>
      <c r="F33" s="50"/>
      <c r="H33" s="81"/>
      <c r="I33" s="81"/>
      <c r="J33" s="81"/>
      <c r="K33" s="81"/>
      <c r="L33" s="81"/>
      <c r="M33" s="81"/>
      <c r="N33" s="81"/>
    </row>
    <row r="34" spans="1:14" x14ac:dyDescent="0.2">
      <c r="A34" s="33" t="s">
        <v>87</v>
      </c>
      <c r="B34" s="69">
        <f t="shared" ref="B34:B41" si="6">(B17-B16)/B16</f>
        <v>-1.8970023230005153E-2</v>
      </c>
      <c r="F34" s="83"/>
      <c r="G34" s="69">
        <f t="shared" ref="G34:J41" si="7">(G17-G16)/G16</f>
        <v>-2.0439838048232285E-2</v>
      </c>
      <c r="H34" s="69">
        <f t="shared" si="7"/>
        <v>-2.9217790164253025E-2</v>
      </c>
      <c r="I34" s="69">
        <f t="shared" si="7"/>
        <v>-2.5354204978879202E-2</v>
      </c>
      <c r="J34" s="69">
        <f t="shared" si="7"/>
        <v>-1.4318335519551714E-2</v>
      </c>
      <c r="K34" s="69"/>
      <c r="L34" s="69">
        <f t="shared" ref="L34:N41" si="8">(L17-L16)/L16</f>
        <v>-5.8059476901351534E-2</v>
      </c>
      <c r="M34" s="69">
        <f t="shared" si="8"/>
        <v>0.10435248541930106</v>
      </c>
      <c r="N34" s="69">
        <f t="shared" si="8"/>
        <v>-6.8602478434677972E-3</v>
      </c>
    </row>
    <row r="35" spans="1:14" x14ac:dyDescent="0.2">
      <c r="A35" s="33" t="s">
        <v>88</v>
      </c>
      <c r="B35" s="69">
        <f t="shared" si="6"/>
        <v>2.8731462187820293E-2</v>
      </c>
      <c r="G35" s="69">
        <f t="shared" si="7"/>
        <v>3.0627126599110696E-2</v>
      </c>
      <c r="H35" s="69">
        <f t="shared" si="7"/>
        <v>2.8228271632242577E-2</v>
      </c>
      <c r="I35" s="69">
        <f t="shared" si="7"/>
        <v>3.2563380533628665E-2</v>
      </c>
      <c r="J35" s="69">
        <f t="shared" si="7"/>
        <v>3.4722142144821985E-2</v>
      </c>
      <c r="K35" s="69"/>
      <c r="L35" s="69">
        <f t="shared" si="8"/>
        <v>-6.9197553279674445E-2</v>
      </c>
      <c r="M35" s="69">
        <f t="shared" si="8"/>
        <v>-0.14732290179252466</v>
      </c>
      <c r="N35" s="69">
        <f t="shared" si="8"/>
        <v>-2.0448946332393532E-2</v>
      </c>
    </row>
    <row r="36" spans="1:14" x14ac:dyDescent="0.2">
      <c r="A36" s="33" t="s">
        <v>89</v>
      </c>
      <c r="B36" s="69">
        <f t="shared" si="6"/>
        <v>-2.8475606426994194E-2</v>
      </c>
      <c r="E36" s="84"/>
      <c r="F36" s="50"/>
      <c r="G36" s="69">
        <f t="shared" si="7"/>
        <v>-2.5855229595241242E-2</v>
      </c>
      <c r="H36" s="69">
        <f t="shared" si="7"/>
        <v>-2.6474860684331938E-2</v>
      </c>
      <c r="I36" s="69">
        <f t="shared" si="7"/>
        <v>-2.6432279579989882E-2</v>
      </c>
      <c r="J36" s="69">
        <f t="shared" si="7"/>
        <v>-2.6398665650936667E-2</v>
      </c>
      <c r="K36" s="69"/>
      <c r="L36" s="69">
        <f t="shared" si="8"/>
        <v>-2.8487029758542014E-2</v>
      </c>
      <c r="M36" s="69">
        <f t="shared" si="8"/>
        <v>6.8478535462200604E-2</v>
      </c>
      <c r="N36" s="69">
        <f t="shared" si="8"/>
        <v>-1.0499426759656172E-2</v>
      </c>
    </row>
    <row r="37" spans="1:14" x14ac:dyDescent="0.2">
      <c r="A37" s="33" t="s">
        <v>90</v>
      </c>
      <c r="B37" s="69">
        <f t="shared" si="6"/>
        <v>-2.4490400534850271E-2</v>
      </c>
      <c r="F37" s="83"/>
      <c r="G37" s="69">
        <f t="shared" si="7"/>
        <v>-2.2810720611249346E-2</v>
      </c>
      <c r="H37" s="69">
        <f t="shared" si="7"/>
        <v>-2.5568305038412495E-2</v>
      </c>
      <c r="I37" s="69">
        <f t="shared" si="7"/>
        <v>-2.2279009145513739E-2</v>
      </c>
      <c r="J37" s="69">
        <f t="shared" si="7"/>
        <v>-2.0964196920420609E-2</v>
      </c>
      <c r="K37" s="69"/>
      <c r="L37" s="69">
        <f t="shared" si="8"/>
        <v>2.5942014837953924E-2</v>
      </c>
      <c r="M37" s="69">
        <f t="shared" si="8"/>
        <v>-3.1012617407021846E-2</v>
      </c>
      <c r="N37" s="69">
        <f t="shared" si="8"/>
        <v>2.3300204298609517E-2</v>
      </c>
    </row>
    <row r="38" spans="1:14" x14ac:dyDescent="0.2">
      <c r="A38" s="33" t="s">
        <v>91</v>
      </c>
      <c r="B38" s="69">
        <f t="shared" si="6"/>
        <v>3.9370898764180054E-2</v>
      </c>
      <c r="G38" s="69">
        <f t="shared" si="7"/>
        <v>2.7487140347958378E-2</v>
      </c>
      <c r="H38" s="69">
        <f t="shared" si="7"/>
        <v>2.8227332108750957E-2</v>
      </c>
      <c r="I38" s="69">
        <f t="shared" si="7"/>
        <v>1.1370190253569284E-2</v>
      </c>
      <c r="J38" s="69">
        <f t="shared" si="7"/>
        <v>3.0513366625130465E-2</v>
      </c>
      <c r="K38" s="69"/>
      <c r="L38" s="69">
        <f t="shared" si="8"/>
        <v>-2.4769576864393755E-3</v>
      </c>
      <c r="M38" s="69">
        <f t="shared" si="8"/>
        <v>1.3393115579617077E-2</v>
      </c>
      <c r="N38" s="69">
        <f t="shared" si="8"/>
        <v>-4.409498861907858E-3</v>
      </c>
    </row>
    <row r="39" spans="1:14" x14ac:dyDescent="0.2">
      <c r="A39" s="33" t="s">
        <v>92</v>
      </c>
      <c r="B39" s="69">
        <f t="shared" si="6"/>
        <v>1.2627555872104978E-3</v>
      </c>
      <c r="G39" s="69">
        <f t="shared" si="7"/>
        <v>3.291141272775034E-2</v>
      </c>
      <c r="H39" s="69">
        <f t="shared" si="7"/>
        <v>-7.1992760275112908E-2</v>
      </c>
      <c r="I39" s="69">
        <f t="shared" si="7"/>
        <v>6.9140024018174318E-2</v>
      </c>
      <c r="J39" s="69">
        <f t="shared" si="7"/>
        <v>0.10483773749470375</v>
      </c>
      <c r="K39" s="69"/>
      <c r="L39" s="69">
        <f t="shared" si="8"/>
        <v>-0.16131170245336568</v>
      </c>
      <c r="M39" s="69">
        <f t="shared" si="8"/>
        <v>-1.0050372812990453E-2</v>
      </c>
      <c r="N39" s="69">
        <f t="shared" si="8"/>
        <v>-0.23337972528130849</v>
      </c>
    </row>
    <row r="40" spans="1:14" x14ac:dyDescent="0.2">
      <c r="A40" s="33" t="s">
        <v>93</v>
      </c>
      <c r="B40" s="69">
        <f t="shared" si="6"/>
        <v>-4.3608628806543533E-3</v>
      </c>
      <c r="G40" s="69">
        <f t="shared" si="7"/>
        <v>-1.5396213138283753E-2</v>
      </c>
      <c r="H40" s="69">
        <f t="shared" si="7"/>
        <v>-1.0165201626832786E-2</v>
      </c>
      <c r="I40" s="69">
        <f t="shared" si="7"/>
        <v>-3.2503076049904212E-2</v>
      </c>
      <c r="J40" s="69">
        <f t="shared" si="7"/>
        <v>-1.6341580860005131E-2</v>
      </c>
      <c r="K40" s="69"/>
      <c r="L40" s="69">
        <f t="shared" si="8"/>
        <v>8.6287370239674754E-2</v>
      </c>
      <c r="M40" s="69">
        <f t="shared" si="8"/>
        <v>4.7541837118247176E-3</v>
      </c>
      <c r="N40" s="69">
        <f t="shared" si="8"/>
        <v>0.25910629722473694</v>
      </c>
    </row>
    <row r="41" spans="1:14" x14ac:dyDescent="0.2">
      <c r="A41" s="33" t="s">
        <v>94</v>
      </c>
      <c r="B41" s="69">
        <f t="shared" si="6"/>
        <v>-8.5576313858756903E-3</v>
      </c>
      <c r="G41" s="69">
        <f t="shared" si="7"/>
        <v>-9.6457179103951619E-3</v>
      </c>
      <c r="H41" s="69">
        <f t="shared" si="7"/>
        <v>-5.5330486084330614E-3</v>
      </c>
      <c r="I41" s="69">
        <f t="shared" si="7"/>
        <v>-1.0249733439517832E-2</v>
      </c>
      <c r="J41" s="69">
        <f t="shared" si="7"/>
        <v>-1.2237915227175265E-2</v>
      </c>
      <c r="K41" s="69"/>
      <c r="L41" s="69">
        <f t="shared" si="8"/>
        <v>-6.7914015987296447E-3</v>
      </c>
      <c r="M41" s="69">
        <f t="shared" si="8"/>
        <v>2.0822648798645587E-3</v>
      </c>
      <c r="N41" s="69">
        <f t="shared" si="8"/>
        <v>-7.2402994164567757E-3</v>
      </c>
    </row>
    <row r="42" spans="1:14" x14ac:dyDescent="0.2">
      <c r="B42" s="22" t="s">
        <v>86</v>
      </c>
      <c r="G42" s="22"/>
      <c r="H42" s="81"/>
      <c r="I42" s="81"/>
      <c r="J42" s="81"/>
      <c r="K42" s="81"/>
      <c r="L42" s="81"/>
      <c r="M42" s="81"/>
      <c r="N42" s="81"/>
    </row>
    <row r="45" spans="1:14" x14ac:dyDescent="0.2">
      <c r="A45" s="85" t="s">
        <v>17</v>
      </c>
      <c r="D45" s="26"/>
    </row>
    <row r="46" spans="1:14" x14ac:dyDescent="0.2">
      <c r="A46" s="33">
        <f t="shared" ref="A46:A54" si="9">A14</f>
        <v>2003</v>
      </c>
      <c r="H46" s="26">
        <f>H14/'Rate Class Customer Model'!B9</f>
        <v>9853.3891352871233</v>
      </c>
      <c r="I46" s="26">
        <f>I14/'Rate Class Customer Model'!C9</f>
        <v>31734.54173217903</v>
      </c>
      <c r="J46" s="26">
        <f>J14/'Rate Class Customer Model'!D9</f>
        <v>640868.84804263816</v>
      </c>
      <c r="K46" s="26">
        <v>0</v>
      </c>
      <c r="L46" s="26">
        <f>L14/'Rate Class Customer Model'!F9</f>
        <v>513.20374070170908</v>
      </c>
      <c r="M46" s="26">
        <f>M14/'Rate Class Customer Model'!G9</f>
        <v>591.09194849114601</v>
      </c>
      <c r="N46" s="26">
        <f>N14/'Rate Class Customer Model'!H9</f>
        <v>5733.3446031702442</v>
      </c>
    </row>
    <row r="47" spans="1:14" x14ac:dyDescent="0.2">
      <c r="A47" s="33">
        <f t="shared" si="9"/>
        <v>2004</v>
      </c>
      <c r="H47" s="26">
        <f>H15/'Rate Class Customer Model'!B10</f>
        <v>9432.9266688221123</v>
      </c>
      <c r="I47" s="26">
        <f>I15/'Rate Class Customer Model'!C10</f>
        <v>30482.924117666331</v>
      </c>
      <c r="J47" s="26">
        <f>J15/'Rate Class Customer Model'!D10</f>
        <v>730684.98266023095</v>
      </c>
      <c r="K47" s="26">
        <v>0</v>
      </c>
      <c r="L47" s="26">
        <f>L15/'Rate Class Customer Model'!F10</f>
        <v>497.04608322970029</v>
      </c>
      <c r="M47" s="26">
        <f>M15/'Rate Class Customer Model'!G10</f>
        <v>606.40817729655055</v>
      </c>
      <c r="N47" s="26">
        <f>N15/'Rate Class Customer Model'!H10</f>
        <v>5746.6505751239301</v>
      </c>
    </row>
    <row r="48" spans="1:14" x14ac:dyDescent="0.2">
      <c r="A48" s="33">
        <f t="shared" si="9"/>
        <v>2005</v>
      </c>
      <c r="H48" s="26">
        <f>H16/'Rate Class Customer Model'!B11</f>
        <v>10763.49499598337</v>
      </c>
      <c r="I48" s="26">
        <f>I16/'Rate Class Customer Model'!C11</f>
        <v>28216.120405416692</v>
      </c>
      <c r="J48" s="26">
        <f>J16/'Rate Class Customer Model'!D11</f>
        <v>760536.16225298285</v>
      </c>
      <c r="K48" s="26">
        <v>0</v>
      </c>
      <c r="L48" s="26">
        <f>L16/'Rate Class Customer Model'!F11</f>
        <v>645.10067728236425</v>
      </c>
      <c r="M48" s="26">
        <f>M16/'Rate Class Customer Model'!G11</f>
        <v>634.65336535519657</v>
      </c>
      <c r="N48" s="26">
        <f>N16/'Rate Class Customer Model'!H11</f>
        <v>5668.0798451102282</v>
      </c>
    </row>
    <row r="49" spans="1:14" x14ac:dyDescent="0.2">
      <c r="A49" s="33">
        <f t="shared" si="9"/>
        <v>2006</v>
      </c>
      <c r="H49" s="26">
        <f>H17/'Rate Class Customer Model'!B12</f>
        <v>10292.240859177278</v>
      </c>
      <c r="I49" s="26">
        <f>I17/'Rate Class Customer Model'!C12</f>
        <v>27494.526457111042</v>
      </c>
      <c r="J49" s="26">
        <f>J17/'Rate Class Customer Model'!D12</f>
        <v>690260.08420928603</v>
      </c>
      <c r="K49" s="26">
        <v>0</v>
      </c>
      <c r="L49" s="26">
        <f>L17/'Rate Class Customer Model'!F12</f>
        <v>533.99235190632226</v>
      </c>
      <c r="M49" s="26">
        <f>M17/'Rate Class Customer Model'!G12</f>
        <v>697.61613988373051</v>
      </c>
      <c r="N49" s="26">
        <f>N17/'Rate Class Customer Model'!H12</f>
        <v>5629.1954125762077</v>
      </c>
    </row>
    <row r="50" spans="1:14" x14ac:dyDescent="0.2">
      <c r="A50" s="33">
        <f t="shared" si="9"/>
        <v>2007</v>
      </c>
      <c r="H50" s="26">
        <f>H18/'Rate Class Customer Model'!B13</f>
        <v>10439.281849009871</v>
      </c>
      <c r="I50" s="26">
        <f>I18/'Rate Class Customer Model'!C13</f>
        <v>29037.592804289794</v>
      </c>
      <c r="J50" s="26">
        <f>J18/'Rate Class Customer Model'!D13</f>
        <v>729299.01439267874</v>
      </c>
      <c r="K50" s="26">
        <v>0</v>
      </c>
      <c r="L50" s="26">
        <f>L18/'Rate Class Customer Model'!F13</f>
        <v>518.87976148418534</v>
      </c>
      <c r="M50" s="26">
        <f>M18/'Rate Class Customer Model'!G13</f>
        <v>588.56040373771009</v>
      </c>
      <c r="N50" s="26">
        <f>N18/'Rate Class Customer Model'!H13</f>
        <v>5288.5081218752948</v>
      </c>
    </row>
    <row r="51" spans="1:14" x14ac:dyDescent="0.2">
      <c r="A51" s="33">
        <f t="shared" si="9"/>
        <v>2008</v>
      </c>
      <c r="H51" s="26">
        <f>H19/'Rate Class Customer Model'!B14</f>
        <v>10020.480246913581</v>
      </c>
      <c r="I51" s="26">
        <f>I19/'Rate Class Customer Model'!C14</f>
        <v>28794.320070422535</v>
      </c>
      <c r="J51" s="26">
        <f>J19/'Rate Class Customer Model'!D14</f>
        <v>715076.33884297521</v>
      </c>
      <c r="K51" s="26">
        <v>0</v>
      </c>
      <c r="L51" s="26">
        <f>L19/'Rate Class Customer Model'!F14</f>
        <v>508.33542263898681</v>
      </c>
      <c r="M51" s="26">
        <f>M19/'Rate Class Customer Model'!G14</f>
        <v>626.08343066911402</v>
      </c>
      <c r="N51" s="26">
        <f>N19/'Rate Class Customer Model'!H14</f>
        <v>5174.7596031474495</v>
      </c>
    </row>
    <row r="52" spans="1:14" x14ac:dyDescent="0.2">
      <c r="A52" s="33">
        <f t="shared" si="9"/>
        <v>2009</v>
      </c>
      <c r="H52" s="26">
        <f>H20/'Rate Class Customer Model'!B15</f>
        <v>9592.3354830578664</v>
      </c>
      <c r="I52" s="26">
        <f>I20/'Rate Class Customer Model'!C15</f>
        <v>28175.146409409175</v>
      </c>
      <c r="J52" s="26">
        <f>J20/'Rate Class Customer Model'!D15</f>
        <v>695793.19300641527</v>
      </c>
      <c r="K52" s="26">
        <v>0</v>
      </c>
      <c r="L52" s="26">
        <f>L20/'Rate Class Customer Model'!F15</f>
        <v>520.3604066015597</v>
      </c>
      <c r="M52" s="26">
        <f>M20/'Rate Class Customer Model'!G15</f>
        <v>599.14392596942287</v>
      </c>
      <c r="N52" s="26">
        <f>N20/'Rate Class Customer Model'!H15</f>
        <v>5189.7819383259912</v>
      </c>
    </row>
    <row r="53" spans="1:14" x14ac:dyDescent="0.2">
      <c r="A53" s="33">
        <f t="shared" si="9"/>
        <v>2010</v>
      </c>
      <c r="H53" s="26">
        <f>H21/'Rate Class Customer Model'!B16</f>
        <v>9846.1035191727387</v>
      </c>
      <c r="I53" s="26">
        <f>I21/'Rate Class Customer Model'!C16</f>
        <v>27840.390602337862</v>
      </c>
      <c r="J53" s="26">
        <f>J21/'Rate Class Customer Model'!D16</f>
        <v>718056.24160833482</v>
      </c>
      <c r="K53" s="63">
        <v>0</v>
      </c>
      <c r="L53" s="26">
        <f>L21/'Rate Class Customer Model'!F16</f>
        <v>703.94268160848549</v>
      </c>
      <c r="M53" s="26">
        <f>M21/'Rate Class Customer Model'!G16</f>
        <v>597.42363620295464</v>
      </c>
      <c r="N53" s="26">
        <f>N21/'Rate Class Customer Model'!H16</f>
        <v>5044.6699155957594</v>
      </c>
    </row>
    <row r="54" spans="1:14" x14ac:dyDescent="0.2">
      <c r="A54" s="33">
        <f t="shared" si="9"/>
        <v>2011</v>
      </c>
      <c r="H54" s="26">
        <f>H22/'Rate Class Customer Model'!B17</f>
        <v>9106.1336601901676</v>
      </c>
      <c r="I54" s="26">
        <f>I22/'Rate Class Customer Model'!C17</f>
        <v>30111.250845427017</v>
      </c>
      <c r="J54" s="26">
        <f>J22/'Rate Class Customer Model'!D17</f>
        <v>786393.6814181559</v>
      </c>
      <c r="K54" s="63">
        <v>0</v>
      </c>
      <c r="L54" s="26">
        <f>L22/'Rate Class Customer Model'!F17</f>
        <v>667.0589980361018</v>
      </c>
      <c r="M54" s="26">
        <f>M22/'Rate Class Customer Model'!G17</f>
        <v>581.74098195061015</v>
      </c>
      <c r="N54" s="26">
        <f>N22/'Rate Class Customer Model'!H17</f>
        <v>4240.755958597776</v>
      </c>
    </row>
    <row r="55" spans="1:14" x14ac:dyDescent="0.2">
      <c r="A55" s="33">
        <v>2012</v>
      </c>
      <c r="H55" s="26">
        <f>H23/'Rate Class Customer Model'!B18</f>
        <v>9038.2208870368995</v>
      </c>
      <c r="I55" s="26">
        <f>I23/'Rate Class Customer Model'!C18</f>
        <v>29452.85027861092</v>
      </c>
      <c r="J55" s="26">
        <f>J23/'Rate Class Customer Model'!D18</f>
        <v>776552.86187319388</v>
      </c>
      <c r="K55" s="63">
        <v>0</v>
      </c>
      <c r="L55" s="26">
        <f>L23/'Rate Class Customer Model'!F18</f>
        <v>779.20312658632679</v>
      </c>
      <c r="M55" s="26">
        <f>M23/'Rate Class Customer Model'!G18</f>
        <v>586.02553202830381</v>
      </c>
      <c r="N55" s="26">
        <f>N23/'Rate Class Customer Model'!H18</f>
        <v>5903.5884537075199</v>
      </c>
    </row>
    <row r="56" spans="1:14" x14ac:dyDescent="0.2">
      <c r="A56" s="33">
        <v>2013</v>
      </c>
      <c r="H56" s="26">
        <f>H24/'Rate Class Customer Model'!B19</f>
        <v>8909.9316206354379</v>
      </c>
      <c r="I56" s="26">
        <f>I24/'Rate Class Customer Model'!C19</f>
        <v>28775.61966437766</v>
      </c>
      <c r="J56" s="26">
        <f>J24/'Rate Class Customer Model'!D19</f>
        <v>760337.31595512212</v>
      </c>
      <c r="K56" s="63">
        <v>0</v>
      </c>
      <c r="L56" s="26">
        <f>L24/'Rate Class Customer Model'!F19</f>
        <v>787.11611246914072</v>
      </c>
      <c r="M56" s="26">
        <f>M24/'Rate Class Customer Model'!G19</f>
        <v>578.2381514722091</v>
      </c>
      <c r="N56" s="26">
        <f>N24/'Rate Class Customer Model'!H19</f>
        <v>5331.7030248784258</v>
      </c>
    </row>
    <row r="57" spans="1:14" x14ac:dyDescent="0.2">
      <c r="A57" s="33">
        <v>2014</v>
      </c>
      <c r="H57" s="26">
        <f>H56*H76</f>
        <v>8820.703922457491</v>
      </c>
      <c r="I57" s="26">
        <f t="shared" ref="I57:N57" si="10">I56*I76</f>
        <v>28495.345692214189</v>
      </c>
      <c r="J57" s="26">
        <f t="shared" si="10"/>
        <v>773446.03917207522</v>
      </c>
      <c r="K57" s="26">
        <f t="shared" si="10"/>
        <v>0</v>
      </c>
      <c r="L57" s="26">
        <f t="shared" si="10"/>
        <v>821.51160256198807</v>
      </c>
      <c r="M57" s="26">
        <f t="shared" si="10"/>
        <v>576.96824653296005</v>
      </c>
      <c r="N57" s="26">
        <f t="shared" si="10"/>
        <v>5293.1200225109087</v>
      </c>
    </row>
    <row r="58" spans="1:14" x14ac:dyDescent="0.2">
      <c r="A58" s="33">
        <v>2015</v>
      </c>
      <c r="H58" s="26">
        <f>H57*H76</f>
        <v>8732.3697869308762</v>
      </c>
      <c r="I58" s="26">
        <f t="shared" ref="I58:N58" si="11">I57*I76</f>
        <v>28217.801583052402</v>
      </c>
      <c r="J58" s="26">
        <f t="shared" si="11"/>
        <v>786780.76553364948</v>
      </c>
      <c r="K58" s="26">
        <f t="shared" si="11"/>
        <v>0</v>
      </c>
      <c r="L58" s="26">
        <f t="shared" si="11"/>
        <v>857.41011072292702</v>
      </c>
      <c r="M58" s="26">
        <f t="shared" si="11"/>
        <v>575.70113051130602</v>
      </c>
      <c r="N58" s="26">
        <f t="shared" si="11"/>
        <v>5254.8162270055791</v>
      </c>
    </row>
    <row r="60" spans="1:14" x14ac:dyDescent="0.2">
      <c r="A60" s="67">
        <v>1999</v>
      </c>
      <c r="D60" s="26"/>
      <c r="H60" s="86"/>
      <c r="I60" s="86"/>
      <c r="J60" s="86"/>
      <c r="K60" s="86"/>
      <c r="L60" s="86"/>
      <c r="M60" s="86"/>
      <c r="N60" s="86"/>
    </row>
    <row r="61" spans="1:14" x14ac:dyDescent="0.2">
      <c r="A61" s="67">
        <v>2000</v>
      </c>
      <c r="D61" s="26"/>
      <c r="H61" s="86"/>
      <c r="I61" s="86"/>
      <c r="J61" s="86"/>
      <c r="K61" s="86"/>
      <c r="L61" s="86"/>
      <c r="M61" s="86"/>
      <c r="N61" s="86"/>
    </row>
    <row r="62" spans="1:14" x14ac:dyDescent="0.2">
      <c r="A62" s="67">
        <v>2001</v>
      </c>
      <c r="D62" s="26"/>
      <c r="H62" s="86"/>
      <c r="I62" s="86"/>
      <c r="J62" s="86"/>
      <c r="K62" s="86"/>
      <c r="L62" s="86"/>
      <c r="M62" s="86"/>
      <c r="N62" s="86"/>
    </row>
    <row r="63" spans="1:14" x14ac:dyDescent="0.2">
      <c r="A63" s="67">
        <v>2002</v>
      </c>
      <c r="D63" s="26"/>
      <c r="H63" s="86"/>
      <c r="I63" s="86"/>
      <c r="J63" s="86"/>
      <c r="K63" s="86"/>
      <c r="L63" s="86"/>
      <c r="M63" s="86"/>
      <c r="N63" s="86"/>
    </row>
    <row r="64" spans="1:14" x14ac:dyDescent="0.2">
      <c r="A64" s="67">
        <v>2003</v>
      </c>
      <c r="D64" s="26"/>
      <c r="H64" s="86"/>
      <c r="I64" s="86"/>
      <c r="J64" s="86"/>
      <c r="K64" s="86"/>
      <c r="L64" s="86"/>
      <c r="M64" s="86"/>
      <c r="N64" s="86"/>
    </row>
    <row r="65" spans="1:15" x14ac:dyDescent="0.2">
      <c r="A65" s="67">
        <v>2004</v>
      </c>
      <c r="D65" s="26"/>
      <c r="H65" s="86">
        <f>H47/H46</f>
        <v>0.95732813748730949</v>
      </c>
      <c r="I65" s="86">
        <f>I47/I46</f>
        <v>0.96055977032611284</v>
      </c>
      <c r="J65" s="86">
        <f>J47/J46</f>
        <v>1.1401474496566841</v>
      </c>
      <c r="K65" s="86">
        <v>0</v>
      </c>
      <c r="L65" s="86">
        <f>L47/L46</f>
        <v>0.96851609567397878</v>
      </c>
      <c r="M65" s="86">
        <f>M47/M46</f>
        <v>1.025911753398945</v>
      </c>
      <c r="N65" s="86">
        <f>N47/N46</f>
        <v>1.0023208044997554</v>
      </c>
    </row>
    <row r="66" spans="1:15" x14ac:dyDescent="0.2">
      <c r="A66" s="67">
        <v>2005</v>
      </c>
      <c r="D66" s="26"/>
      <c r="H66" s="86">
        <f>H48/H47</f>
        <v>1.1410557268041823</v>
      </c>
      <c r="I66" s="86">
        <f t="shared" ref="I66:I74" si="12">I48/I47</f>
        <v>0.92563693353368559</v>
      </c>
      <c r="J66" s="86">
        <f>J48/J47</f>
        <v>1.0408536924955973</v>
      </c>
      <c r="K66" s="86">
        <v>0</v>
      </c>
      <c r="L66" s="86">
        <f t="shared" ref="L66:L74" si="13">L48/L47</f>
        <v>1.2978689482686123</v>
      </c>
      <c r="M66" s="86">
        <f t="shared" ref="M66:N70" si="14">M48/M47</f>
        <v>1.0465778482482986</v>
      </c>
      <c r="N66" s="86">
        <f t="shared" si="14"/>
        <v>0.98632756090063689</v>
      </c>
    </row>
    <row r="67" spans="1:15" x14ac:dyDescent="0.2">
      <c r="A67" s="67">
        <v>2006</v>
      </c>
      <c r="D67" s="26"/>
      <c r="H67" s="86">
        <f>H49/H48</f>
        <v>0.95621736833789117</v>
      </c>
      <c r="I67" s="86">
        <f t="shared" si="12"/>
        <v>0.97442618127731251</v>
      </c>
      <c r="J67" s="86">
        <f>J49/J48</f>
        <v>0.90759666465363897</v>
      </c>
      <c r="K67" s="86">
        <v>0</v>
      </c>
      <c r="L67" s="86">
        <f t="shared" si="13"/>
        <v>0.82776591423820622</v>
      </c>
      <c r="M67" s="86">
        <f t="shared" si="14"/>
        <v>1.0992081315022975</v>
      </c>
      <c r="N67" s="86">
        <f t="shared" si="14"/>
        <v>0.99313975215653227</v>
      </c>
    </row>
    <row r="68" spans="1:15" x14ac:dyDescent="0.2">
      <c r="A68" s="67">
        <v>2007</v>
      </c>
      <c r="D68" s="26"/>
      <c r="H68" s="86">
        <f>H50/H49</f>
        <v>1.0142865865504382</v>
      </c>
      <c r="I68" s="86">
        <f t="shared" si="12"/>
        <v>1.0561226740742669</v>
      </c>
      <c r="J68" s="86">
        <f>J50/J49</f>
        <v>1.0565568415101287</v>
      </c>
      <c r="K68" s="86">
        <v>0</v>
      </c>
      <c r="L68" s="86">
        <f t="shared" si="13"/>
        <v>0.9716988635358057</v>
      </c>
      <c r="M68" s="86">
        <f t="shared" si="14"/>
        <v>0.84367371981359773</v>
      </c>
      <c r="N68" s="86">
        <f t="shared" si="14"/>
        <v>0.93947851056302256</v>
      </c>
    </row>
    <row r="69" spans="1:15" x14ac:dyDescent="0.2">
      <c r="A69" s="67">
        <v>2008</v>
      </c>
      <c r="D69" s="26"/>
      <c r="H69" s="86">
        <f>H51/H50</f>
        <v>0.9598821443703035</v>
      </c>
      <c r="I69" s="86">
        <f t="shared" si="12"/>
        <v>0.99162214528225912</v>
      </c>
      <c r="J69" s="86">
        <f>J51/J50</f>
        <v>0.98049815607998947</v>
      </c>
      <c r="K69" s="86">
        <v>0</v>
      </c>
      <c r="L69" s="86">
        <f t="shared" si="13"/>
        <v>0.97967864690841311</v>
      </c>
      <c r="M69" s="86">
        <f t="shared" si="14"/>
        <v>1.0637539098673821</v>
      </c>
      <c r="N69" s="86">
        <f t="shared" si="14"/>
        <v>0.97849137864469982</v>
      </c>
    </row>
    <row r="70" spans="1:15" x14ac:dyDescent="0.2">
      <c r="A70" s="67">
        <v>2009</v>
      </c>
      <c r="D70" s="26"/>
      <c r="H70" s="86">
        <f>H52/H51</f>
        <v>0.95727302950498927</v>
      </c>
      <c r="I70" s="86">
        <f t="shared" si="12"/>
        <v>0.97849667366692317</v>
      </c>
      <c r="J70" s="86">
        <f>J52/J51</f>
        <v>0.97303344441831074</v>
      </c>
      <c r="K70" s="86">
        <v>0</v>
      </c>
      <c r="L70" s="86">
        <f t="shared" si="13"/>
        <v>1.0236556089287385</v>
      </c>
      <c r="M70" s="86">
        <f t="shared" si="14"/>
        <v>0.95697138211931254</v>
      </c>
      <c r="N70" s="86">
        <f t="shared" si="14"/>
        <v>1.0029030015557447</v>
      </c>
    </row>
    <row r="71" spans="1:15" x14ac:dyDescent="0.2">
      <c r="A71" s="67">
        <v>2010</v>
      </c>
      <c r="D71" s="26"/>
      <c r="H71" s="86">
        <f t="shared" ref="H71:J74" si="15">H53/H52</f>
        <v>1.0264552919946432</v>
      </c>
      <c r="I71" s="86">
        <f t="shared" si="12"/>
        <v>0.98811875536662619</v>
      </c>
      <c r="J71" s="86">
        <f t="shared" si="15"/>
        <v>1.0319966461668364</v>
      </c>
      <c r="K71" s="86">
        <v>0</v>
      </c>
      <c r="L71" s="86">
        <f t="shared" si="13"/>
        <v>1.352798315701784</v>
      </c>
      <c r="M71" s="86">
        <f t="shared" ref="M71:N74" si="16">M53/M52</f>
        <v>0.99712875372359855</v>
      </c>
      <c r="N71" s="86">
        <f t="shared" si="16"/>
        <v>0.97203889788536302</v>
      </c>
    </row>
    <row r="72" spans="1:15" x14ac:dyDescent="0.2">
      <c r="A72" s="67">
        <v>2011</v>
      </c>
      <c r="D72" s="26"/>
      <c r="H72" s="86">
        <f t="shared" si="15"/>
        <v>0.92484642706206865</v>
      </c>
      <c r="I72" s="86">
        <f t="shared" si="12"/>
        <v>1.0815671114506009</v>
      </c>
      <c r="J72" s="86">
        <f t="shared" si="15"/>
        <v>1.095170038013674</v>
      </c>
      <c r="K72" s="86">
        <v>0</v>
      </c>
      <c r="L72" s="86">
        <f t="shared" si="13"/>
        <v>0.94760413804131649</v>
      </c>
      <c r="M72" s="86">
        <f t="shared" si="16"/>
        <v>0.97374952495683176</v>
      </c>
      <c r="N72" s="86">
        <f t="shared" si="16"/>
        <v>0.84064091993161782</v>
      </c>
    </row>
    <row r="73" spans="1:15" x14ac:dyDescent="0.2">
      <c r="A73" s="67">
        <v>2012</v>
      </c>
      <c r="D73" s="26"/>
      <c r="H73" s="86">
        <f t="shared" si="15"/>
        <v>0.99254208474336736</v>
      </c>
      <c r="I73" s="86">
        <f t="shared" si="12"/>
        <v>0.97813439998902973</v>
      </c>
      <c r="J73" s="86">
        <f t="shared" si="15"/>
        <v>0.98748614113071786</v>
      </c>
      <c r="K73" s="86">
        <v>0</v>
      </c>
      <c r="L73" s="86">
        <f t="shared" si="13"/>
        <v>1.1681172563152438</v>
      </c>
      <c r="M73" s="86">
        <f t="shared" si="16"/>
        <v>1.0073650476941256</v>
      </c>
      <c r="N73" s="86">
        <f t="shared" si="16"/>
        <v>1.3921075655717681</v>
      </c>
    </row>
    <row r="74" spans="1:15" x14ac:dyDescent="0.2">
      <c r="A74" s="67">
        <v>2013</v>
      </c>
      <c r="D74" s="26"/>
      <c r="H74" s="86">
        <f t="shared" si="15"/>
        <v>0.98580591600881751</v>
      </c>
      <c r="I74" s="86">
        <f t="shared" si="12"/>
        <v>0.97700627926238182</v>
      </c>
      <c r="J74" s="86">
        <f t="shared" si="15"/>
        <v>0.97911855494427413</v>
      </c>
      <c r="K74" s="86">
        <v>0</v>
      </c>
      <c r="L74" s="86">
        <f t="shared" si="13"/>
        <v>1.0101552286083355</v>
      </c>
      <c r="M74" s="86">
        <f t="shared" si="16"/>
        <v>0.98671153366109887</v>
      </c>
      <c r="N74" s="86">
        <f t="shared" si="16"/>
        <v>0.90312918434042544</v>
      </c>
    </row>
    <row r="75" spans="1:15" x14ac:dyDescent="0.2">
      <c r="A75" s="32"/>
      <c r="D75" s="26"/>
      <c r="E75" s="26"/>
      <c r="F75" s="26"/>
    </row>
    <row r="76" spans="1:15" x14ac:dyDescent="0.2">
      <c r="A76" s="33" t="s">
        <v>19</v>
      </c>
      <c r="D76" s="26"/>
      <c r="H76" s="86">
        <f t="shared" ref="H76:N76" si="17">H78</f>
        <v>0.98998559113839935</v>
      </c>
      <c r="I76" s="86">
        <f t="shared" si="17"/>
        <v>0.9902600195779474</v>
      </c>
      <c r="J76" s="86">
        <f t="shared" si="17"/>
        <v>1.0172406679796928</v>
      </c>
      <c r="K76" s="86">
        <v>0</v>
      </c>
      <c r="L76" s="86">
        <f t="shared" si="17"/>
        <v>1.0436981146084667</v>
      </c>
      <c r="M76" s="86">
        <f t="shared" si="17"/>
        <v>0.99780383750879142</v>
      </c>
      <c r="N76" s="86">
        <f t="shared" si="17"/>
        <v>0.99276347497460304</v>
      </c>
    </row>
    <row r="77" spans="1:15" x14ac:dyDescent="0.2">
      <c r="A77" s="32"/>
      <c r="D77" s="26"/>
      <c r="H77" s="87"/>
      <c r="I77" s="87"/>
      <c r="M77" s="63"/>
      <c r="N77" s="63"/>
    </row>
    <row r="78" spans="1:15" x14ac:dyDescent="0.2">
      <c r="A78" s="33" t="s">
        <v>16</v>
      </c>
      <c r="D78" s="26"/>
      <c r="H78" s="86">
        <f>GEOMEAN(H65:H74)</f>
        <v>0.98998559113839935</v>
      </c>
      <c r="I78" s="86">
        <f>GEOMEAN(I65:I74)</f>
        <v>0.9902600195779474</v>
      </c>
      <c r="J78" s="86">
        <f>GEOMEAN(J65:J74)</f>
        <v>1.0172406679796928</v>
      </c>
      <c r="K78" s="86">
        <v>0</v>
      </c>
      <c r="L78" s="86">
        <f>GEOMEAN(L62:L74)</f>
        <v>1.0436981146084667</v>
      </c>
      <c r="M78" s="86">
        <f>GEOMEAN(M62:M74)</f>
        <v>0.99780383750879142</v>
      </c>
      <c r="N78" s="86">
        <f>GEOMEAN(N62:N74)</f>
        <v>0.99276347497460304</v>
      </c>
    </row>
    <row r="79" spans="1:15" x14ac:dyDescent="0.2">
      <c r="D79" s="26"/>
      <c r="H79" s="86"/>
      <c r="I79" s="86"/>
      <c r="J79" s="86"/>
      <c r="K79" s="86"/>
      <c r="L79" s="86"/>
      <c r="M79" s="86"/>
      <c r="N79" s="86"/>
    </row>
    <row r="80" spans="1:15" x14ac:dyDescent="0.2">
      <c r="A80" s="82" t="s">
        <v>48</v>
      </c>
      <c r="O80" s="26" t="s">
        <v>11</v>
      </c>
    </row>
    <row r="81" spans="1:18" x14ac:dyDescent="0.2">
      <c r="A81" s="33">
        <v>2014</v>
      </c>
      <c r="G81" s="79">
        <f>SUM(H81:N81)</f>
        <v>1212698536.7006173</v>
      </c>
      <c r="H81" s="79">
        <f>H57*'Rate Class Customer Model'!B20</f>
        <v>411649947.23155874</v>
      </c>
      <c r="I81" s="79">
        <f>I57*'Rate Class Customer Model'!C20</f>
        <v>123963293.69888924</v>
      </c>
      <c r="J81" s="79">
        <f>J57*'Rate Class Customer Model'!D20</f>
        <v>667180301.08012533</v>
      </c>
      <c r="K81" s="79">
        <f>K57*'Rate Class Customer Model'!E20</f>
        <v>0</v>
      </c>
      <c r="L81" s="79">
        <f>L57*'Rate Class Customer Model'!F20</f>
        <v>262520.8315748173</v>
      </c>
      <c r="M81" s="79">
        <f>M57*'Rate Class Customer Model'!G20</f>
        <v>7411072.2161780158</v>
      </c>
      <c r="N81" s="79">
        <f>N57*'Rate Class Customer Model'!H20</f>
        <v>2231401.6422909871</v>
      </c>
      <c r="O81" s="79">
        <f>SUM(H81:N81)</f>
        <v>1212698536.7006173</v>
      </c>
    </row>
    <row r="82" spans="1:18" x14ac:dyDescent="0.2">
      <c r="A82" s="33">
        <v>2015</v>
      </c>
      <c r="G82" s="79">
        <f>SUM(H82:N82)</f>
        <v>1223285582.3150527</v>
      </c>
      <c r="H82" s="79">
        <f>H58*'Rate Class Customer Model'!B21</f>
        <v>411002635.95024055</v>
      </c>
      <c r="I82" s="79">
        <f>I58*'Rate Class Customer Model'!C21</f>
        <v>123747060.24035911</v>
      </c>
      <c r="J82" s="79">
        <f>J58*'Rate Class Customer Model'!D21</f>
        <v>678583418.53522551</v>
      </c>
      <c r="K82" s="79">
        <f>K58*'Rate Class Customer Model'!E21</f>
        <v>0</v>
      </c>
      <c r="L82" s="79">
        <f>L58*'Rate Class Customer Model'!F21</f>
        <v>259458.80005095116</v>
      </c>
      <c r="M82" s="79">
        <f>M58*'Rate Class Customer Model'!G21</f>
        <v>7477961.7518079486</v>
      </c>
      <c r="N82" s="79">
        <f>N58*'Rate Class Customer Model'!H21</f>
        <v>2215047.0373685542</v>
      </c>
      <c r="O82" s="79">
        <f>SUM(H82:N82)</f>
        <v>1223285582.3150527</v>
      </c>
    </row>
    <row r="83" spans="1:18" x14ac:dyDescent="0.2">
      <c r="G83" s="79"/>
      <c r="H83" s="79"/>
      <c r="I83" s="79"/>
      <c r="J83" s="79"/>
      <c r="K83" s="79"/>
      <c r="L83" s="79"/>
      <c r="M83" s="79"/>
      <c r="N83" s="79"/>
      <c r="O83" s="79"/>
    </row>
    <row r="84" spans="1:18" x14ac:dyDescent="0.2">
      <c r="A84" s="82" t="s">
        <v>47</v>
      </c>
      <c r="G84" s="79"/>
      <c r="H84" s="79"/>
      <c r="I84" s="79"/>
      <c r="J84" s="79"/>
      <c r="K84" s="79"/>
      <c r="L84" s="79"/>
      <c r="M84" s="79"/>
      <c r="N84" s="79"/>
      <c r="O84" s="79" t="s">
        <v>18</v>
      </c>
    </row>
    <row r="85" spans="1:18" x14ac:dyDescent="0.2">
      <c r="A85" s="33">
        <v>2014</v>
      </c>
      <c r="G85" s="79">
        <f>G25</f>
        <v>1188072528.4098463</v>
      </c>
      <c r="H85" s="79">
        <f t="shared" ref="H85:N86" si="18">H81+H93</f>
        <v>402883785.34012961</v>
      </c>
      <c r="I85" s="79">
        <f t="shared" si="18"/>
        <v>121323472.3932692</v>
      </c>
      <c r="J85" s="79">
        <f t="shared" si="18"/>
        <v>653960275.98640347</v>
      </c>
      <c r="K85" s="79">
        <f>K81+K93</f>
        <v>0</v>
      </c>
      <c r="L85" s="79">
        <f>L81+L93</f>
        <v>262520.8315748173</v>
      </c>
      <c r="M85" s="79">
        <f t="shared" si="18"/>
        <v>7411072.2161780158</v>
      </c>
      <c r="N85" s="79">
        <f t="shared" si="18"/>
        <v>2231401.6422909871</v>
      </c>
      <c r="O85" s="79">
        <f>SUM(H85:N85)</f>
        <v>1188072528.4098463</v>
      </c>
    </row>
    <row r="86" spans="1:18" ht="13.5" thickBot="1" x14ac:dyDescent="0.25">
      <c r="A86" s="33">
        <v>2015</v>
      </c>
      <c r="G86" s="79">
        <f>G26</f>
        <v>1194505160.530448</v>
      </c>
      <c r="H86" s="79">
        <f t="shared" si="18"/>
        <v>400859224.48352754</v>
      </c>
      <c r="I86" s="79">
        <f t="shared" si="18"/>
        <v>120693023.01524007</v>
      </c>
      <c r="J86" s="79">
        <f t="shared" si="18"/>
        <v>663000445.44245279</v>
      </c>
      <c r="K86" s="79">
        <f>K82+K94</f>
        <v>0</v>
      </c>
      <c r="L86" s="79">
        <f>L82+L94</f>
        <v>259458.80005095116</v>
      </c>
      <c r="M86" s="79">
        <f t="shared" si="18"/>
        <v>7477961.7518079486</v>
      </c>
      <c r="N86" s="79">
        <f t="shared" si="18"/>
        <v>2215047.0373685542</v>
      </c>
      <c r="O86" s="79">
        <f>SUM(H86:N86)</f>
        <v>1194505160.5304477</v>
      </c>
    </row>
    <row r="87" spans="1:18" ht="13.5" thickBot="1" x14ac:dyDescent="0.25">
      <c r="G87" s="79"/>
      <c r="H87" s="347" t="s">
        <v>117</v>
      </c>
      <c r="I87" s="348"/>
      <c r="J87" s="348"/>
      <c r="K87" s="348"/>
      <c r="L87" s="348"/>
      <c r="M87" s="349"/>
      <c r="N87" s="79"/>
      <c r="O87" s="79"/>
    </row>
    <row r="88" spans="1:18" x14ac:dyDescent="0.2">
      <c r="A88" s="48" t="s">
        <v>49</v>
      </c>
      <c r="G88" s="79"/>
      <c r="H88" s="93">
        <v>0.93500000000000005</v>
      </c>
      <c r="I88" s="93">
        <v>0.93500000000000005</v>
      </c>
      <c r="J88" s="93">
        <v>0.87</v>
      </c>
      <c r="K88" s="88">
        <v>0</v>
      </c>
      <c r="L88" s="88">
        <v>0</v>
      </c>
      <c r="M88" s="88">
        <v>0</v>
      </c>
      <c r="N88" s="88">
        <v>0</v>
      </c>
      <c r="O88" s="79" t="s">
        <v>18</v>
      </c>
    </row>
    <row r="89" spans="1:18" x14ac:dyDescent="0.2">
      <c r="A89" s="33">
        <v>2014</v>
      </c>
      <c r="G89" s="79">
        <f>G85-G81</f>
        <v>-24626008.290771008</v>
      </c>
      <c r="H89" s="79">
        <f t="shared" ref="H89:N89" si="19">H81*H88</f>
        <v>384892700.66150743</v>
      </c>
      <c r="I89" s="79">
        <f t="shared" si="19"/>
        <v>115905679.60846144</v>
      </c>
      <c r="J89" s="79">
        <f t="shared" si="19"/>
        <v>580446861.93970907</v>
      </c>
      <c r="K89" s="79">
        <f t="shared" si="19"/>
        <v>0</v>
      </c>
      <c r="L89" s="79">
        <f t="shared" si="19"/>
        <v>0</v>
      </c>
      <c r="M89" s="79">
        <f t="shared" si="19"/>
        <v>0</v>
      </c>
      <c r="N89" s="79">
        <f t="shared" si="19"/>
        <v>0</v>
      </c>
      <c r="O89" s="79">
        <f>SUM(H89:N89)</f>
        <v>1081245242.2096779</v>
      </c>
    </row>
    <row r="90" spans="1:18" x14ac:dyDescent="0.2">
      <c r="A90" s="33">
        <v>2015</v>
      </c>
      <c r="G90" s="79">
        <f>G86-G82</f>
        <v>-28780421.784604788</v>
      </c>
      <c r="H90" s="79">
        <f t="shared" ref="H90:N90" si="20">H82*H88</f>
        <v>384287464.61347497</v>
      </c>
      <c r="I90" s="79">
        <f t="shared" si="20"/>
        <v>115703501.32473578</v>
      </c>
      <c r="J90" s="79">
        <f t="shared" si="20"/>
        <v>590367574.12564623</v>
      </c>
      <c r="K90" s="79">
        <f t="shared" si="20"/>
        <v>0</v>
      </c>
      <c r="L90" s="79">
        <f t="shared" si="20"/>
        <v>0</v>
      </c>
      <c r="M90" s="79">
        <f t="shared" si="20"/>
        <v>0</v>
      </c>
      <c r="N90" s="79">
        <f t="shared" si="20"/>
        <v>0</v>
      </c>
      <c r="O90" s="79">
        <f>SUM(H90:N90)</f>
        <v>1090358540.0638571</v>
      </c>
    </row>
    <row r="91" spans="1:18" ht="12" customHeight="1" x14ac:dyDescent="0.2">
      <c r="G91" s="79"/>
      <c r="H91" s="79"/>
      <c r="I91" s="79"/>
      <c r="J91" s="79"/>
      <c r="K91" s="79"/>
      <c r="L91" s="79"/>
      <c r="M91" s="79"/>
      <c r="N91" s="79"/>
      <c r="O91" s="79"/>
    </row>
    <row r="92" spans="1:18" x14ac:dyDescent="0.2">
      <c r="A92" s="33" t="s">
        <v>50</v>
      </c>
      <c r="G92" s="79"/>
      <c r="H92" s="79"/>
      <c r="I92" s="79"/>
      <c r="J92" s="79"/>
      <c r="K92" s="79"/>
      <c r="L92" s="79"/>
      <c r="M92" s="79"/>
      <c r="N92" s="79"/>
      <c r="O92" s="79" t="s">
        <v>18</v>
      </c>
    </row>
    <row r="93" spans="1:18" x14ac:dyDescent="0.2">
      <c r="A93" s="33">
        <v>2014</v>
      </c>
      <c r="G93" s="79"/>
      <c r="H93" s="79">
        <f t="shared" ref="H93:N93" si="21">H89/$O$89*$G$89</f>
        <v>-8766161.8914291169</v>
      </c>
      <c r="I93" s="79">
        <f t="shared" si="21"/>
        <v>-2639821.3056200501</v>
      </c>
      <c r="J93" s="79">
        <f t="shared" si="21"/>
        <v>-13220025.093721839</v>
      </c>
      <c r="K93" s="79">
        <f t="shared" si="21"/>
        <v>0</v>
      </c>
      <c r="L93" s="79">
        <f t="shared" si="21"/>
        <v>0</v>
      </c>
      <c r="M93" s="79">
        <f t="shared" si="21"/>
        <v>0</v>
      </c>
      <c r="N93" s="79">
        <f t="shared" si="21"/>
        <v>0</v>
      </c>
      <c r="O93" s="79">
        <f>SUM(H93:N93)</f>
        <v>-24626008.290771008</v>
      </c>
    </row>
    <row r="94" spans="1:18" x14ac:dyDescent="0.2">
      <c r="A94" s="33">
        <v>2015</v>
      </c>
      <c r="G94" s="79"/>
      <c r="H94" s="79">
        <f t="shared" ref="H94:N94" si="22">H90/$O$90*$G$90</f>
        <v>-10143411.466713021</v>
      </c>
      <c r="I94" s="79">
        <f t="shared" si="22"/>
        <v>-3054037.2251190445</v>
      </c>
      <c r="J94" s="79">
        <f t="shared" si="22"/>
        <v>-15582973.09277272</v>
      </c>
      <c r="K94" s="79">
        <f t="shared" si="22"/>
        <v>0</v>
      </c>
      <c r="L94" s="79">
        <f t="shared" si="22"/>
        <v>0</v>
      </c>
      <c r="M94" s="79">
        <f t="shared" si="22"/>
        <v>0</v>
      </c>
      <c r="N94" s="79">
        <f t="shared" si="22"/>
        <v>0</v>
      </c>
      <c r="O94" s="79">
        <f>SUM(H94:N94)</f>
        <v>-28780421.784604788</v>
      </c>
    </row>
    <row r="95" spans="1:18" customFormat="1" x14ac:dyDescent="0.2">
      <c r="A95" t="s">
        <v>113</v>
      </c>
      <c r="B95" s="346" t="s">
        <v>114</v>
      </c>
      <c r="C95" s="346"/>
      <c r="D95" s="346"/>
      <c r="E95" s="346"/>
      <c r="F95" s="346"/>
      <c r="G95" s="5"/>
      <c r="H95" s="26"/>
      <c r="I95" s="26"/>
      <c r="J95" s="26"/>
      <c r="K95" s="26"/>
      <c r="L95" s="26"/>
      <c r="M95" s="92"/>
      <c r="N95" s="5"/>
      <c r="O95" s="79" t="s">
        <v>18</v>
      </c>
      <c r="P95" s="5"/>
      <c r="Q95" s="5"/>
    </row>
    <row r="96" spans="1:18" customFormat="1" x14ac:dyDescent="0.2">
      <c r="A96" s="33">
        <v>2014</v>
      </c>
      <c r="B96" s="1"/>
      <c r="C96" s="1"/>
      <c r="D96" s="1"/>
      <c r="E96" s="1"/>
      <c r="F96" s="22"/>
      <c r="G96" s="89">
        <f>'CDM Activity'!D61*1000</f>
        <v>-3619024.3333333335</v>
      </c>
      <c r="H96" s="89">
        <f>$G96*'CDM Forecast '!R60</f>
        <v>-704964.76384769625</v>
      </c>
      <c r="I96" s="89">
        <f>$G96*'CDM Forecast '!S60</f>
        <v>-813230.36835833301</v>
      </c>
      <c r="J96" s="89">
        <f>$G96*'CDM Forecast '!T60</f>
        <v>-2100829.2011273042</v>
      </c>
      <c r="K96" s="89">
        <v>0</v>
      </c>
      <c r="L96" s="89">
        <v>0</v>
      </c>
      <c r="M96" s="89">
        <v>0</v>
      </c>
      <c r="N96" s="89">
        <v>0</v>
      </c>
      <c r="O96" s="90">
        <f>SUM(H96:N96)</f>
        <v>-3619024.3333333335</v>
      </c>
      <c r="P96" s="79"/>
      <c r="Q96" s="5"/>
      <c r="R96" s="5"/>
    </row>
    <row r="97" spans="1:21" customFormat="1" x14ac:dyDescent="0.2">
      <c r="A97" s="33">
        <v>2015</v>
      </c>
      <c r="B97" s="1"/>
      <c r="C97" s="1"/>
      <c r="D97" s="1"/>
      <c r="E97" s="1"/>
      <c r="F97" s="22"/>
      <c r="G97" s="89">
        <f>'CDM Activity'!D66*1000</f>
        <v>-8688048.666666666</v>
      </c>
      <c r="H97" s="89">
        <f>$G97*'CDM Forecast '!R60</f>
        <v>-1692381.0431947797</v>
      </c>
      <c r="I97" s="89">
        <f>$G97*'CDM Forecast '!S60</f>
        <v>-1952290.0004932608</v>
      </c>
      <c r="J97" s="89">
        <f>$G97*'CDM Forecast '!T60</f>
        <v>-5043377.6229786258</v>
      </c>
      <c r="K97" s="89">
        <v>0</v>
      </c>
      <c r="L97" s="89">
        <v>0</v>
      </c>
      <c r="M97" s="89">
        <v>0</v>
      </c>
      <c r="N97" s="89">
        <v>0</v>
      </c>
      <c r="O97" s="90">
        <f>SUM(H97:N97)</f>
        <v>-8688048.666666666</v>
      </c>
      <c r="P97" s="79"/>
      <c r="Q97" s="5"/>
      <c r="R97" s="5"/>
    </row>
    <row r="98" spans="1:21" customFormat="1" x14ac:dyDescent="0.2">
      <c r="A98" s="1"/>
      <c r="B98" s="1"/>
      <c r="C98" s="1"/>
      <c r="D98" s="1"/>
      <c r="E98" s="1"/>
      <c r="F98" s="2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21" customFormat="1" x14ac:dyDescent="0.2">
      <c r="A99" s="20" t="s">
        <v>115</v>
      </c>
      <c r="B99" s="1"/>
      <c r="C99" s="1"/>
      <c r="D99" s="1"/>
      <c r="E99" s="1"/>
      <c r="F99" s="22"/>
      <c r="G99" s="20"/>
      <c r="H99" s="20"/>
      <c r="I99" s="20"/>
      <c r="J99" s="38"/>
      <c r="K99" s="38"/>
      <c r="L99" s="38"/>
      <c r="M99" s="5"/>
      <c r="N99" s="5"/>
      <c r="O99" s="38" t="s">
        <v>116</v>
      </c>
      <c r="P99" s="26"/>
      <c r="Q99" s="5"/>
      <c r="R99" s="5"/>
    </row>
    <row r="100" spans="1:21" customFormat="1" x14ac:dyDescent="0.2">
      <c r="A100" s="33">
        <v>2014</v>
      </c>
      <c r="B100" s="1"/>
      <c r="C100" s="1"/>
      <c r="D100" s="1"/>
      <c r="E100" s="1"/>
      <c r="F100" s="22"/>
      <c r="G100" s="91">
        <f>+G85+G96</f>
        <v>1184453504.0765131</v>
      </c>
      <c r="H100" s="91">
        <f t="shared" ref="H100:N100" si="23">+H85+H96</f>
        <v>402178820.57628191</v>
      </c>
      <c r="I100" s="91">
        <f t="shared" si="23"/>
        <v>120510242.02491087</v>
      </c>
      <c r="J100" s="91">
        <f t="shared" si="23"/>
        <v>651859446.78527617</v>
      </c>
      <c r="K100" s="91">
        <f t="shared" si="23"/>
        <v>0</v>
      </c>
      <c r="L100" s="91">
        <f t="shared" si="23"/>
        <v>262520.8315748173</v>
      </c>
      <c r="M100" s="91">
        <f t="shared" si="23"/>
        <v>7411072.2161780158</v>
      </c>
      <c r="N100" s="91">
        <f t="shared" si="23"/>
        <v>2231401.6422909871</v>
      </c>
      <c r="O100" s="91">
        <f>SUM(H100:N100)</f>
        <v>1184453504.0765128</v>
      </c>
      <c r="P100" s="79"/>
      <c r="Q100" s="5"/>
      <c r="R100" s="5"/>
    </row>
    <row r="101" spans="1:21" customFormat="1" x14ac:dyDescent="0.2">
      <c r="A101" s="33">
        <v>2015</v>
      </c>
      <c r="B101" s="1"/>
      <c r="C101" s="1"/>
      <c r="D101" s="1"/>
      <c r="E101" s="1"/>
      <c r="F101" s="22"/>
      <c r="G101" s="91">
        <f>+G86+G97</f>
        <v>1185817111.8637812</v>
      </c>
      <c r="H101" s="91">
        <f t="shared" ref="H101:N101" si="24">+H86+H97</f>
        <v>399166843.44033277</v>
      </c>
      <c r="I101" s="91">
        <f t="shared" si="24"/>
        <v>118740733.01474681</v>
      </c>
      <c r="J101" s="91">
        <f t="shared" si="24"/>
        <v>657957067.81947422</v>
      </c>
      <c r="K101" s="91">
        <f t="shared" si="24"/>
        <v>0</v>
      </c>
      <c r="L101" s="91">
        <f t="shared" si="24"/>
        <v>259458.80005095116</v>
      </c>
      <c r="M101" s="91">
        <f t="shared" si="24"/>
        <v>7477961.7518079486</v>
      </c>
      <c r="N101" s="91">
        <f t="shared" si="24"/>
        <v>2215047.0373685542</v>
      </c>
      <c r="O101" s="91">
        <f>SUM(H101:N101)</f>
        <v>1185817111.8637812</v>
      </c>
      <c r="P101" s="79"/>
      <c r="Q101" s="5"/>
      <c r="R101" s="5"/>
    </row>
    <row r="102" spans="1:21" customFormat="1" x14ac:dyDescent="0.2">
      <c r="B102" s="1"/>
      <c r="C102" s="1"/>
      <c r="D102" s="1"/>
      <c r="E102" s="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21" customFormat="1" x14ac:dyDescent="0.2">
      <c r="B103" s="1"/>
      <c r="C103" s="1"/>
      <c r="D103" s="1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21" customFormat="1" x14ac:dyDescent="0.2">
      <c r="B104" s="1"/>
      <c r="C104" s="1"/>
      <c r="D104" s="1"/>
      <c r="E104" s="1"/>
      <c r="F104" s="5"/>
      <c r="G104" s="65">
        <f t="shared" ref="G104:O104" si="25">(G85-G81)/G81</f>
        <v>-2.0306784864910336E-2</v>
      </c>
      <c r="H104" s="65">
        <f t="shared" si="25"/>
        <v>-2.1295185266957024E-2</v>
      </c>
      <c r="I104" s="65">
        <f t="shared" si="25"/>
        <v>-2.1295185266956958E-2</v>
      </c>
      <c r="J104" s="65">
        <f t="shared" si="25"/>
        <v>-1.9814771317917257E-2</v>
      </c>
      <c r="K104" s="65" t="e">
        <f t="shared" si="25"/>
        <v>#DIV/0!</v>
      </c>
      <c r="L104" s="65">
        <f t="shared" si="25"/>
        <v>0</v>
      </c>
      <c r="M104" s="65">
        <f t="shared" si="25"/>
        <v>0</v>
      </c>
      <c r="N104" s="65">
        <f t="shared" si="25"/>
        <v>0</v>
      </c>
      <c r="O104" s="65">
        <f t="shared" si="25"/>
        <v>-2.0306784864910336E-2</v>
      </c>
      <c r="P104" s="65"/>
      <c r="Q104" s="65"/>
      <c r="R104" s="5"/>
      <c r="S104" s="5"/>
      <c r="T104" s="5"/>
      <c r="U104" s="5"/>
    </row>
    <row r="105" spans="1:21" customFormat="1" x14ac:dyDescent="0.2">
      <c r="A105" s="33"/>
      <c r="B105" s="1"/>
      <c r="C105" s="1"/>
      <c r="D105" s="1"/>
      <c r="E105" s="1"/>
      <c r="F105" s="5"/>
      <c r="G105" s="65">
        <f t="shared" ref="G105:O105" si="26">(G86-G82)/G82</f>
        <v>-2.3527148689301315E-2</v>
      </c>
      <c r="H105" s="65">
        <f t="shared" si="26"/>
        <v>-2.4679674969143164E-2</v>
      </c>
      <c r="I105" s="65">
        <f t="shared" si="26"/>
        <v>-2.4679674969143143E-2</v>
      </c>
      <c r="J105" s="65">
        <f t="shared" si="26"/>
        <v>-2.2963975639737511E-2</v>
      </c>
      <c r="K105" s="65" t="e">
        <f t="shared" si="26"/>
        <v>#DIV/0!</v>
      </c>
      <c r="L105" s="65">
        <f t="shared" si="26"/>
        <v>0</v>
      </c>
      <c r="M105" s="65">
        <f t="shared" si="26"/>
        <v>0</v>
      </c>
      <c r="N105" s="65">
        <f t="shared" si="26"/>
        <v>0</v>
      </c>
      <c r="O105" s="65">
        <f t="shared" si="26"/>
        <v>-2.3527148689301509E-2</v>
      </c>
      <c r="P105" s="65"/>
      <c r="Q105" s="65"/>
      <c r="R105" s="5"/>
      <c r="S105" s="5"/>
      <c r="T105" s="5"/>
      <c r="U105" s="5"/>
    </row>
    <row r="106" spans="1:21" customFormat="1" x14ac:dyDescent="0.2">
      <c r="A106" s="1" t="s">
        <v>118</v>
      </c>
      <c r="B106" s="1"/>
      <c r="C106" s="1"/>
      <c r="D106" s="1"/>
      <c r="E106" s="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21" customFormat="1" x14ac:dyDescent="0.2">
      <c r="A107" s="33">
        <v>2014</v>
      </c>
      <c r="B107" s="1"/>
      <c r="C107" s="1"/>
      <c r="D107" s="1"/>
      <c r="E107" s="22"/>
      <c r="F107" s="5"/>
      <c r="G107" s="5"/>
      <c r="H107" s="65">
        <f>H96/$G$96</f>
        <v>0.19479414862026706</v>
      </c>
      <c r="I107" s="65">
        <f>I96/$G$96</f>
        <v>0.22470983708730696</v>
      </c>
      <c r="J107" s="65">
        <f>J96/$G$96</f>
        <v>0.58049601429242603</v>
      </c>
      <c r="K107" s="5"/>
      <c r="L107" s="5"/>
      <c r="M107" s="5"/>
      <c r="N107" s="5"/>
      <c r="O107" s="5"/>
      <c r="P107" s="5"/>
      <c r="Q107" s="5"/>
    </row>
    <row r="108" spans="1:21" customFormat="1" x14ac:dyDescent="0.2">
      <c r="A108" s="33">
        <v>2015</v>
      </c>
      <c r="B108" s="1"/>
      <c r="C108" s="1"/>
      <c r="D108" s="1"/>
      <c r="E108" s="1"/>
      <c r="F108" s="5"/>
      <c r="G108" s="5"/>
      <c r="H108" s="65">
        <f>H97/$G$97</f>
        <v>0.19479414862026706</v>
      </c>
      <c r="I108" s="65">
        <f>I97/$G$97</f>
        <v>0.22470983708730694</v>
      </c>
      <c r="J108" s="65">
        <f>J97/$G$97</f>
        <v>0.58049601429242603</v>
      </c>
      <c r="K108" s="5"/>
      <c r="L108" s="5"/>
      <c r="M108" s="5"/>
      <c r="N108" s="5"/>
      <c r="O108" s="5"/>
      <c r="P108" s="5"/>
      <c r="Q108" s="5"/>
    </row>
    <row r="109" spans="1:21" x14ac:dyDescent="0.2">
      <c r="T109" s="33"/>
    </row>
  </sheetData>
  <mergeCells count="2">
    <mergeCell ref="B95:F95"/>
    <mergeCell ref="H87:M87"/>
  </mergeCells>
  <phoneticPr fontId="0" type="noConversion"/>
  <pageMargins left="0.2" right="0.2" top="0.49" bottom="0.31" header="0.28000000000000003" footer="0.22"/>
  <pageSetup scale="60" fitToWidth="2" fitToHeight="2" orientation="landscape" horizontalDpi="4294967295" verticalDpi="4294967295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B19" sqref="B19"/>
    </sheetView>
  </sheetViews>
  <sheetFormatPr defaultRowHeight="12.75" x14ac:dyDescent="0.2"/>
  <cols>
    <col min="1" max="1" width="11" customWidth="1"/>
    <col min="2" max="2" width="10.140625" style="5" bestFit="1" customWidth="1"/>
    <col min="3" max="4" width="14.140625" style="5" bestFit="1" customWidth="1"/>
    <col min="5" max="6" width="14.140625" style="5" customWidth="1"/>
    <col min="7" max="7" width="17.5703125" style="5" customWidth="1"/>
    <col min="8" max="8" width="12.5703125" style="5" customWidth="1"/>
    <col min="9" max="9" width="12.7109375" style="5" bestFit="1" customWidth="1"/>
  </cols>
  <sheetData>
    <row r="1" spans="1:10" x14ac:dyDescent="0.2">
      <c r="A1" s="350" t="s">
        <v>111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x14ac:dyDescent="0.2">
      <c r="A2" s="76"/>
      <c r="B2" s="76"/>
      <c r="C2" s="76"/>
      <c r="D2" s="76"/>
      <c r="E2" s="76"/>
      <c r="F2" s="76"/>
      <c r="G2" s="76"/>
      <c r="H2" s="76"/>
      <c r="I2" s="76"/>
      <c r="J2" s="76"/>
    </row>
    <row r="4" spans="1:10" x14ac:dyDescent="0.2">
      <c r="B4" s="8" t="str">
        <f>'Rate Class Energy Model'!H2</f>
        <v>Residential</v>
      </c>
      <c r="C4" s="8" t="str">
        <f>'Rate Class Energy Model'!I2</f>
        <v>GS&lt;50</v>
      </c>
      <c r="D4" s="8" t="str">
        <f>'Rate Class Energy Model'!J2</f>
        <v>GS&gt;50</v>
      </c>
      <c r="E4" s="8" t="str">
        <f>'Rate Class Energy Model'!K2</f>
        <v>Large User</v>
      </c>
      <c r="F4" s="8" t="str">
        <f>'Rate Class Energy Model'!L2</f>
        <v>Sentinels</v>
      </c>
      <c r="G4" s="8" t="str">
        <f>'Rate Class Energy Model'!M2</f>
        <v>Streetlights</v>
      </c>
      <c r="H4" s="8" t="str">
        <f>'Rate Class Energy Model'!N2</f>
        <v>USL</v>
      </c>
      <c r="I4" s="5" t="s">
        <v>11</v>
      </c>
    </row>
    <row r="5" spans="1:10" x14ac:dyDescent="0.2">
      <c r="A5" s="3">
        <v>1999</v>
      </c>
      <c r="B5" s="63"/>
      <c r="C5" s="63"/>
      <c r="D5" s="63"/>
      <c r="E5" s="63"/>
      <c r="F5" s="63"/>
      <c r="G5" s="63"/>
      <c r="H5" s="63"/>
      <c r="I5" s="26"/>
    </row>
    <row r="6" spans="1:10" x14ac:dyDescent="0.2">
      <c r="A6" s="3">
        <v>2000</v>
      </c>
      <c r="B6" s="26"/>
      <c r="C6" s="26"/>
      <c r="D6" s="26"/>
      <c r="E6" s="26"/>
      <c r="F6" s="26"/>
      <c r="G6" s="63"/>
      <c r="H6" s="63"/>
      <c r="I6" s="26"/>
    </row>
    <row r="7" spans="1:10" x14ac:dyDescent="0.2">
      <c r="A7" s="3">
        <v>2001</v>
      </c>
      <c r="B7" s="63"/>
      <c r="C7" s="63"/>
      <c r="D7" s="63"/>
      <c r="E7" s="63"/>
      <c r="F7" s="63"/>
      <c r="G7" s="63"/>
      <c r="H7" s="63"/>
      <c r="I7" s="26"/>
    </row>
    <row r="8" spans="1:10" x14ac:dyDescent="0.2">
      <c r="A8" s="3">
        <v>2002</v>
      </c>
      <c r="B8" s="63">
        <v>40624</v>
      </c>
      <c r="C8" s="63">
        <v>4171</v>
      </c>
      <c r="D8" s="63">
        <v>796</v>
      </c>
      <c r="E8" s="63">
        <v>0</v>
      </c>
      <c r="F8" s="63">
        <v>582</v>
      </c>
      <c r="G8" s="63">
        <v>11157</v>
      </c>
      <c r="H8" s="63">
        <v>419</v>
      </c>
      <c r="I8" s="63">
        <v>57749</v>
      </c>
    </row>
    <row r="9" spans="1:10" x14ac:dyDescent="0.2">
      <c r="A9" s="3">
        <v>2003</v>
      </c>
      <c r="B9" s="63">
        <v>42507</v>
      </c>
      <c r="C9" s="63">
        <v>3982</v>
      </c>
      <c r="D9" s="63">
        <v>864</v>
      </c>
      <c r="E9" s="63">
        <v>1.9999999999999999E-7</v>
      </c>
      <c r="F9" s="63">
        <v>582</v>
      </c>
      <c r="G9" s="63">
        <v>11358</v>
      </c>
      <c r="H9" s="63">
        <v>422</v>
      </c>
      <c r="I9" s="63">
        <v>59715.000000200002</v>
      </c>
    </row>
    <row r="10" spans="1:10" x14ac:dyDescent="0.2">
      <c r="A10" s="3">
        <v>2004</v>
      </c>
      <c r="B10" s="63">
        <v>42859</v>
      </c>
      <c r="C10" s="63">
        <v>4033</v>
      </c>
      <c r="D10" s="63">
        <v>819</v>
      </c>
      <c r="E10" s="63">
        <v>1.9999999999999999E-7</v>
      </c>
      <c r="F10" s="63">
        <v>602</v>
      </c>
      <c r="G10" s="63">
        <v>11588</v>
      </c>
      <c r="H10" s="63">
        <v>422</v>
      </c>
      <c r="I10" s="63">
        <v>60323.000000200002</v>
      </c>
    </row>
    <row r="11" spans="1:10" x14ac:dyDescent="0.2">
      <c r="A11" s="3">
        <v>2005</v>
      </c>
      <c r="B11" s="63">
        <v>43068</v>
      </c>
      <c r="C11" s="63">
        <v>4437</v>
      </c>
      <c r="D11" s="63">
        <v>802</v>
      </c>
      <c r="E11" s="63">
        <v>1.9999999999999999E-7</v>
      </c>
      <c r="F11" s="63">
        <v>522</v>
      </c>
      <c r="G11" s="63">
        <v>11752</v>
      </c>
      <c r="H11" s="63">
        <v>422</v>
      </c>
      <c r="I11" s="63">
        <v>61003.000000200002</v>
      </c>
    </row>
    <row r="12" spans="1:10" x14ac:dyDescent="0.2">
      <c r="A12" s="3">
        <v>2006</v>
      </c>
      <c r="B12" s="63">
        <v>43724</v>
      </c>
      <c r="C12" s="63">
        <v>4438</v>
      </c>
      <c r="D12" s="63">
        <v>871</v>
      </c>
      <c r="E12" s="63">
        <v>1.9999999999999999E-7</v>
      </c>
      <c r="F12" s="63">
        <v>594</v>
      </c>
      <c r="G12" s="63">
        <v>11807</v>
      </c>
      <c r="H12" s="63">
        <v>422</v>
      </c>
      <c r="I12" s="63">
        <v>61856.000000200002</v>
      </c>
    </row>
    <row r="13" spans="1:10" x14ac:dyDescent="0.2">
      <c r="A13" s="3">
        <v>2007</v>
      </c>
      <c r="B13" s="63">
        <v>44325</v>
      </c>
      <c r="C13" s="63">
        <v>4339</v>
      </c>
      <c r="D13" s="63">
        <v>853</v>
      </c>
      <c r="E13" s="63">
        <v>1.9999999999999999E-7</v>
      </c>
      <c r="F13" s="63">
        <v>569</v>
      </c>
      <c r="G13" s="63">
        <v>11933</v>
      </c>
      <c r="H13" s="63">
        <v>440</v>
      </c>
      <c r="I13" s="63">
        <v>62459.000000200002</v>
      </c>
    </row>
    <row r="14" spans="1:10" x14ac:dyDescent="0.2">
      <c r="A14" s="3">
        <v>2008</v>
      </c>
      <c r="B14" s="63">
        <v>44955</v>
      </c>
      <c r="C14" s="63">
        <v>4260</v>
      </c>
      <c r="D14" s="63">
        <v>847</v>
      </c>
      <c r="E14" s="63">
        <v>0</v>
      </c>
      <c r="F14" s="63">
        <v>564.25735297165068</v>
      </c>
      <c r="G14" s="63">
        <v>11986</v>
      </c>
      <c r="H14" s="63">
        <v>444.95052458080193</v>
      </c>
      <c r="I14" s="63">
        <v>63057.207877552457</v>
      </c>
    </row>
    <row r="15" spans="1:10" x14ac:dyDescent="0.2">
      <c r="A15" s="3">
        <v>2009</v>
      </c>
      <c r="B15" s="63">
        <v>45760.797073380672</v>
      </c>
      <c r="C15" s="63">
        <v>4256.6229739252994</v>
      </c>
      <c r="D15" s="63">
        <v>852.22489521327179</v>
      </c>
      <c r="E15" s="63">
        <v>0</v>
      </c>
      <c r="F15" s="63">
        <v>565.51766096478786</v>
      </c>
      <c r="G15" s="63">
        <v>12136.499570173561</v>
      </c>
      <c r="H15" s="63">
        <v>454</v>
      </c>
      <c r="I15" s="63">
        <v>64025.662173657591</v>
      </c>
    </row>
    <row r="16" spans="1:10" x14ac:dyDescent="0.2">
      <c r="A16" s="3">
        <v>2010</v>
      </c>
      <c r="B16" s="26">
        <v>45839.797073380672</v>
      </c>
      <c r="C16" s="26">
        <v>4356.7856227759103</v>
      </c>
      <c r="D16" s="26">
        <v>851</v>
      </c>
      <c r="E16" s="26">
        <v>0</v>
      </c>
      <c r="F16" s="26">
        <v>417</v>
      </c>
      <c r="G16" s="26">
        <v>12334.460385101011</v>
      </c>
      <c r="H16" s="26">
        <v>465</v>
      </c>
      <c r="I16" s="26">
        <f t="shared" ref="I16:I21" si="0">SUM(B16:H16)</f>
        <v>64264.043081257594</v>
      </c>
    </row>
    <row r="17" spans="1:9" x14ac:dyDescent="0.2">
      <c r="A17" s="3">
        <v>2011</v>
      </c>
      <c r="B17" s="26">
        <v>45996.462014511322</v>
      </c>
      <c r="C17" s="26">
        <v>4306.7266340313654</v>
      </c>
      <c r="D17" s="26">
        <v>858.51226930320161</v>
      </c>
      <c r="E17" s="26">
        <v>0</v>
      </c>
      <c r="F17" s="26">
        <v>369.070802919708</v>
      </c>
      <c r="G17" s="26">
        <v>12539.666666666666</v>
      </c>
      <c r="H17" s="26">
        <v>424.05552631578945</v>
      </c>
      <c r="I17" s="26">
        <f>SUM(B17:H17)</f>
        <v>64494.493913748047</v>
      </c>
    </row>
    <row r="18" spans="1:9" x14ac:dyDescent="0.2">
      <c r="A18" s="3">
        <v>2012</v>
      </c>
      <c r="B18" s="26">
        <v>45871.000740270734</v>
      </c>
      <c r="C18" s="26">
        <v>4259.8898175608874</v>
      </c>
      <c r="D18" s="26">
        <v>855.18447951897781</v>
      </c>
      <c r="E18" s="26">
        <v>0</v>
      </c>
      <c r="F18" s="26">
        <v>343.21635928961746</v>
      </c>
      <c r="G18" s="26">
        <v>12507.166666666666</v>
      </c>
      <c r="H18" s="26">
        <v>383.5414710485133</v>
      </c>
      <c r="I18" s="26">
        <f t="shared" si="0"/>
        <v>64219.999534355389</v>
      </c>
    </row>
    <row r="19" spans="1:9" x14ac:dyDescent="0.2">
      <c r="A19" s="3">
        <v>2013</v>
      </c>
      <c r="B19" s="26">
        <v>46274.01146885522</v>
      </c>
      <c r="C19" s="26">
        <v>4315.4554601556201</v>
      </c>
      <c r="D19" s="26">
        <v>862.7339356295879</v>
      </c>
      <c r="E19" s="26">
        <v>0</v>
      </c>
      <c r="F19" s="26">
        <v>337.45847123719466</v>
      </c>
      <c r="G19" s="26">
        <v>12702</v>
      </c>
      <c r="H19" s="26">
        <v>421.60581516095533</v>
      </c>
      <c r="I19" s="26">
        <f t="shared" si="0"/>
        <v>64913.265151038577</v>
      </c>
    </row>
    <row r="20" spans="1:9" x14ac:dyDescent="0.2">
      <c r="A20" s="3">
        <v>2014</v>
      </c>
      <c r="B20" s="26">
        <f>B19*B40</f>
        <v>46668.605005945043</v>
      </c>
      <c r="C20" s="26">
        <f t="shared" ref="C20:H20" si="1">C19*C40</f>
        <v>4350.2996958819085</v>
      </c>
      <c r="D20" s="26">
        <f t="shared" si="1"/>
        <v>862.60743127510148</v>
      </c>
      <c r="E20" s="26">
        <v>0</v>
      </c>
      <c r="F20" s="26">
        <f t="shared" si="1"/>
        <v>319.55827617785656</v>
      </c>
      <c r="G20" s="26">
        <f t="shared" si="1"/>
        <v>12844.852833256655</v>
      </c>
      <c r="H20" s="26">
        <f t="shared" si="1"/>
        <v>421.56641693389605</v>
      </c>
      <c r="I20" s="26">
        <f t="shared" si="0"/>
        <v>65467.489659470455</v>
      </c>
    </row>
    <row r="21" spans="1:9" x14ac:dyDescent="0.2">
      <c r="A21" s="3">
        <v>2015</v>
      </c>
      <c r="B21" s="26">
        <f>B20*B42</f>
        <v>47066.563370387645</v>
      </c>
      <c r="C21" s="26">
        <f t="shared" ref="C21:H21" si="2">C20*C42</f>
        <v>4385.4252740469174</v>
      </c>
      <c r="D21" s="26">
        <f t="shared" si="2"/>
        <v>862.48094547019457</v>
      </c>
      <c r="E21" s="26">
        <v>0</v>
      </c>
      <c r="F21" s="26">
        <f t="shared" si="2"/>
        <v>302.60758160664557</v>
      </c>
      <c r="G21" s="26">
        <f t="shared" si="2"/>
        <v>12989.312258543656</v>
      </c>
      <c r="H21" s="26">
        <f t="shared" si="2"/>
        <v>421.52702238852294</v>
      </c>
      <c r="I21" s="26">
        <f t="shared" si="0"/>
        <v>66027.916452443576</v>
      </c>
    </row>
    <row r="22" spans="1:9" x14ac:dyDescent="0.2">
      <c r="A22" s="20"/>
    </row>
    <row r="23" spans="1:9" x14ac:dyDescent="0.2">
      <c r="A23" s="19" t="s">
        <v>46</v>
      </c>
      <c r="B23" s="4"/>
      <c r="C23" s="4"/>
      <c r="D23" s="4"/>
      <c r="E23" s="4"/>
      <c r="F23" s="4"/>
      <c r="G23" s="4"/>
      <c r="H23" s="4"/>
    </row>
    <row r="24" spans="1:9" x14ac:dyDescent="0.2">
      <c r="A24" s="3">
        <v>1999</v>
      </c>
      <c r="B24" s="23"/>
      <c r="C24" s="23"/>
      <c r="D24" s="23"/>
      <c r="E24" s="23"/>
      <c r="F24" s="23"/>
      <c r="G24" s="23"/>
      <c r="H24" s="23"/>
    </row>
    <row r="25" spans="1:9" x14ac:dyDescent="0.2">
      <c r="A25" s="3">
        <v>2000</v>
      </c>
      <c r="B25" s="23"/>
      <c r="C25" s="23"/>
      <c r="D25" s="23"/>
      <c r="E25" s="23"/>
      <c r="F25" s="23"/>
      <c r="G25" s="23"/>
      <c r="H25" s="23"/>
    </row>
    <row r="26" spans="1:9" x14ac:dyDescent="0.2">
      <c r="A26" s="3">
        <v>2001</v>
      </c>
      <c r="B26" s="23"/>
      <c r="C26" s="23"/>
      <c r="D26" s="23"/>
      <c r="E26" s="23"/>
      <c r="F26" s="23"/>
      <c r="G26" s="23"/>
      <c r="H26" s="23"/>
    </row>
    <row r="27" spans="1:9" x14ac:dyDescent="0.2">
      <c r="A27" s="3">
        <v>2002</v>
      </c>
      <c r="B27" s="23"/>
      <c r="C27" s="23"/>
      <c r="D27" s="23"/>
      <c r="E27" s="23"/>
      <c r="F27" s="23"/>
      <c r="G27" s="23"/>
      <c r="H27" s="23"/>
    </row>
    <row r="28" spans="1:9" x14ac:dyDescent="0.2">
      <c r="A28" s="3">
        <v>2003</v>
      </c>
      <c r="B28" s="23"/>
      <c r="C28" s="23"/>
      <c r="D28" s="23"/>
      <c r="E28" s="23"/>
      <c r="F28" s="23"/>
      <c r="G28" s="23"/>
      <c r="H28" s="23"/>
    </row>
    <row r="29" spans="1:9" x14ac:dyDescent="0.2">
      <c r="A29" s="3">
        <v>2004</v>
      </c>
      <c r="B29" s="23">
        <f t="shared" ref="B29:D34" si="3">B10/B9</f>
        <v>1.0082809890135742</v>
      </c>
      <c r="C29" s="23">
        <f t="shared" si="3"/>
        <v>1.0128076343545958</v>
      </c>
      <c r="D29" s="23">
        <f t="shared" si="3"/>
        <v>0.94791666666666663</v>
      </c>
      <c r="E29" s="23">
        <v>0</v>
      </c>
      <c r="F29" s="23">
        <f t="shared" ref="F29:H34" si="4">F10/F9</f>
        <v>1.034364261168385</v>
      </c>
      <c r="G29" s="23">
        <f t="shared" si="4"/>
        <v>1.0202500440218347</v>
      </c>
      <c r="H29" s="23">
        <f t="shared" si="4"/>
        <v>1</v>
      </c>
    </row>
    <row r="30" spans="1:9" x14ac:dyDescent="0.2">
      <c r="A30" s="3">
        <v>2005</v>
      </c>
      <c r="B30" s="23">
        <f t="shared" si="3"/>
        <v>1.0048764553536014</v>
      </c>
      <c r="C30" s="23">
        <f t="shared" si="3"/>
        <v>1.1001735680634763</v>
      </c>
      <c r="D30" s="23">
        <f t="shared" si="3"/>
        <v>0.97924297924297921</v>
      </c>
      <c r="E30" s="23">
        <v>0</v>
      </c>
      <c r="F30" s="23">
        <f t="shared" si="4"/>
        <v>0.86710963455149503</v>
      </c>
      <c r="G30" s="23">
        <f t="shared" si="4"/>
        <v>1.0141525716258197</v>
      </c>
      <c r="H30" s="23">
        <f t="shared" si="4"/>
        <v>1</v>
      </c>
    </row>
    <row r="31" spans="1:9" x14ac:dyDescent="0.2">
      <c r="A31" s="3">
        <v>2006</v>
      </c>
      <c r="B31" s="23">
        <f t="shared" si="3"/>
        <v>1.0152317265719328</v>
      </c>
      <c r="C31" s="23">
        <f t="shared" si="3"/>
        <v>1.0002253775073249</v>
      </c>
      <c r="D31" s="23">
        <f t="shared" si="3"/>
        <v>1.0860349127182045</v>
      </c>
      <c r="E31" s="23">
        <v>0</v>
      </c>
      <c r="F31" s="23">
        <f t="shared" si="4"/>
        <v>1.1379310344827587</v>
      </c>
      <c r="G31" s="23">
        <f t="shared" si="4"/>
        <v>1.0046800544588155</v>
      </c>
      <c r="H31" s="23">
        <f t="shared" si="4"/>
        <v>1</v>
      </c>
    </row>
    <row r="32" spans="1:9" x14ac:dyDescent="0.2">
      <c r="A32" s="3">
        <v>2007</v>
      </c>
      <c r="B32" s="23">
        <f t="shared" si="3"/>
        <v>1.0137453114994053</v>
      </c>
      <c r="C32" s="23">
        <f t="shared" si="3"/>
        <v>0.97769265434880581</v>
      </c>
      <c r="D32" s="23">
        <f t="shared" si="3"/>
        <v>0.97933409873708377</v>
      </c>
      <c r="E32" s="23">
        <v>0</v>
      </c>
      <c r="F32" s="23">
        <f t="shared" si="4"/>
        <v>0.95791245791245794</v>
      </c>
      <c r="G32" s="23">
        <f t="shared" si="4"/>
        <v>1.0106716354704837</v>
      </c>
      <c r="H32" s="23">
        <f t="shared" si="4"/>
        <v>1.0426540284360191</v>
      </c>
    </row>
    <row r="33" spans="1:8" x14ac:dyDescent="0.2">
      <c r="A33" s="3">
        <v>2008</v>
      </c>
      <c r="B33" s="23">
        <f t="shared" si="3"/>
        <v>1.0142131979695432</v>
      </c>
      <c r="C33" s="23">
        <f t="shared" si="3"/>
        <v>0.98179303987093802</v>
      </c>
      <c r="D33" s="23">
        <f t="shared" si="3"/>
        <v>0.99296600234466592</v>
      </c>
      <c r="E33" s="23">
        <v>0</v>
      </c>
      <c r="F33" s="23">
        <f t="shared" si="4"/>
        <v>0.9916649437111611</v>
      </c>
      <c r="G33" s="23">
        <f t="shared" si="4"/>
        <v>1.0044414648453868</v>
      </c>
      <c r="H33" s="23">
        <f t="shared" si="4"/>
        <v>1.0112511922290952</v>
      </c>
    </row>
    <row r="34" spans="1:8" x14ac:dyDescent="0.2">
      <c r="A34" s="3">
        <v>2009</v>
      </c>
      <c r="B34" s="23">
        <f t="shared" si="3"/>
        <v>1.0179245261568384</v>
      </c>
      <c r="C34" s="23">
        <f t="shared" si="3"/>
        <v>0.99920727087448347</v>
      </c>
      <c r="D34" s="23">
        <f t="shared" si="3"/>
        <v>1.0061687074536858</v>
      </c>
      <c r="E34" s="23">
        <v>0</v>
      </c>
      <c r="F34" s="23">
        <f t="shared" si="4"/>
        <v>1.0022335694634723</v>
      </c>
      <c r="G34" s="23">
        <f t="shared" si="4"/>
        <v>1.0125562798409444</v>
      </c>
      <c r="H34" s="23">
        <f t="shared" si="4"/>
        <v>1.0203381610297544</v>
      </c>
    </row>
    <row r="35" spans="1:8" x14ac:dyDescent="0.2">
      <c r="A35" s="3">
        <v>2010</v>
      </c>
      <c r="B35" s="23">
        <f t="shared" ref="B35:D38" si="5">B16/B15</f>
        <v>1.001726368530542</v>
      </c>
      <c r="C35" s="23">
        <f t="shared" si="5"/>
        <v>1.0235310126041641</v>
      </c>
      <c r="D35" s="23">
        <f t="shared" si="5"/>
        <v>0.99856270895141441</v>
      </c>
      <c r="E35" s="23">
        <v>0</v>
      </c>
      <c r="F35" s="23">
        <f t="shared" ref="F35:H38" si="6">F16/F15</f>
        <v>0.73737750168330218</v>
      </c>
      <c r="G35" s="23">
        <f t="shared" si="6"/>
        <v>1.0163111953148298</v>
      </c>
      <c r="H35" s="23">
        <f t="shared" si="6"/>
        <v>1.0242290748898679</v>
      </c>
    </row>
    <row r="36" spans="1:8" x14ac:dyDescent="0.2">
      <c r="A36" s="3">
        <v>2011</v>
      </c>
      <c r="B36" s="23">
        <f t="shared" si="5"/>
        <v>1.0034176621872881</v>
      </c>
      <c r="C36" s="23">
        <f t="shared" si="5"/>
        <v>0.98851010972794895</v>
      </c>
      <c r="D36" s="23">
        <f t="shared" si="5"/>
        <v>1.0088275784996494</v>
      </c>
      <c r="E36" s="23">
        <v>0</v>
      </c>
      <c r="F36" s="23">
        <f t="shared" si="6"/>
        <v>0.88506187750529497</v>
      </c>
      <c r="G36" s="23">
        <f t="shared" si="6"/>
        <v>1.0166368268378831</v>
      </c>
      <c r="H36" s="23">
        <f t="shared" si="6"/>
        <v>0.91194736842105262</v>
      </c>
    </row>
    <row r="37" spans="1:8" x14ac:dyDescent="0.2">
      <c r="A37" s="3">
        <v>2012</v>
      </c>
      <c r="B37" s="23">
        <f t="shared" si="5"/>
        <v>0.99727237120539824</v>
      </c>
      <c r="C37" s="23">
        <f t="shared" si="5"/>
        <v>0.98912472964957243</v>
      </c>
      <c r="D37" s="23">
        <f t="shared" si="5"/>
        <v>0.99612377143203235</v>
      </c>
      <c r="E37" s="23">
        <v>0</v>
      </c>
      <c r="F37" s="23">
        <f t="shared" si="6"/>
        <v>0.92994719867961151</v>
      </c>
      <c r="G37" s="23">
        <f t="shared" si="6"/>
        <v>0.99740822456737288</v>
      </c>
      <c r="H37" s="23">
        <f t="shared" si="6"/>
        <v>0.9044604945506457</v>
      </c>
    </row>
    <row r="38" spans="1:8" x14ac:dyDescent="0.2">
      <c r="A38" s="3">
        <v>2013</v>
      </c>
      <c r="B38" s="23">
        <f t="shared" si="5"/>
        <v>1.0087857409273977</v>
      </c>
      <c r="C38" s="23">
        <f t="shared" si="5"/>
        <v>1.0130439154472188</v>
      </c>
      <c r="D38" s="23">
        <f t="shared" si="5"/>
        <v>1.0088278684791572</v>
      </c>
      <c r="E38" s="23">
        <v>0</v>
      </c>
      <c r="F38" s="23">
        <f t="shared" si="6"/>
        <v>0.98322373658312689</v>
      </c>
      <c r="G38" s="23">
        <f t="shared" si="6"/>
        <v>1.0155777354316859</v>
      </c>
      <c r="H38" s="23">
        <f t="shared" si="6"/>
        <v>1.0992444024589647</v>
      </c>
    </row>
    <row r="40" spans="1:8" x14ac:dyDescent="0.2">
      <c r="A40" t="s">
        <v>66</v>
      </c>
      <c r="B40" s="24">
        <f t="shared" ref="B40:H40" si="7">B42</f>
        <v>1.0085273250484326</v>
      </c>
      <c r="C40" s="24">
        <f t="shared" si="7"/>
        <v>1.0080742892721297</v>
      </c>
      <c r="D40" s="24">
        <f t="shared" si="7"/>
        <v>0.99985336805559399</v>
      </c>
      <c r="E40" s="24">
        <v>0</v>
      </c>
      <c r="F40" s="24">
        <f t="shared" si="7"/>
        <v>0.94695585802391569</v>
      </c>
      <c r="G40" s="24">
        <f t="shared" si="7"/>
        <v>1.0112464834873764</v>
      </c>
      <c r="H40" s="24">
        <f t="shared" si="7"/>
        <v>0.99990655198376654</v>
      </c>
    </row>
    <row r="41" spans="1:8" x14ac:dyDescent="0.2">
      <c r="B41" s="24"/>
      <c r="C41" s="24"/>
      <c r="D41" s="24"/>
      <c r="E41" s="24"/>
      <c r="F41" s="24"/>
      <c r="G41" s="24"/>
      <c r="H41" s="24"/>
    </row>
    <row r="42" spans="1:8" x14ac:dyDescent="0.2">
      <c r="A42" t="s">
        <v>16</v>
      </c>
      <c r="B42" s="24">
        <f>GEOMEAN(B29:B38)</f>
        <v>1.0085273250484326</v>
      </c>
      <c r="C42" s="24">
        <f t="shared" ref="C42:H42" si="8">GEOMEAN(C29:C38)</f>
        <v>1.0080742892721297</v>
      </c>
      <c r="D42" s="24">
        <f t="shared" si="8"/>
        <v>0.99985336805559399</v>
      </c>
      <c r="E42" s="24">
        <v>0</v>
      </c>
      <c r="F42" s="24">
        <f t="shared" si="8"/>
        <v>0.94695585802391569</v>
      </c>
      <c r="G42" s="24">
        <f t="shared" si="8"/>
        <v>1.0112464834873764</v>
      </c>
      <c r="H42" s="24">
        <f t="shared" si="8"/>
        <v>0.99990655198376654</v>
      </c>
    </row>
    <row r="43" spans="1:8" x14ac:dyDescent="0.2">
      <c r="A43" s="3"/>
      <c r="B43" s="24"/>
      <c r="C43" s="24"/>
      <c r="D43" s="24"/>
      <c r="E43" s="24"/>
      <c r="F43" s="24"/>
      <c r="G43" s="24"/>
      <c r="H43" s="24"/>
    </row>
    <row r="44" spans="1:8" x14ac:dyDescent="0.2">
      <c r="A44" s="3"/>
      <c r="B44" s="24"/>
      <c r="C44" s="24"/>
      <c r="D44" s="24"/>
      <c r="E44" s="24"/>
      <c r="F44" s="24"/>
      <c r="G44" s="24"/>
      <c r="H44" s="24"/>
    </row>
    <row r="48" spans="1:8" x14ac:dyDescent="0.2">
      <c r="D48" s="15"/>
      <c r="E48" s="15"/>
      <c r="F48" s="15"/>
    </row>
    <row r="49" spans="2:8" x14ac:dyDescent="0.2">
      <c r="B49" s="15"/>
      <c r="C49" s="15"/>
      <c r="D49" s="15"/>
      <c r="E49" s="15"/>
      <c r="F49" s="15"/>
      <c r="G49" s="15"/>
      <c r="H49" s="15"/>
    </row>
    <row r="50" spans="2:8" x14ac:dyDescent="0.2">
      <c r="B50" s="15"/>
      <c r="C50" s="15"/>
      <c r="G50" s="15"/>
      <c r="H50" s="15"/>
    </row>
  </sheetData>
  <mergeCells count="1">
    <mergeCell ref="A1:J1"/>
  </mergeCells>
  <phoneticPr fontId="0" type="noConversion"/>
  <pageMargins left="0.38" right="0.4" top="0.73" bottom="0.37" header="0.5" footer="0.2"/>
  <pageSetup orientation="landscape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J10" sqref="J10"/>
    </sheetView>
  </sheetViews>
  <sheetFormatPr defaultRowHeight="12.75" x14ac:dyDescent="0.2"/>
  <cols>
    <col min="1" max="1" width="11" customWidth="1"/>
    <col min="2" max="2" width="14.140625" style="5" bestFit="1" customWidth="1"/>
    <col min="3" max="4" width="14.140625" style="5" customWidth="1"/>
    <col min="5" max="5" width="17.7109375" style="5" customWidth="1"/>
    <col min="6" max="7" width="12.7109375" style="5" bestFit="1" customWidth="1"/>
    <col min="8" max="8" width="11.7109375" style="5" bestFit="1" customWidth="1"/>
    <col min="9" max="9" width="10.7109375" style="5" bestFit="1" customWidth="1"/>
    <col min="10" max="11" width="9.140625" style="5"/>
  </cols>
  <sheetData>
    <row r="1" spans="1:6" x14ac:dyDescent="0.2">
      <c r="A1" s="19" t="s">
        <v>239</v>
      </c>
    </row>
    <row r="4" spans="1:6" ht="42" customHeight="1" x14ac:dyDescent="0.2">
      <c r="B4" s="7" t="str">
        <f>'Rate Class Customer Model'!D4</f>
        <v>GS&gt;50</v>
      </c>
      <c r="C4" s="7" t="str">
        <f>'Rate Class Customer Model'!E4</f>
        <v>Large User</v>
      </c>
      <c r="D4" s="7" t="str">
        <f>'Rate Class Customer Model'!F4</f>
        <v>Sentinels</v>
      </c>
      <c r="E4" s="7" t="str">
        <f>'Rate Class Customer Model'!G4</f>
        <v>Streetlights</v>
      </c>
      <c r="F4" s="5" t="s">
        <v>11</v>
      </c>
    </row>
    <row r="5" spans="1:6" x14ac:dyDescent="0.2">
      <c r="A5" s="29">
        <v>1999</v>
      </c>
      <c r="B5" s="21"/>
      <c r="C5" s="21"/>
      <c r="D5" s="21"/>
      <c r="E5" s="21"/>
    </row>
    <row r="6" spans="1:6" x14ac:dyDescent="0.2">
      <c r="A6" s="29">
        <v>2000</v>
      </c>
      <c r="B6" s="61"/>
      <c r="C6" s="61"/>
      <c r="D6" s="61"/>
      <c r="E6" s="61"/>
    </row>
    <row r="7" spans="1:6" x14ac:dyDescent="0.2">
      <c r="A7" s="29">
        <v>2001</v>
      </c>
      <c r="B7" s="62"/>
      <c r="C7" s="62"/>
      <c r="D7" s="62"/>
      <c r="E7" s="62"/>
    </row>
    <row r="8" spans="1:6" x14ac:dyDescent="0.2">
      <c r="A8" s="29">
        <v>2002</v>
      </c>
      <c r="B8" s="62">
        <v>1529263</v>
      </c>
      <c r="C8" s="62">
        <v>0</v>
      </c>
      <c r="D8" s="62">
        <v>956</v>
      </c>
      <c r="E8" s="62">
        <v>17456</v>
      </c>
      <c r="F8" s="5">
        <f t="shared" ref="F8:F21" si="0">SUM(B8:E8)</f>
        <v>1547675</v>
      </c>
    </row>
    <row r="9" spans="1:6" x14ac:dyDescent="0.2">
      <c r="A9" s="29">
        <v>2003</v>
      </c>
      <c r="B9" s="62">
        <v>1573551</v>
      </c>
      <c r="C9" s="62">
        <v>0</v>
      </c>
      <c r="D9" s="62">
        <v>968</v>
      </c>
      <c r="E9" s="62">
        <v>17588</v>
      </c>
      <c r="F9" s="5">
        <f t="shared" si="0"/>
        <v>1592107</v>
      </c>
    </row>
    <row r="10" spans="1:6" x14ac:dyDescent="0.2">
      <c r="A10" s="29">
        <v>2004</v>
      </c>
      <c r="B10" s="62">
        <v>1673046</v>
      </c>
      <c r="C10" s="62">
        <v>0</v>
      </c>
      <c r="D10" s="62">
        <v>933</v>
      </c>
      <c r="E10" s="62">
        <v>19480</v>
      </c>
      <c r="F10" s="5">
        <f t="shared" si="0"/>
        <v>1693459</v>
      </c>
    </row>
    <row r="11" spans="1:6" x14ac:dyDescent="0.2">
      <c r="A11" s="29">
        <v>2005</v>
      </c>
      <c r="B11" s="62">
        <v>1719941</v>
      </c>
      <c r="C11" s="62">
        <v>0</v>
      </c>
      <c r="D11" s="62">
        <v>892</v>
      </c>
      <c r="E11" s="62">
        <v>19789</v>
      </c>
      <c r="F11" s="5">
        <f t="shared" si="0"/>
        <v>1740622</v>
      </c>
    </row>
    <row r="12" spans="1:6" x14ac:dyDescent="0.2">
      <c r="A12" s="29">
        <v>2006</v>
      </c>
      <c r="B12" s="62">
        <v>1777691</v>
      </c>
      <c r="C12" s="62">
        <v>0</v>
      </c>
      <c r="D12" s="62">
        <v>831</v>
      </c>
      <c r="E12" s="62">
        <v>19932</v>
      </c>
      <c r="F12" s="5">
        <f t="shared" si="0"/>
        <v>1798454</v>
      </c>
    </row>
    <row r="13" spans="1:6" x14ac:dyDescent="0.2">
      <c r="A13" s="29">
        <v>2007</v>
      </c>
      <c r="B13" s="62">
        <v>1884479</v>
      </c>
      <c r="C13" s="62">
        <v>0</v>
      </c>
      <c r="D13" s="62">
        <v>825</v>
      </c>
      <c r="E13" s="62">
        <v>20188</v>
      </c>
      <c r="F13" s="5">
        <f t="shared" si="0"/>
        <v>1905492</v>
      </c>
    </row>
    <row r="14" spans="1:6" x14ac:dyDescent="0.2">
      <c r="A14" s="29">
        <v>2008</v>
      </c>
      <c r="B14" s="68">
        <f>49592+4289+35363+8826+3328+51654+4291+37399+8230+3087+54700+3921+32038+7758+2966+56751+3555+32697+8254+2638+53441+3224+30860+8064+2404+66371+3472+36595+9382+2542+67179+2978+37314+8214+2825+63819+3127+36715+8680+2661+64407+3518+35419+7914+3177+69530+2811+19895+10898+9985+61048+3146+20772+3601+7456+72002+3085+21883+3577+7246+165+131+8068+442+27414-44+155+8640+28057+7846+27553+7326+28620+462+7034+217+27079+155+8376+29478+8237+28424+8152+29394+8246+26550+7943+33169+8212+26505+8618+32618</f>
        <v>1735816</v>
      </c>
      <c r="C14" s="68">
        <v>0</v>
      </c>
      <c r="D14" s="68">
        <f>6+3+3+4+3+3+3+3+2+3+3+1+12+40+59+54+65+16+41+1+66+51+65+60+59+57+50</f>
        <v>733</v>
      </c>
      <c r="E14" s="68">
        <f>1292+1292+1292+1292+1292+1292+1292+1292+1292+1292+1292+1292+401+404+404+404+404+404+404+408+405+405+405+419</f>
        <v>20371</v>
      </c>
      <c r="F14" s="5">
        <f t="shared" si="0"/>
        <v>1756920</v>
      </c>
    </row>
    <row r="15" spans="1:6" x14ac:dyDescent="0.2">
      <c r="A15" s="29">
        <v>2009</v>
      </c>
      <c r="B15" s="68">
        <f>64079+3511+22914+3652+7589+73236+3318+23195+3340+7338+64491+3254+22111+3301+7321+68137+3826+18018+3267+7038+70709+3588+20795+2938+6670+76703+2390+20504+2877+6668+78157+2061+22905+2844+6793+79251+2264+23245+2857+7135+73762+2531+21986+3075+6649+63604+2632+21295+2934+6515+61060+1490+21143+2262+7476+69461+1586+21954+2476+8884+8112+27353+9323+31641+8182+25194+7821+37717+8048+75098+8245+25917+8360+25917+37687+441+1876+50545+703+15402+3784+157+26382+1073+3520+1882+200+851+33958+963+7362+1995+417</f>
        <v>1753191</v>
      </c>
      <c r="C15" s="68">
        <v>0</v>
      </c>
      <c r="D15" s="68">
        <f>3+3+3+3+3+3+3+3+3+3+3+3+58+65+50+57+64+58+49+49+24+1+76+6+42+5+50+5</f>
        <v>695</v>
      </c>
      <c r="E15" s="68">
        <f>1292+1292+1257+1262+1278+1278+1278+1278+1279+1281+1279+1279+419+419+419+419+419+377+461+377+42+377+377+42+339+38+42+339+38+42</f>
        <v>20319</v>
      </c>
      <c r="F15" s="5">
        <f t="shared" si="0"/>
        <v>1774205</v>
      </c>
    </row>
    <row r="16" spans="1:6" x14ac:dyDescent="0.2">
      <c r="A16" s="29">
        <v>2010</v>
      </c>
      <c r="B16" s="62">
        <v>1769836</v>
      </c>
      <c r="C16" s="62">
        <v>0</v>
      </c>
      <c r="D16" s="62">
        <v>653</v>
      </c>
      <c r="E16" s="62">
        <v>19656</v>
      </c>
      <c r="F16" s="5">
        <f t="shared" si="0"/>
        <v>1790145</v>
      </c>
    </row>
    <row r="17" spans="1:6" x14ac:dyDescent="0.2">
      <c r="A17" s="29">
        <v>2011</v>
      </c>
      <c r="B17" s="62">
        <v>1793543.4187587439</v>
      </c>
      <c r="C17" s="62">
        <v>0</v>
      </c>
      <c r="D17" s="62">
        <v>679.47908629678989</v>
      </c>
      <c r="E17" s="62">
        <v>20391.457990632443</v>
      </c>
      <c r="F17" s="5">
        <f t="shared" si="0"/>
        <v>1814614.3558356732</v>
      </c>
    </row>
    <row r="18" spans="1:6" x14ac:dyDescent="0.2">
      <c r="A18" s="29">
        <v>2012</v>
      </c>
      <c r="B18" s="62">
        <v>1761221.4536881603</v>
      </c>
      <c r="C18" s="62">
        <v>0</v>
      </c>
      <c r="D18" s="62">
        <v>720.86670134477606</v>
      </c>
      <c r="E18" s="62">
        <v>21037.358958435376</v>
      </c>
      <c r="F18" s="5">
        <f t="shared" si="0"/>
        <v>1782979.6793479405</v>
      </c>
    </row>
    <row r="19" spans="1:6" x14ac:dyDescent="0.2">
      <c r="A19" s="29">
        <v>2013</v>
      </c>
      <c r="B19" s="62">
        <v>1721553.9692533722</v>
      </c>
      <c r="C19" s="62">
        <v>0</v>
      </c>
      <c r="D19" s="62">
        <v>716.23040649278312</v>
      </c>
      <c r="E19" s="62">
        <v>20808.575811577328</v>
      </c>
      <c r="F19" s="5">
        <f t="shared" si="0"/>
        <v>1743078.7754714421</v>
      </c>
    </row>
    <row r="20" spans="1:6" x14ac:dyDescent="0.2">
      <c r="A20" s="29">
        <v>2014</v>
      </c>
      <c r="B20" s="30">
        <f>'Rate Class Energy Model'!J100*B41</f>
        <v>1723755.1121789298</v>
      </c>
      <c r="C20" s="30">
        <v>0</v>
      </c>
      <c r="D20" s="30">
        <f>'Rate Class Energy Model'!L85*D41</f>
        <v>713.34740689392868</v>
      </c>
      <c r="E20" s="30">
        <f>'Rate Class Energy Model'!M85*E41</f>
        <v>20994.730572838995</v>
      </c>
      <c r="F20" s="30">
        <f t="shared" si="0"/>
        <v>1745463.1901586629</v>
      </c>
    </row>
    <row r="21" spans="1:6" x14ac:dyDescent="0.2">
      <c r="A21" s="29">
        <v>2015</v>
      </c>
      <c r="B21" s="30">
        <f>'Rate Class Energy Model'!J101*B41</f>
        <v>1739879.455366198</v>
      </c>
      <c r="C21" s="30">
        <v>0</v>
      </c>
      <c r="D21" s="30">
        <f>'Rate Class Energy Model'!L86*D41</f>
        <v>705.02695386826144</v>
      </c>
      <c r="E21" s="30">
        <f>'Rate Class Energy Model'!M86*E41</f>
        <v>21184.221072692333</v>
      </c>
      <c r="F21" s="30">
        <f t="shared" si="0"/>
        <v>1761768.7033927587</v>
      </c>
    </row>
    <row r="22" spans="1:6" x14ac:dyDescent="0.2">
      <c r="A22" s="20"/>
    </row>
    <row r="23" spans="1:6" x14ac:dyDescent="0.2">
      <c r="A23" s="19" t="s">
        <v>67</v>
      </c>
      <c r="B23" s="4"/>
      <c r="C23" s="4"/>
      <c r="D23" s="4"/>
      <c r="E23" s="4"/>
    </row>
    <row r="24" spans="1:6" x14ac:dyDescent="0.2">
      <c r="A24" s="3">
        <v>1999</v>
      </c>
      <c r="B24" s="27"/>
      <c r="C24" s="27"/>
      <c r="D24" s="27"/>
      <c r="E24" s="27"/>
    </row>
    <row r="25" spans="1:6" x14ac:dyDescent="0.2">
      <c r="A25" s="3">
        <v>2000</v>
      </c>
      <c r="B25" s="27"/>
      <c r="C25" s="27"/>
      <c r="D25" s="27"/>
      <c r="E25" s="27"/>
    </row>
    <row r="26" spans="1:6" x14ac:dyDescent="0.2">
      <c r="A26" s="3">
        <v>2001</v>
      </c>
      <c r="B26" s="27"/>
      <c r="C26" s="27"/>
      <c r="D26" s="27"/>
      <c r="E26" s="27"/>
    </row>
    <row r="27" spans="1:6" x14ac:dyDescent="0.2">
      <c r="A27" s="3">
        <v>2002</v>
      </c>
      <c r="B27" s="27"/>
      <c r="C27" s="27"/>
      <c r="D27" s="27"/>
      <c r="E27" s="27"/>
    </row>
    <row r="28" spans="1:6" x14ac:dyDescent="0.2">
      <c r="A28" s="3">
        <v>2003</v>
      </c>
      <c r="B28" s="27">
        <f>B9/'Rate Class Energy Model'!J14</f>
        <v>2.8418288529639419E-3</v>
      </c>
      <c r="C28" s="27" t="e">
        <f>C9/'Rate Class Energy Model'!K14</f>
        <v>#DIV/0!</v>
      </c>
      <c r="D28" s="27">
        <f>D9/'Rate Class Energy Model'!L14</f>
        <v>3.2408770798819106E-3</v>
      </c>
      <c r="E28" s="27">
        <f>E9/'Rate Class Energy Model'!M14</f>
        <v>2.6197481896607809E-3</v>
      </c>
    </row>
    <row r="29" spans="1:6" x14ac:dyDescent="0.2">
      <c r="A29" s="3">
        <v>2004</v>
      </c>
      <c r="B29" s="27">
        <f>B10/'Rate Class Energy Model'!J15</f>
        <v>2.7957208061864711E-3</v>
      </c>
      <c r="C29" s="27" t="e">
        <f>C10/'Rate Class Energy Model'!K15</f>
        <v>#DIV/0!</v>
      </c>
      <c r="D29" s="27">
        <f>D10/'Rate Class Energy Model'!L15</f>
        <v>3.118088924416619E-3</v>
      </c>
      <c r="E29" s="27">
        <f>E10/'Rate Class Energy Model'!M15</f>
        <v>2.7721416437731733E-3</v>
      </c>
    </row>
    <row r="30" spans="1:6" x14ac:dyDescent="0.2">
      <c r="A30" s="3">
        <v>2005</v>
      </c>
      <c r="B30" s="27">
        <f>B11/'Rate Class Energy Model'!J16</f>
        <v>2.8198065316871472E-3</v>
      </c>
      <c r="C30" s="27" t="e">
        <f>C11/'Rate Class Energy Model'!K16</f>
        <v>#DIV/0!</v>
      </c>
      <c r="D30" s="27">
        <f>D11/'Rate Class Energy Model'!L16</f>
        <v>2.6489078692881942E-3</v>
      </c>
      <c r="E30" s="27">
        <f>E11/'Rate Class Energy Model'!M16</f>
        <v>2.6532335384992483E-3</v>
      </c>
    </row>
    <row r="31" spans="1:6" x14ac:dyDescent="0.2">
      <c r="A31" s="3">
        <v>2006</v>
      </c>
      <c r="B31" s="27">
        <f>B12/'Rate Class Energy Model'!J17</f>
        <v>2.9568232099433755E-3</v>
      </c>
      <c r="C31" s="27" t="e">
        <f>C12/'Rate Class Energy Model'!K17</f>
        <v>#DIV/0!</v>
      </c>
      <c r="D31" s="27">
        <f>D12/'Rate Class Energy Model'!L17</f>
        <v>2.6198687939922448E-3</v>
      </c>
      <c r="E31" s="27">
        <f>E12/'Rate Class Energy Model'!M17</f>
        <v>2.4198853786386561E-3</v>
      </c>
    </row>
    <row r="32" spans="1:6" x14ac:dyDescent="0.2">
      <c r="A32" s="3">
        <v>2007</v>
      </c>
      <c r="B32" s="27">
        <f>B13/'Rate Class Energy Model'!J18</f>
        <v>3.0292606566788391E-3</v>
      </c>
      <c r="C32" s="27" t="e">
        <f>C13/'Rate Class Energy Model'!K18</f>
        <v>#DIV/0!</v>
      </c>
      <c r="D32" s="27">
        <f>D13/'Rate Class Energy Model'!L18</f>
        <v>2.7943123516525454E-3</v>
      </c>
      <c r="E32" s="27">
        <f>E13/'Rate Class Energy Model'!M18</f>
        <v>2.8744358085101411E-3</v>
      </c>
    </row>
    <row r="33" spans="1:5" x14ac:dyDescent="0.2">
      <c r="A33" s="3">
        <v>2008</v>
      </c>
      <c r="B33" s="27">
        <f>B14/'Rate Class Energy Model'!J19</f>
        <v>2.8659451141500882E-3</v>
      </c>
      <c r="C33" s="27" t="e">
        <f>C14/'Rate Class Energy Model'!K19</f>
        <v>#DIV/0!</v>
      </c>
      <c r="D33" s="27">
        <f>D14/'Rate Class Energy Model'!L19</f>
        <v>2.555502872761756E-3</v>
      </c>
      <c r="E33" s="27">
        <f>E14/'Rate Class Energy Model'!M19</f>
        <v>2.7146001271815012E-3</v>
      </c>
    </row>
    <row r="34" spans="1:5" x14ac:dyDescent="0.2">
      <c r="A34" s="3">
        <v>2009</v>
      </c>
      <c r="B34" s="27">
        <f>B15/'Rate Class Energy Model'!J20</f>
        <v>2.9566154374760733E-3</v>
      </c>
      <c r="C34" s="27" t="e">
        <f>C15/'Rate Class Energy Model'!K20</f>
        <v>#DIV/0!</v>
      </c>
      <c r="D34" s="27">
        <f>D15/'Rate Class Energy Model'!L20</f>
        <v>2.3617525223177116E-3</v>
      </c>
      <c r="E34" s="27">
        <f>E15/'Rate Class Energy Model'!M20</f>
        <v>2.7943302010173953E-3</v>
      </c>
    </row>
    <row r="35" spans="1:5" x14ac:dyDescent="0.2">
      <c r="A35" s="3">
        <v>2010</v>
      </c>
      <c r="B35" s="27">
        <f>B16/'Rate Class Energy Model'!J21</f>
        <v>2.8963097289394094E-3</v>
      </c>
      <c r="C35" s="27" t="e">
        <f>C16/'Rate Class Energy Model'!K21</f>
        <v>#DIV/0!</v>
      </c>
      <c r="D35" s="27">
        <f>D16/'Rate Class Energy Model'!L21</f>
        <v>2.2245379959460591E-3</v>
      </c>
      <c r="E35" s="27">
        <f>E16/'Rate Class Energy Model'!M21</f>
        <v>2.6674272783011577E-3</v>
      </c>
    </row>
    <row r="36" spans="1:5" x14ac:dyDescent="0.2">
      <c r="A36" s="3">
        <v>2011</v>
      </c>
      <c r="B36" s="27">
        <f>B17/'Rate Class Energy Model'!J22</f>
        <v>2.6565951360977163E-3</v>
      </c>
      <c r="C36" s="27" t="e">
        <f>C17/'Rate Class Energy Model'!K22</f>
        <v>#DIV/0!</v>
      </c>
      <c r="D36" s="27">
        <f>D17/'Rate Class Energy Model'!L22</f>
        <v>2.759955994901499E-3</v>
      </c>
      <c r="E36" s="27">
        <f>E17/'Rate Class Energy Model'!M22</f>
        <v>2.7953270505297642E-3</v>
      </c>
    </row>
    <row r="37" spans="1:5" x14ac:dyDescent="0.2">
      <c r="A37" s="3">
        <v>2012</v>
      </c>
      <c r="B37" s="27">
        <f>B18/'Rate Class Energy Model'!J23</f>
        <v>2.652058697885248E-3</v>
      </c>
      <c r="C37" s="27" t="e">
        <f>C18/'Rate Class Energy Model'!K23</f>
        <v>#DIV/0!</v>
      </c>
      <c r="D37" s="27">
        <f>D18/'Rate Class Energy Model'!L23</f>
        <v>2.6954811443337719E-3</v>
      </c>
      <c r="E37" s="27">
        <f>E18/'Rate Class Energy Model'!M23</f>
        <v>2.8702236747643844E-3</v>
      </c>
    </row>
    <row r="38" spans="1:5" x14ac:dyDescent="0.2">
      <c r="A38" s="3">
        <v>2013</v>
      </c>
      <c r="B38" s="27">
        <f>B19/'Rate Class Energy Model'!J24</f>
        <v>2.6244448762367169E-3</v>
      </c>
      <c r="C38" s="27" t="e">
        <f>C19/'Rate Class Energy Model'!K24</f>
        <v>#DIV/0!</v>
      </c>
      <c r="D38" s="27">
        <f>D19/'Rate Class Energy Model'!L24</f>
        <v>2.6964577326651449E-3</v>
      </c>
      <c r="E38" s="27">
        <f>E19/'Rate Class Energy Model'!M24</f>
        <v>2.8331104510232949E-3</v>
      </c>
    </row>
    <row r="40" spans="1:5" x14ac:dyDescent="0.2">
      <c r="A40" t="s">
        <v>119</v>
      </c>
      <c r="B40" s="27">
        <f>AVERAGE(B28:B38)</f>
        <v>2.8268553680222751E-3</v>
      </c>
      <c r="C40" s="27" t="e">
        <f>AVERAGE(C25:C38)</f>
        <v>#DIV/0!</v>
      </c>
      <c r="D40" s="27">
        <f>AVERAGE(D28:D38)</f>
        <v>2.7014312074688592E-3</v>
      </c>
      <c r="E40" s="27">
        <f>AVERAGE(E28:E38)</f>
        <v>2.728587576536318E-3</v>
      </c>
    </row>
    <row r="41" spans="1:5" x14ac:dyDescent="0.2">
      <c r="A41" t="s">
        <v>120</v>
      </c>
      <c r="B41" s="27">
        <f>AVERAGE(B36:B39)</f>
        <v>2.6443662367398937E-3</v>
      </c>
      <c r="C41" s="27" t="e">
        <f>AVERAGE(C36:C39)</f>
        <v>#DIV/0!</v>
      </c>
      <c r="D41" s="27">
        <f>AVERAGE(D36:D39)</f>
        <v>2.7172982906334721E-3</v>
      </c>
      <c r="E41" s="27">
        <f>AVERAGE(E36:E39)</f>
        <v>2.8328870587724813E-3</v>
      </c>
    </row>
    <row r="47" spans="1:5" x14ac:dyDescent="0.2">
      <c r="B47" s="25"/>
      <c r="C47" s="25"/>
      <c r="D47" s="25"/>
      <c r="E47" s="25"/>
    </row>
    <row r="48" spans="1:5" x14ac:dyDescent="0.2">
      <c r="B48" s="25"/>
      <c r="C48" s="25"/>
      <c r="D48" s="25"/>
      <c r="E48" s="25"/>
    </row>
    <row r="67" spans="2:5" x14ac:dyDescent="0.2">
      <c r="B67" s="15"/>
      <c r="C67" s="15"/>
      <c r="D67" s="15"/>
      <c r="E67" s="15"/>
    </row>
    <row r="68" spans="2:5" x14ac:dyDescent="0.2">
      <c r="B68" s="15"/>
      <c r="C68" s="15"/>
      <c r="D68" s="15"/>
      <c r="E68" s="15"/>
    </row>
  </sheetData>
  <phoneticPr fontId="0" type="noConversion"/>
  <pageMargins left="0.38" right="0.75" top="0.73" bottom="0.74" header="0.5" footer="0.5"/>
  <pageSetup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5"/>
  <sheetViews>
    <sheetView topLeftCell="A10" zoomScaleNormal="100" workbookViewId="0">
      <selection activeCell="I25" sqref="I9:X25"/>
    </sheetView>
  </sheetViews>
  <sheetFormatPr defaultRowHeight="12.75" x14ac:dyDescent="0.2"/>
  <cols>
    <col min="1" max="1" width="26.5703125" style="33" customWidth="1"/>
    <col min="2" max="2" width="17.28515625" style="33" customWidth="1"/>
    <col min="3" max="3" width="14.5703125" style="33" customWidth="1"/>
    <col min="4" max="4" width="16" style="33" customWidth="1"/>
    <col min="5" max="6" width="14" style="33" bestFit="1" customWidth="1"/>
    <col min="7" max="7" width="12.28515625" style="33" bestFit="1" customWidth="1"/>
    <col min="8" max="8" width="20.5703125" style="33" customWidth="1"/>
    <col min="9" max="16384" width="9.140625" style="33"/>
  </cols>
  <sheetData>
    <row r="1" spans="1:8" ht="15" x14ac:dyDescent="0.25">
      <c r="A1" s="256" t="s">
        <v>240</v>
      </c>
    </row>
    <row r="2" spans="1:8" x14ac:dyDescent="0.2">
      <c r="H2" s="22" t="s">
        <v>246</v>
      </c>
    </row>
    <row r="3" spans="1:8" ht="15" x14ac:dyDescent="0.25">
      <c r="A3" s="256" t="s">
        <v>241</v>
      </c>
      <c r="H3" s="22" t="s">
        <v>247</v>
      </c>
    </row>
    <row r="4" spans="1:8" ht="15" x14ac:dyDescent="0.25">
      <c r="C4" s="262">
        <v>2008</v>
      </c>
      <c r="D4" s="262">
        <v>2009</v>
      </c>
      <c r="E4" s="257">
        <v>2010</v>
      </c>
      <c r="F4" s="257">
        <v>2011</v>
      </c>
      <c r="G4" s="257">
        <v>2012</v>
      </c>
      <c r="H4" s="257">
        <v>2013</v>
      </c>
    </row>
    <row r="5" spans="1:8" ht="15" x14ac:dyDescent="0.25">
      <c r="A5" s="256" t="s">
        <v>242</v>
      </c>
      <c r="B5" s="256" t="s">
        <v>243</v>
      </c>
      <c r="C5" s="257" t="s">
        <v>164</v>
      </c>
      <c r="D5" s="257" t="s">
        <v>164</v>
      </c>
      <c r="E5" s="257" t="s">
        <v>164</v>
      </c>
      <c r="F5" s="257" t="s">
        <v>164</v>
      </c>
      <c r="G5" s="257" t="s">
        <v>164</v>
      </c>
      <c r="H5" s="257" t="s">
        <v>164</v>
      </c>
    </row>
    <row r="6" spans="1:8" x14ac:dyDescent="0.2">
      <c r="A6" s="33" t="s">
        <v>103</v>
      </c>
      <c r="B6" s="33" t="s">
        <v>70</v>
      </c>
      <c r="C6" s="71">
        <v>132652</v>
      </c>
      <c r="D6" s="71">
        <v>142273</v>
      </c>
      <c r="E6" s="101">
        <v>145366</v>
      </c>
      <c r="F6" s="101">
        <v>124738.56</v>
      </c>
      <c r="G6" s="101">
        <v>113652.12</v>
      </c>
      <c r="H6" s="101">
        <f>G6</f>
        <v>113652.12</v>
      </c>
    </row>
    <row r="7" spans="1:8" x14ac:dyDescent="0.2">
      <c r="A7" s="258" t="s">
        <v>107</v>
      </c>
      <c r="B7" s="33" t="s">
        <v>70</v>
      </c>
      <c r="C7" s="33">
        <v>110141</v>
      </c>
      <c r="D7" s="33">
        <v>132870</v>
      </c>
      <c r="E7" s="101">
        <v>129366</v>
      </c>
      <c r="F7" s="101">
        <v>102698.00000000001</v>
      </c>
      <c r="G7" s="101">
        <v>109292.20999999999</v>
      </c>
      <c r="H7" s="101">
        <f>G7</f>
        <v>109292.20999999999</v>
      </c>
    </row>
    <row r="8" spans="1:8" x14ac:dyDescent="0.2">
      <c r="A8" s="258" t="s">
        <v>106</v>
      </c>
      <c r="B8" s="33" t="s">
        <v>70</v>
      </c>
      <c r="C8" s="71">
        <v>1006943</v>
      </c>
      <c r="D8" s="71">
        <v>1039014</v>
      </c>
      <c r="E8" s="101">
        <v>1096349</v>
      </c>
      <c r="F8" s="101">
        <v>1225534.5</v>
      </c>
      <c r="G8" s="101">
        <v>1246237.9100000001</v>
      </c>
      <c r="H8" s="101">
        <v>1217154.1600000004</v>
      </c>
    </row>
    <row r="9" spans="1:8" x14ac:dyDescent="0.2">
      <c r="A9" s="258"/>
      <c r="B9" s="33" t="s">
        <v>71</v>
      </c>
      <c r="C9" s="71">
        <v>167608</v>
      </c>
      <c r="D9" s="71">
        <v>176995</v>
      </c>
      <c r="E9" s="101">
        <v>169698</v>
      </c>
      <c r="F9" s="101">
        <v>187767.2</v>
      </c>
      <c r="G9" s="101">
        <v>187405.96000000002</v>
      </c>
      <c r="H9" s="101">
        <v>162920.35999999999</v>
      </c>
    </row>
    <row r="10" spans="1:8" x14ac:dyDescent="0.2">
      <c r="A10" s="258"/>
      <c r="B10" s="33" t="s">
        <v>72</v>
      </c>
      <c r="C10" s="71">
        <v>0</v>
      </c>
      <c r="D10" s="71">
        <v>0</v>
      </c>
      <c r="E10" s="101">
        <v>159816</v>
      </c>
      <c r="F10" s="101">
        <v>159600</v>
      </c>
      <c r="G10" s="101">
        <v>161520</v>
      </c>
      <c r="H10" s="101">
        <v>162240</v>
      </c>
    </row>
    <row r="11" spans="1:8" x14ac:dyDescent="0.2">
      <c r="A11" s="258" t="s">
        <v>244</v>
      </c>
      <c r="B11" s="33" t="s">
        <v>70</v>
      </c>
      <c r="C11" s="71">
        <v>122030</v>
      </c>
      <c r="D11" s="264">
        <v>129571</v>
      </c>
      <c r="E11" s="101">
        <v>137513.84</v>
      </c>
      <c r="F11" s="101">
        <v>119214.23000000001</v>
      </c>
      <c r="G11" s="101">
        <v>139801.81</v>
      </c>
      <c r="H11" s="101">
        <f>G11</f>
        <v>139801.81</v>
      </c>
    </row>
    <row r="12" spans="1:8" x14ac:dyDescent="0.2">
      <c r="A12" s="258" t="s">
        <v>105</v>
      </c>
      <c r="B12" s="33" t="s">
        <v>70</v>
      </c>
      <c r="C12" s="71">
        <v>201016</v>
      </c>
      <c r="D12" s="71">
        <v>116619</v>
      </c>
      <c r="E12" s="101">
        <v>96514</v>
      </c>
      <c r="F12" s="101">
        <v>75197.680000000008</v>
      </c>
      <c r="G12" s="101">
        <v>74600.75</v>
      </c>
      <c r="H12" s="101">
        <f>G12</f>
        <v>74600.75</v>
      </c>
    </row>
    <row r="13" spans="1:8" x14ac:dyDescent="0.2">
      <c r="A13" s="258"/>
      <c r="B13" s="33" t="s">
        <v>71</v>
      </c>
      <c r="C13" s="33">
        <v>7434</v>
      </c>
      <c r="D13" s="71">
        <v>7830</v>
      </c>
      <c r="E13" s="101">
        <v>7667</v>
      </c>
      <c r="F13" s="101">
        <v>10596.25</v>
      </c>
      <c r="G13" s="101">
        <v>12210.909999999998</v>
      </c>
      <c r="H13" s="101">
        <f>G13</f>
        <v>12210.909999999998</v>
      </c>
    </row>
    <row r="14" spans="1:8" x14ac:dyDescent="0.2">
      <c r="A14" s="258" t="s">
        <v>104</v>
      </c>
      <c r="B14" s="33" t="s">
        <v>70</v>
      </c>
      <c r="C14" s="71">
        <v>37880</v>
      </c>
      <c r="D14" s="101">
        <v>34050</v>
      </c>
      <c r="E14" s="101">
        <v>33735</v>
      </c>
      <c r="F14" s="101">
        <v>32999.97</v>
      </c>
      <c r="G14" s="101">
        <v>27693.199999999997</v>
      </c>
      <c r="H14" s="101">
        <v>28352.02</v>
      </c>
    </row>
    <row r="15" spans="1:8" x14ac:dyDescent="0.2">
      <c r="B15" s="33" t="s">
        <v>71</v>
      </c>
      <c r="C15" s="71">
        <v>4069</v>
      </c>
      <c r="D15" s="71">
        <v>8280</v>
      </c>
      <c r="E15" s="101">
        <v>29920</v>
      </c>
      <c r="F15" s="101">
        <v>12510</v>
      </c>
      <c r="G15" s="101">
        <v>6930</v>
      </c>
      <c r="H15" s="101">
        <v>24372.86</v>
      </c>
    </row>
    <row r="16" spans="1:8" x14ac:dyDescent="0.2">
      <c r="A16" s="33" t="s">
        <v>11</v>
      </c>
      <c r="C16" s="259">
        <f>SUM(C6:C14)</f>
        <v>1785704</v>
      </c>
      <c r="D16" s="259">
        <f>SUM(D6:D15)</f>
        <v>1787502</v>
      </c>
      <c r="E16" s="259">
        <f>SUM(E6:E15)</f>
        <v>2005944.84</v>
      </c>
      <c r="F16" s="259">
        <f>SUM(F6:F15)</f>
        <v>2050856.39</v>
      </c>
      <c r="G16" s="259">
        <f>SUM(G6:G15)</f>
        <v>2079344.87</v>
      </c>
      <c r="H16" s="259">
        <f>SUM(H6:H15)</f>
        <v>2044597.2000000007</v>
      </c>
    </row>
    <row r="17" spans="1:8" x14ac:dyDescent="0.2">
      <c r="F17" s="101"/>
      <c r="G17" s="101"/>
      <c r="H17" s="101"/>
    </row>
    <row r="18" spans="1:8" x14ac:dyDescent="0.2">
      <c r="F18" s="101"/>
      <c r="G18" s="101"/>
      <c r="H18" s="101"/>
    </row>
    <row r="19" spans="1:8" ht="15" x14ac:dyDescent="0.25">
      <c r="A19" s="256" t="s">
        <v>245</v>
      </c>
    </row>
    <row r="20" spans="1:8" ht="15" x14ac:dyDescent="0.25">
      <c r="C20" s="262">
        <v>2008</v>
      </c>
      <c r="D20" s="262">
        <v>2009</v>
      </c>
      <c r="E20" s="257">
        <v>2010</v>
      </c>
      <c r="F20" s="257">
        <v>2011</v>
      </c>
      <c r="G20" s="257">
        <v>2012</v>
      </c>
      <c r="H20" s="257">
        <v>2013</v>
      </c>
    </row>
    <row r="21" spans="1:8" ht="15" x14ac:dyDescent="0.25">
      <c r="A21" s="256" t="s">
        <v>242</v>
      </c>
      <c r="B21" s="256" t="s">
        <v>243</v>
      </c>
      <c r="C21" s="257" t="s">
        <v>164</v>
      </c>
      <c r="D21" s="257" t="s">
        <v>164</v>
      </c>
      <c r="E21" s="257" t="s">
        <v>164</v>
      </c>
      <c r="F21" s="257" t="s">
        <v>164</v>
      </c>
      <c r="G21" s="257" t="s">
        <v>164</v>
      </c>
      <c r="H21" s="257" t="s">
        <v>164</v>
      </c>
    </row>
    <row r="22" spans="1:8" x14ac:dyDescent="0.2">
      <c r="A22" s="258" t="s">
        <v>106</v>
      </c>
      <c r="B22" s="33" t="s">
        <v>70</v>
      </c>
      <c r="C22" s="101">
        <v>1764940</v>
      </c>
      <c r="D22" s="71">
        <v>1749584</v>
      </c>
      <c r="E22" s="101">
        <v>1607727</v>
      </c>
      <c r="F22" s="101">
        <v>1826404</v>
      </c>
      <c r="G22" s="101">
        <v>1770935</v>
      </c>
      <c r="H22" s="101">
        <v>1823409</v>
      </c>
    </row>
    <row r="23" spans="1:8" x14ac:dyDescent="0.2">
      <c r="A23" s="258"/>
      <c r="B23" s="33" t="s">
        <v>71</v>
      </c>
      <c r="C23" s="101">
        <v>458287</v>
      </c>
      <c r="D23" s="71">
        <v>516008</v>
      </c>
      <c r="E23" s="101">
        <v>670650</v>
      </c>
      <c r="F23" s="101">
        <v>335668</v>
      </c>
      <c r="G23" s="101">
        <v>249984.00000000003</v>
      </c>
      <c r="H23" s="101">
        <v>217892</v>
      </c>
    </row>
    <row r="24" spans="1:8" x14ac:dyDescent="0.2">
      <c r="A24" s="258"/>
      <c r="B24" s="33" t="s">
        <v>72</v>
      </c>
      <c r="C24" s="101">
        <v>174460</v>
      </c>
      <c r="D24" s="71">
        <v>70720</v>
      </c>
      <c r="E24" s="101">
        <v>710920</v>
      </c>
      <c r="F24" s="101">
        <v>831960</v>
      </c>
      <c r="G24" s="101">
        <v>838860</v>
      </c>
      <c r="H24" s="101">
        <v>807920</v>
      </c>
    </row>
    <row r="25" spans="1:8" x14ac:dyDescent="0.2">
      <c r="A25" s="258" t="s">
        <v>105</v>
      </c>
      <c r="B25" s="33" t="s">
        <v>70</v>
      </c>
      <c r="C25" s="101">
        <v>40303</v>
      </c>
      <c r="D25" s="71">
        <v>44356</v>
      </c>
      <c r="E25" s="101">
        <v>39541</v>
      </c>
      <c r="F25" s="101">
        <v>36332</v>
      </c>
      <c r="G25" s="101">
        <v>34441</v>
      </c>
      <c r="H25" s="101">
        <f>G25</f>
        <v>34441</v>
      </c>
    </row>
    <row r="26" spans="1:8" x14ac:dyDescent="0.2">
      <c r="A26" s="258" t="s">
        <v>104</v>
      </c>
      <c r="B26" s="33" t="s">
        <v>70</v>
      </c>
      <c r="C26" s="101">
        <v>317659</v>
      </c>
      <c r="D26" s="71">
        <v>117478</v>
      </c>
      <c r="E26" s="101">
        <v>115641</v>
      </c>
      <c r="F26" s="101">
        <v>106860</v>
      </c>
      <c r="G26" s="101">
        <v>104598.36</v>
      </c>
      <c r="H26" s="101">
        <v>97213.900000000009</v>
      </c>
    </row>
    <row r="27" spans="1:8" x14ac:dyDescent="0.2">
      <c r="B27" s="33" t="s">
        <v>71</v>
      </c>
      <c r="C27" s="101">
        <v>16604</v>
      </c>
      <c r="D27" s="71">
        <v>25004</v>
      </c>
      <c r="E27" s="101">
        <v>19492</v>
      </c>
      <c r="F27" s="101">
        <v>22715</v>
      </c>
      <c r="G27" s="101">
        <v>26674.83</v>
      </c>
      <c r="H27" s="101">
        <v>28686.160000000003</v>
      </c>
    </row>
    <row r="28" spans="1:8" x14ac:dyDescent="0.2">
      <c r="C28" s="259">
        <f t="shared" ref="C28:H28" si="0">SUM(C22:C27)</f>
        <v>2772253</v>
      </c>
      <c r="D28" s="259">
        <f t="shared" si="0"/>
        <v>2523150</v>
      </c>
      <c r="E28" s="259">
        <f t="shared" si="0"/>
        <v>3163971</v>
      </c>
      <c r="F28" s="259">
        <f t="shared" si="0"/>
        <v>3159939</v>
      </c>
      <c r="G28" s="259">
        <f t="shared" si="0"/>
        <v>3025493.19</v>
      </c>
      <c r="H28" s="259">
        <f t="shared" si="0"/>
        <v>3009562.06</v>
      </c>
    </row>
    <row r="31" spans="1:8" ht="13.5" thickBot="1" x14ac:dyDescent="0.25">
      <c r="A31" s="33" t="s">
        <v>248</v>
      </c>
      <c r="C31" s="261">
        <f t="shared" ref="C31:H31" si="1">C16-C28</f>
        <v>-986549</v>
      </c>
      <c r="D31" s="261">
        <f t="shared" si="1"/>
        <v>-735648</v>
      </c>
      <c r="E31" s="261">
        <f t="shared" si="1"/>
        <v>-1158026.1599999999</v>
      </c>
      <c r="F31" s="261">
        <f t="shared" si="1"/>
        <v>-1109082.6100000001</v>
      </c>
      <c r="G31" s="261">
        <f t="shared" si="1"/>
        <v>-946148.31999999983</v>
      </c>
      <c r="H31" s="261">
        <f t="shared" si="1"/>
        <v>-964964.8599999994</v>
      </c>
    </row>
    <row r="32" spans="1:8" ht="13.5" thickTop="1" x14ac:dyDescent="0.2"/>
    <row r="33" spans="1:3" x14ac:dyDescent="0.2">
      <c r="A33" s="263" t="s">
        <v>249</v>
      </c>
      <c r="B33" s="263"/>
      <c r="C33" s="263" t="s">
        <v>250</v>
      </c>
    </row>
    <row r="34" spans="1:3" x14ac:dyDescent="0.2">
      <c r="A34" s="2">
        <v>39448</v>
      </c>
      <c r="C34" s="101">
        <f>$C$31/12</f>
        <v>-82212.416666666672</v>
      </c>
    </row>
    <row r="35" spans="1:3" x14ac:dyDescent="0.2">
      <c r="A35" s="2">
        <v>39479</v>
      </c>
      <c r="C35" s="101">
        <f t="shared" ref="C35:C45" si="2">$C$31/12</f>
        <v>-82212.416666666672</v>
      </c>
    </row>
    <row r="36" spans="1:3" x14ac:dyDescent="0.2">
      <c r="A36" s="2">
        <v>39508</v>
      </c>
      <c r="C36" s="101">
        <f t="shared" si="2"/>
        <v>-82212.416666666672</v>
      </c>
    </row>
    <row r="37" spans="1:3" x14ac:dyDescent="0.2">
      <c r="A37" s="2">
        <v>39539</v>
      </c>
      <c r="C37" s="101">
        <f t="shared" si="2"/>
        <v>-82212.416666666672</v>
      </c>
    </row>
    <row r="38" spans="1:3" x14ac:dyDescent="0.2">
      <c r="A38" s="2">
        <v>39569</v>
      </c>
      <c r="C38" s="101">
        <f t="shared" si="2"/>
        <v>-82212.416666666672</v>
      </c>
    </row>
    <row r="39" spans="1:3" x14ac:dyDescent="0.2">
      <c r="A39" s="2">
        <v>39600</v>
      </c>
      <c r="C39" s="101">
        <f t="shared" si="2"/>
        <v>-82212.416666666672</v>
      </c>
    </row>
    <row r="40" spans="1:3" x14ac:dyDescent="0.2">
      <c r="A40" s="2">
        <v>39630</v>
      </c>
      <c r="C40" s="101">
        <f t="shared" si="2"/>
        <v>-82212.416666666672</v>
      </c>
    </row>
    <row r="41" spans="1:3" x14ac:dyDescent="0.2">
      <c r="A41" s="2">
        <v>39661</v>
      </c>
      <c r="C41" s="101">
        <f t="shared" si="2"/>
        <v>-82212.416666666672</v>
      </c>
    </row>
    <row r="42" spans="1:3" x14ac:dyDescent="0.2">
      <c r="A42" s="2">
        <v>39692</v>
      </c>
      <c r="C42" s="101">
        <f t="shared" si="2"/>
        <v>-82212.416666666672</v>
      </c>
    </row>
    <row r="43" spans="1:3" x14ac:dyDescent="0.2">
      <c r="A43" s="2">
        <v>39722</v>
      </c>
      <c r="C43" s="101">
        <f t="shared" si="2"/>
        <v>-82212.416666666672</v>
      </c>
    </row>
    <row r="44" spans="1:3" x14ac:dyDescent="0.2">
      <c r="A44" s="2">
        <v>39753</v>
      </c>
      <c r="C44" s="101">
        <f t="shared" si="2"/>
        <v>-82212.416666666672</v>
      </c>
    </row>
    <row r="45" spans="1:3" x14ac:dyDescent="0.2">
      <c r="A45" s="2">
        <v>39783</v>
      </c>
      <c r="C45" s="101">
        <f t="shared" si="2"/>
        <v>-82212.416666666672</v>
      </c>
    </row>
    <row r="46" spans="1:3" x14ac:dyDescent="0.2">
      <c r="A46" s="2">
        <v>39814</v>
      </c>
      <c r="C46" s="101">
        <f>$D$31/12</f>
        <v>-61304</v>
      </c>
    </row>
    <row r="47" spans="1:3" x14ac:dyDescent="0.2">
      <c r="A47" s="2">
        <v>39845</v>
      </c>
      <c r="C47" s="101">
        <f t="shared" ref="C47:C57" si="3">$D$31/12</f>
        <v>-61304</v>
      </c>
    </row>
    <row r="48" spans="1:3" x14ac:dyDescent="0.2">
      <c r="A48" s="2">
        <v>39873</v>
      </c>
      <c r="C48" s="101">
        <f t="shared" si="3"/>
        <v>-61304</v>
      </c>
    </row>
    <row r="49" spans="1:3" x14ac:dyDescent="0.2">
      <c r="A49" s="2">
        <v>39904</v>
      </c>
      <c r="C49" s="101">
        <f t="shared" si="3"/>
        <v>-61304</v>
      </c>
    </row>
    <row r="50" spans="1:3" x14ac:dyDescent="0.2">
      <c r="A50" s="2">
        <v>39934</v>
      </c>
      <c r="C50" s="101">
        <f t="shared" si="3"/>
        <v>-61304</v>
      </c>
    </row>
    <row r="51" spans="1:3" x14ac:dyDescent="0.2">
      <c r="A51" s="2">
        <v>39965</v>
      </c>
      <c r="C51" s="101">
        <f t="shared" si="3"/>
        <v>-61304</v>
      </c>
    </row>
    <row r="52" spans="1:3" x14ac:dyDescent="0.2">
      <c r="A52" s="2">
        <v>39995</v>
      </c>
      <c r="C52" s="101">
        <f t="shared" si="3"/>
        <v>-61304</v>
      </c>
    </row>
    <row r="53" spans="1:3" x14ac:dyDescent="0.2">
      <c r="A53" s="2">
        <v>40026</v>
      </c>
      <c r="C53" s="101">
        <f t="shared" si="3"/>
        <v>-61304</v>
      </c>
    </row>
    <row r="54" spans="1:3" x14ac:dyDescent="0.2">
      <c r="A54" s="2">
        <v>40057</v>
      </c>
      <c r="C54" s="101">
        <f t="shared" si="3"/>
        <v>-61304</v>
      </c>
    </row>
    <row r="55" spans="1:3" x14ac:dyDescent="0.2">
      <c r="A55" s="2">
        <v>40087</v>
      </c>
      <c r="C55" s="101">
        <f t="shared" si="3"/>
        <v>-61304</v>
      </c>
    </row>
    <row r="56" spans="1:3" x14ac:dyDescent="0.2">
      <c r="A56" s="2">
        <v>40118</v>
      </c>
      <c r="C56" s="101">
        <f t="shared" si="3"/>
        <v>-61304</v>
      </c>
    </row>
    <row r="57" spans="1:3" x14ac:dyDescent="0.2">
      <c r="A57" s="2">
        <v>40148</v>
      </c>
      <c r="C57" s="101">
        <f t="shared" si="3"/>
        <v>-61304</v>
      </c>
    </row>
    <row r="58" spans="1:3" x14ac:dyDescent="0.2">
      <c r="A58" s="32">
        <v>40179</v>
      </c>
      <c r="C58" s="260">
        <f>$E$31/12</f>
        <v>-96502.18</v>
      </c>
    </row>
    <row r="59" spans="1:3" x14ac:dyDescent="0.2">
      <c r="A59" s="32">
        <v>40210</v>
      </c>
      <c r="C59" s="260">
        <f t="shared" ref="C59:C69" si="4">$E$31/12</f>
        <v>-96502.18</v>
      </c>
    </row>
    <row r="60" spans="1:3" x14ac:dyDescent="0.2">
      <c r="A60" s="32">
        <v>40238</v>
      </c>
      <c r="C60" s="260">
        <f t="shared" si="4"/>
        <v>-96502.18</v>
      </c>
    </row>
    <row r="61" spans="1:3" x14ac:dyDescent="0.2">
      <c r="A61" s="32">
        <v>40269</v>
      </c>
      <c r="C61" s="260">
        <f t="shared" si="4"/>
        <v>-96502.18</v>
      </c>
    </row>
    <row r="62" spans="1:3" x14ac:dyDescent="0.2">
      <c r="A62" s="32">
        <v>40299</v>
      </c>
      <c r="C62" s="260">
        <f t="shared" si="4"/>
        <v>-96502.18</v>
      </c>
    </row>
    <row r="63" spans="1:3" x14ac:dyDescent="0.2">
      <c r="A63" s="32">
        <v>40330</v>
      </c>
      <c r="C63" s="260">
        <f t="shared" si="4"/>
        <v>-96502.18</v>
      </c>
    </row>
    <row r="64" spans="1:3" x14ac:dyDescent="0.2">
      <c r="A64" s="32">
        <v>40360</v>
      </c>
      <c r="C64" s="260">
        <f t="shared" si="4"/>
        <v>-96502.18</v>
      </c>
    </row>
    <row r="65" spans="1:3" x14ac:dyDescent="0.2">
      <c r="A65" s="32">
        <v>40391</v>
      </c>
      <c r="C65" s="260">
        <f t="shared" si="4"/>
        <v>-96502.18</v>
      </c>
    </row>
    <row r="66" spans="1:3" x14ac:dyDescent="0.2">
      <c r="A66" s="32">
        <v>40422</v>
      </c>
      <c r="C66" s="260">
        <f t="shared" si="4"/>
        <v>-96502.18</v>
      </c>
    </row>
    <row r="67" spans="1:3" x14ac:dyDescent="0.2">
      <c r="A67" s="32">
        <v>40452</v>
      </c>
      <c r="C67" s="260">
        <f t="shared" si="4"/>
        <v>-96502.18</v>
      </c>
    </row>
    <row r="68" spans="1:3" x14ac:dyDescent="0.2">
      <c r="A68" s="32">
        <v>40483</v>
      </c>
      <c r="C68" s="260">
        <f t="shared" si="4"/>
        <v>-96502.18</v>
      </c>
    </row>
    <row r="69" spans="1:3" x14ac:dyDescent="0.2">
      <c r="A69" s="32">
        <v>40513</v>
      </c>
      <c r="C69" s="260">
        <f t="shared" si="4"/>
        <v>-96502.18</v>
      </c>
    </row>
    <row r="70" spans="1:3" x14ac:dyDescent="0.2">
      <c r="A70" s="32">
        <v>40544</v>
      </c>
      <c r="C70" s="260">
        <f t="shared" ref="C70:C81" si="5">$F$31/12</f>
        <v>-92423.550833333342</v>
      </c>
    </row>
    <row r="71" spans="1:3" x14ac:dyDescent="0.2">
      <c r="A71" s="32">
        <v>40575</v>
      </c>
      <c r="C71" s="260">
        <f t="shared" si="5"/>
        <v>-92423.550833333342</v>
      </c>
    </row>
    <row r="72" spans="1:3" x14ac:dyDescent="0.2">
      <c r="A72" s="32">
        <v>40603</v>
      </c>
      <c r="C72" s="260">
        <f t="shared" si="5"/>
        <v>-92423.550833333342</v>
      </c>
    </row>
    <row r="73" spans="1:3" x14ac:dyDescent="0.2">
      <c r="A73" s="32">
        <v>40634</v>
      </c>
      <c r="C73" s="260">
        <f t="shared" si="5"/>
        <v>-92423.550833333342</v>
      </c>
    </row>
    <row r="74" spans="1:3" x14ac:dyDescent="0.2">
      <c r="A74" s="32">
        <v>40664</v>
      </c>
      <c r="C74" s="260">
        <f t="shared" si="5"/>
        <v>-92423.550833333342</v>
      </c>
    </row>
    <row r="75" spans="1:3" x14ac:dyDescent="0.2">
      <c r="A75" s="32">
        <v>40695</v>
      </c>
      <c r="C75" s="260">
        <f t="shared" si="5"/>
        <v>-92423.550833333342</v>
      </c>
    </row>
    <row r="76" spans="1:3" x14ac:dyDescent="0.2">
      <c r="A76" s="32">
        <v>40725</v>
      </c>
      <c r="C76" s="260">
        <f t="shared" si="5"/>
        <v>-92423.550833333342</v>
      </c>
    </row>
    <row r="77" spans="1:3" x14ac:dyDescent="0.2">
      <c r="A77" s="32">
        <v>40756</v>
      </c>
      <c r="C77" s="260">
        <f t="shared" si="5"/>
        <v>-92423.550833333342</v>
      </c>
    </row>
    <row r="78" spans="1:3" x14ac:dyDescent="0.2">
      <c r="A78" s="32">
        <v>40787</v>
      </c>
      <c r="C78" s="260">
        <f t="shared" si="5"/>
        <v>-92423.550833333342</v>
      </c>
    </row>
    <row r="79" spans="1:3" x14ac:dyDescent="0.2">
      <c r="A79" s="32">
        <v>40817</v>
      </c>
      <c r="C79" s="260">
        <f t="shared" si="5"/>
        <v>-92423.550833333342</v>
      </c>
    </row>
    <row r="80" spans="1:3" x14ac:dyDescent="0.2">
      <c r="A80" s="32">
        <v>40848</v>
      </c>
      <c r="C80" s="260">
        <f t="shared" si="5"/>
        <v>-92423.550833333342</v>
      </c>
    </row>
    <row r="81" spans="1:3" x14ac:dyDescent="0.2">
      <c r="A81" s="32">
        <v>40878</v>
      </c>
      <c r="C81" s="260">
        <f t="shared" si="5"/>
        <v>-92423.550833333342</v>
      </c>
    </row>
    <row r="82" spans="1:3" x14ac:dyDescent="0.2">
      <c r="A82" s="32">
        <v>40909</v>
      </c>
      <c r="C82" s="260">
        <f t="shared" ref="C82:C93" si="6">$G$31/12</f>
        <v>-78845.693333333315</v>
      </c>
    </row>
    <row r="83" spans="1:3" x14ac:dyDescent="0.2">
      <c r="A83" s="32">
        <v>40940</v>
      </c>
      <c r="C83" s="260">
        <f t="shared" si="6"/>
        <v>-78845.693333333315</v>
      </c>
    </row>
    <row r="84" spans="1:3" x14ac:dyDescent="0.2">
      <c r="A84" s="32">
        <v>40969</v>
      </c>
      <c r="C84" s="260">
        <f t="shared" si="6"/>
        <v>-78845.693333333315</v>
      </c>
    </row>
    <row r="85" spans="1:3" x14ac:dyDescent="0.2">
      <c r="A85" s="32">
        <v>41000</v>
      </c>
      <c r="C85" s="260">
        <f t="shared" si="6"/>
        <v>-78845.693333333315</v>
      </c>
    </row>
    <row r="86" spans="1:3" x14ac:dyDescent="0.2">
      <c r="A86" s="32">
        <v>41030</v>
      </c>
      <c r="C86" s="260">
        <f t="shared" si="6"/>
        <v>-78845.693333333315</v>
      </c>
    </row>
    <row r="87" spans="1:3" x14ac:dyDescent="0.2">
      <c r="A87" s="32">
        <v>41061</v>
      </c>
      <c r="C87" s="260">
        <f t="shared" si="6"/>
        <v>-78845.693333333315</v>
      </c>
    </row>
    <row r="88" spans="1:3" x14ac:dyDescent="0.2">
      <c r="A88" s="32">
        <v>41091</v>
      </c>
      <c r="C88" s="260">
        <f t="shared" si="6"/>
        <v>-78845.693333333315</v>
      </c>
    </row>
    <row r="89" spans="1:3" x14ac:dyDescent="0.2">
      <c r="A89" s="32">
        <v>41122</v>
      </c>
      <c r="C89" s="260">
        <f t="shared" si="6"/>
        <v>-78845.693333333315</v>
      </c>
    </row>
    <row r="90" spans="1:3" x14ac:dyDescent="0.2">
      <c r="A90" s="32">
        <v>41153</v>
      </c>
      <c r="C90" s="260">
        <f t="shared" si="6"/>
        <v>-78845.693333333315</v>
      </c>
    </row>
    <row r="91" spans="1:3" x14ac:dyDescent="0.2">
      <c r="A91" s="32">
        <v>41183</v>
      </c>
      <c r="C91" s="260">
        <f t="shared" si="6"/>
        <v>-78845.693333333315</v>
      </c>
    </row>
    <row r="92" spans="1:3" x14ac:dyDescent="0.2">
      <c r="A92" s="32">
        <v>41214</v>
      </c>
      <c r="C92" s="260">
        <f t="shared" si="6"/>
        <v>-78845.693333333315</v>
      </c>
    </row>
    <row r="93" spans="1:3" x14ac:dyDescent="0.2">
      <c r="A93" s="32">
        <v>41244</v>
      </c>
      <c r="C93" s="260">
        <f t="shared" si="6"/>
        <v>-78845.693333333315</v>
      </c>
    </row>
    <row r="94" spans="1:3" x14ac:dyDescent="0.2">
      <c r="A94" s="32">
        <v>41275</v>
      </c>
      <c r="C94" s="260">
        <f t="shared" ref="C94:C105" si="7">$H$31/12</f>
        <v>-80413.738333333284</v>
      </c>
    </row>
    <row r="95" spans="1:3" x14ac:dyDescent="0.2">
      <c r="A95" s="32">
        <v>41306</v>
      </c>
      <c r="C95" s="260">
        <f t="shared" si="7"/>
        <v>-80413.738333333284</v>
      </c>
    </row>
    <row r="96" spans="1:3" x14ac:dyDescent="0.2">
      <c r="A96" s="32">
        <v>41334</v>
      </c>
      <c r="C96" s="260">
        <f t="shared" si="7"/>
        <v>-80413.738333333284</v>
      </c>
    </row>
    <row r="97" spans="1:3" x14ac:dyDescent="0.2">
      <c r="A97" s="32">
        <v>41365</v>
      </c>
      <c r="C97" s="260">
        <f t="shared" si="7"/>
        <v>-80413.738333333284</v>
      </c>
    </row>
    <row r="98" spans="1:3" x14ac:dyDescent="0.2">
      <c r="A98" s="32">
        <v>41395</v>
      </c>
      <c r="C98" s="260">
        <f t="shared" si="7"/>
        <v>-80413.738333333284</v>
      </c>
    </row>
    <row r="99" spans="1:3" x14ac:dyDescent="0.2">
      <c r="A99" s="32">
        <v>41426</v>
      </c>
      <c r="C99" s="260">
        <f t="shared" si="7"/>
        <v>-80413.738333333284</v>
      </c>
    </row>
    <row r="100" spans="1:3" x14ac:dyDescent="0.2">
      <c r="A100" s="32">
        <v>41456</v>
      </c>
      <c r="C100" s="260">
        <f t="shared" si="7"/>
        <v>-80413.738333333284</v>
      </c>
    </row>
    <row r="101" spans="1:3" x14ac:dyDescent="0.2">
      <c r="A101" s="32">
        <v>41487</v>
      </c>
      <c r="C101" s="260">
        <f t="shared" si="7"/>
        <v>-80413.738333333284</v>
      </c>
    </row>
    <row r="102" spans="1:3" x14ac:dyDescent="0.2">
      <c r="A102" s="32">
        <v>41518</v>
      </c>
      <c r="C102" s="260">
        <f t="shared" si="7"/>
        <v>-80413.738333333284</v>
      </c>
    </row>
    <row r="103" spans="1:3" x14ac:dyDescent="0.2">
      <c r="A103" s="32">
        <v>41548</v>
      </c>
      <c r="C103" s="260">
        <f t="shared" si="7"/>
        <v>-80413.738333333284</v>
      </c>
    </row>
    <row r="104" spans="1:3" x14ac:dyDescent="0.2">
      <c r="A104" s="32">
        <v>41579</v>
      </c>
      <c r="C104" s="260">
        <f t="shared" si="7"/>
        <v>-80413.738333333284</v>
      </c>
    </row>
    <row r="105" spans="1:3" x14ac:dyDescent="0.2">
      <c r="A105" s="32">
        <v>41609</v>
      </c>
      <c r="C105" s="260">
        <f t="shared" si="7"/>
        <v>-80413.738333333284</v>
      </c>
    </row>
  </sheetData>
  <pageMargins left="0.35" right="0.28999999999999998" top="0.75" bottom="0.53" header="0.3" footer="0.3"/>
  <pageSetup scale="9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workbookViewId="0">
      <selection activeCell="E19" sqref="E19"/>
    </sheetView>
  </sheetViews>
  <sheetFormatPr defaultRowHeight="12.75" x14ac:dyDescent="0.2"/>
  <cols>
    <col min="1" max="1" width="9" customWidth="1"/>
    <col min="2" max="2" width="17.7109375" customWidth="1"/>
    <col min="3" max="3" width="17.28515625" bestFit="1" customWidth="1"/>
    <col min="4" max="4" width="3.7109375" customWidth="1"/>
    <col min="5" max="5" width="8.5703125" bestFit="1" customWidth="1"/>
    <col min="6" max="7" width="9.7109375" bestFit="1" customWidth="1"/>
    <col min="8" max="13" width="12.85546875" bestFit="1" customWidth="1"/>
    <col min="14" max="14" width="12.7109375" bestFit="1" customWidth="1"/>
  </cols>
  <sheetData>
    <row r="1" spans="1:14" ht="23.25" x14ac:dyDescent="0.2">
      <c r="A1" s="103" t="s">
        <v>121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5.75" x14ac:dyDescent="0.2">
      <c r="A2" s="105" t="s">
        <v>122</v>
      </c>
      <c r="B2" s="104"/>
      <c r="C2" s="104"/>
      <c r="D2" s="104"/>
      <c r="E2" s="104"/>
    </row>
    <row r="3" spans="1:14" x14ac:dyDescent="0.2">
      <c r="A3" s="104"/>
      <c r="B3" s="104"/>
      <c r="C3" s="104"/>
      <c r="D3" s="104"/>
      <c r="E3" s="104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5.75" x14ac:dyDescent="0.2">
      <c r="A4" s="105" t="s">
        <v>123</v>
      </c>
      <c r="B4" s="105" t="s">
        <v>124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x14ac:dyDescent="0.2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5.75" x14ac:dyDescent="0.2">
      <c r="A6" s="107" t="s">
        <v>125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ht="15.75" x14ac:dyDescent="0.2">
      <c r="A7" s="108" t="s">
        <v>126</v>
      </c>
      <c r="B7" s="108" t="s">
        <v>127</v>
      </c>
      <c r="C7" s="108" t="s">
        <v>128</v>
      </c>
      <c r="D7" s="109"/>
      <c r="E7" s="110">
        <v>2006</v>
      </c>
      <c r="F7" s="110">
        <f>E7+1</f>
        <v>2007</v>
      </c>
      <c r="G7" s="110">
        <f t="shared" ref="G7:N7" si="0">F7+1</f>
        <v>2008</v>
      </c>
      <c r="H7" s="110">
        <f t="shared" si="0"/>
        <v>2009</v>
      </c>
      <c r="I7" s="110">
        <f t="shared" si="0"/>
        <v>2010</v>
      </c>
      <c r="J7" s="110">
        <f t="shared" si="0"/>
        <v>2011</v>
      </c>
      <c r="K7" s="110">
        <f t="shared" si="0"/>
        <v>2012</v>
      </c>
      <c r="L7" s="110">
        <f t="shared" si="0"/>
        <v>2013</v>
      </c>
      <c r="M7" s="110">
        <f t="shared" si="0"/>
        <v>2014</v>
      </c>
      <c r="N7" s="110">
        <f t="shared" si="0"/>
        <v>2015</v>
      </c>
    </row>
    <row r="8" spans="1:14" ht="15" x14ac:dyDescent="0.2">
      <c r="A8" s="111"/>
      <c r="B8" s="111"/>
      <c r="C8" s="111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5" x14ac:dyDescent="0.2">
      <c r="A9" s="113">
        <v>1</v>
      </c>
      <c r="B9" s="114" t="s">
        <v>129</v>
      </c>
      <c r="C9" s="115" t="s">
        <v>130</v>
      </c>
      <c r="D9" s="111"/>
      <c r="E9" s="116">
        <v>3.0900596116527574</v>
      </c>
      <c r="F9" s="117">
        <v>0.20394052426837597</v>
      </c>
      <c r="G9" s="117">
        <v>0.20394052426837597</v>
      </c>
      <c r="H9" s="117">
        <v>0.20394052426837597</v>
      </c>
      <c r="I9" s="117">
        <v>0.20394052426837597</v>
      </c>
      <c r="J9" s="117">
        <v>0.20394052426837597</v>
      </c>
      <c r="K9" s="117">
        <v>0.18980366051913111</v>
      </c>
      <c r="L9" s="117">
        <v>0.18980366051913111</v>
      </c>
      <c r="M9" s="117">
        <v>0.14844914543099025</v>
      </c>
      <c r="N9" s="117">
        <v>0.14844914543099025</v>
      </c>
    </row>
    <row r="10" spans="1:14" ht="15" x14ac:dyDescent="0.2">
      <c r="A10" s="118">
        <f>A9+1</f>
        <v>2</v>
      </c>
      <c r="B10" s="119" t="s">
        <v>131</v>
      </c>
      <c r="C10" s="120" t="s">
        <v>130</v>
      </c>
      <c r="D10" s="111"/>
      <c r="E10" s="121">
        <v>0</v>
      </c>
      <c r="F10" s="122">
        <v>4.7647800919719501</v>
      </c>
      <c r="G10" s="122">
        <v>0.53588495214052212</v>
      </c>
      <c r="H10" s="122">
        <v>0.38799770478701384</v>
      </c>
      <c r="I10" s="122">
        <v>0.38799770478701384</v>
      </c>
      <c r="J10" s="122">
        <v>0.38606140406914019</v>
      </c>
      <c r="K10" s="122">
        <v>0.37122513647520222</v>
      </c>
      <c r="L10" s="122">
        <v>0.37122513647520222</v>
      </c>
      <c r="M10" s="122">
        <v>0.37122513647520222</v>
      </c>
      <c r="N10" s="122">
        <v>0.32961677365270603</v>
      </c>
    </row>
    <row r="11" spans="1:14" ht="15" x14ac:dyDescent="0.2">
      <c r="A11" s="123">
        <f>A10+1</f>
        <v>3</v>
      </c>
      <c r="B11" s="124" t="s">
        <v>132</v>
      </c>
      <c r="C11" s="125" t="s">
        <v>130</v>
      </c>
      <c r="D11" s="111"/>
      <c r="E11" s="126">
        <v>0</v>
      </c>
      <c r="F11" s="127">
        <v>0</v>
      </c>
      <c r="G11" s="127">
        <v>6.6748865333468501</v>
      </c>
      <c r="H11" s="127">
        <v>1.0099427187712531</v>
      </c>
      <c r="I11" s="127">
        <v>1.0099427187712531</v>
      </c>
      <c r="J11" s="127">
        <v>1.0099427187712531</v>
      </c>
      <c r="K11" s="127">
        <v>1.0039607739385992</v>
      </c>
      <c r="L11" s="127">
        <v>1.0039607739385992</v>
      </c>
      <c r="M11" s="127">
        <v>0.99117244460550447</v>
      </c>
      <c r="N11" s="127">
        <v>0.9868531366324117</v>
      </c>
    </row>
    <row r="12" spans="1:14" ht="15" x14ac:dyDescent="0.2">
      <c r="A12" s="118">
        <f>A11+1</f>
        <v>4</v>
      </c>
      <c r="B12" s="119" t="s">
        <v>133</v>
      </c>
      <c r="C12" s="120" t="s">
        <v>130</v>
      </c>
      <c r="D12" s="111"/>
      <c r="E12" s="121">
        <v>0</v>
      </c>
      <c r="F12" s="122">
        <v>0</v>
      </c>
      <c r="G12" s="122">
        <v>0</v>
      </c>
      <c r="H12" s="122">
        <v>5.7504709008138946</v>
      </c>
      <c r="I12" s="122">
        <v>0.87196607290322325</v>
      </c>
      <c r="J12" s="122">
        <v>0.87196607290322325</v>
      </c>
      <c r="K12" s="122">
        <v>0.87005085168625906</v>
      </c>
      <c r="L12" s="122">
        <v>0.85557014012920551</v>
      </c>
      <c r="M12" s="122">
        <v>0.82564912704119808</v>
      </c>
      <c r="N12" s="122">
        <v>0.82200642619318987</v>
      </c>
    </row>
    <row r="13" spans="1:14" ht="15" x14ac:dyDescent="0.2">
      <c r="A13" s="123">
        <f>A12+1</f>
        <v>5</v>
      </c>
      <c r="B13" s="124" t="s">
        <v>134</v>
      </c>
      <c r="C13" s="125" t="s">
        <v>130</v>
      </c>
      <c r="D13" s="111"/>
      <c r="E13" s="126">
        <v>0</v>
      </c>
      <c r="F13" s="127">
        <v>0</v>
      </c>
      <c r="G13" s="127">
        <v>0</v>
      </c>
      <c r="H13" s="127">
        <v>0</v>
      </c>
      <c r="I13" s="127">
        <v>4.869320065473639</v>
      </c>
      <c r="J13" s="127">
        <v>1.0759658694929723</v>
      </c>
      <c r="K13" s="127">
        <v>1.0755352872055102</v>
      </c>
      <c r="L13" s="127">
        <v>1.0728164670534277</v>
      </c>
      <c r="M13" s="127">
        <v>1.0544682006671997</v>
      </c>
      <c r="N13" s="127">
        <v>1.0076427480440666</v>
      </c>
    </row>
    <row r="14" spans="1:14" ht="15.75" x14ac:dyDescent="0.2">
      <c r="A14" s="128" t="s">
        <v>11</v>
      </c>
      <c r="B14" s="129"/>
      <c r="C14" s="130"/>
      <c r="D14" s="109"/>
      <c r="E14" s="131">
        <f>SUM(E9:E13)</f>
        <v>3.0900596116527574</v>
      </c>
      <c r="F14" s="131">
        <f t="shared" ref="F14:N14" si="1">SUM(F9:F13)</f>
        <v>4.9687206162403257</v>
      </c>
      <c r="G14" s="131">
        <f t="shared" si="1"/>
        <v>7.414712009755748</v>
      </c>
      <c r="H14" s="131">
        <f t="shared" si="1"/>
        <v>7.3523518486405379</v>
      </c>
      <c r="I14" s="131">
        <f t="shared" si="1"/>
        <v>7.343167086203505</v>
      </c>
      <c r="J14" s="131">
        <f t="shared" si="1"/>
        <v>3.5478765895049649</v>
      </c>
      <c r="K14" s="131">
        <f t="shared" si="1"/>
        <v>3.5105757098247015</v>
      </c>
      <c r="L14" s="131">
        <f t="shared" si="1"/>
        <v>3.4933761781155654</v>
      </c>
      <c r="M14" s="131">
        <f t="shared" si="1"/>
        <v>3.3909640542200949</v>
      </c>
      <c r="N14" s="131">
        <f t="shared" si="1"/>
        <v>3.2945682299533647</v>
      </c>
    </row>
    <row r="15" spans="1:14" ht="15" x14ac:dyDescent="0.2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5.75" x14ac:dyDescent="0.2">
      <c r="A16" s="107" t="s">
        <v>135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15.75" x14ac:dyDescent="0.2">
      <c r="A17" s="108" t="s">
        <v>126</v>
      </c>
      <c r="B17" s="108" t="s">
        <v>127</v>
      </c>
      <c r="C17" s="108" t="s">
        <v>128</v>
      </c>
      <c r="D17" s="109"/>
      <c r="E17" s="110">
        <v>2006</v>
      </c>
      <c r="F17" s="110">
        <f>E17+1</f>
        <v>2007</v>
      </c>
      <c r="G17" s="110">
        <f t="shared" ref="G17:N17" si="2">F17+1</f>
        <v>2008</v>
      </c>
      <c r="H17" s="110">
        <f t="shared" si="2"/>
        <v>2009</v>
      </c>
      <c r="I17" s="110">
        <f t="shared" si="2"/>
        <v>2010</v>
      </c>
      <c r="J17" s="110">
        <f t="shared" si="2"/>
        <v>2011</v>
      </c>
      <c r="K17" s="110">
        <f t="shared" si="2"/>
        <v>2012</v>
      </c>
      <c r="L17" s="110">
        <f t="shared" si="2"/>
        <v>2013</v>
      </c>
      <c r="M17" s="110">
        <f t="shared" si="2"/>
        <v>2014</v>
      </c>
      <c r="N17" s="110">
        <f t="shared" si="2"/>
        <v>2015</v>
      </c>
    </row>
    <row r="18" spans="1:14" ht="15" x14ac:dyDescent="0.2">
      <c r="A18" s="111"/>
      <c r="B18" s="111"/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15" x14ac:dyDescent="0.2">
      <c r="A19" s="113">
        <v>1</v>
      </c>
      <c r="B19" s="114" t="s">
        <v>129</v>
      </c>
      <c r="C19" s="115" t="s">
        <v>130</v>
      </c>
      <c r="D19" s="111"/>
      <c r="E19" s="132">
        <v>4211.2711894206695</v>
      </c>
      <c r="F19" s="133">
        <v>4211.2711894206695</v>
      </c>
      <c r="G19" s="133">
        <v>4211.2711894206695</v>
      </c>
      <c r="H19" s="133">
        <v>4211.2711894206695</v>
      </c>
      <c r="I19" s="133">
        <v>731.4045573173712</v>
      </c>
      <c r="J19" s="133">
        <v>731.4045573173712</v>
      </c>
      <c r="K19" s="133">
        <v>669.0360407765852</v>
      </c>
      <c r="L19" s="133">
        <v>669.0360407765852</v>
      </c>
      <c r="M19" s="133">
        <v>628.6624414102115</v>
      </c>
      <c r="N19" s="133">
        <v>628.6624414102115</v>
      </c>
    </row>
    <row r="20" spans="1:14" ht="15" x14ac:dyDescent="0.2">
      <c r="A20" s="118">
        <f>A19+1</f>
        <v>2</v>
      </c>
      <c r="B20" s="119" t="s">
        <v>131</v>
      </c>
      <c r="C20" s="120" t="s">
        <v>130</v>
      </c>
      <c r="D20" s="111"/>
      <c r="E20" s="134">
        <v>0</v>
      </c>
      <c r="F20" s="135">
        <v>3589.320779253394</v>
      </c>
      <c r="G20" s="135">
        <v>2152.4742848542305</v>
      </c>
      <c r="H20" s="135">
        <v>1973.5278449982538</v>
      </c>
      <c r="I20" s="135">
        <v>1973.5278449982538</v>
      </c>
      <c r="J20" s="135">
        <v>1973.1137881777531</v>
      </c>
      <c r="K20" s="135">
        <v>1907.7133260000901</v>
      </c>
      <c r="L20" s="135">
        <v>1907.7133260000901</v>
      </c>
      <c r="M20" s="135">
        <v>1907.7133260000901</v>
      </c>
      <c r="N20" s="135">
        <v>653.30380051934378</v>
      </c>
    </row>
    <row r="21" spans="1:14" ht="15" x14ac:dyDescent="0.2">
      <c r="A21" s="123">
        <f>A20+1</f>
        <v>3</v>
      </c>
      <c r="B21" s="124" t="s">
        <v>132</v>
      </c>
      <c r="C21" s="125" t="s">
        <v>130</v>
      </c>
      <c r="D21" s="111"/>
      <c r="E21" s="136">
        <v>0</v>
      </c>
      <c r="F21" s="137">
        <v>0</v>
      </c>
      <c r="G21" s="137">
        <v>3033.0435656290015</v>
      </c>
      <c r="H21" s="137">
        <v>2473.4181596431431</v>
      </c>
      <c r="I21" s="137">
        <v>2473.4181596431431</v>
      </c>
      <c r="J21" s="137">
        <v>2473.4181596431431</v>
      </c>
      <c r="K21" s="137">
        <v>2297.0445242088258</v>
      </c>
      <c r="L21" s="137">
        <v>2296.8317642088259</v>
      </c>
      <c r="M21" s="137">
        <v>2113.3908768638798</v>
      </c>
      <c r="N21" s="137">
        <v>1976.3450002559021</v>
      </c>
    </row>
    <row r="22" spans="1:14" ht="15" x14ac:dyDescent="0.2">
      <c r="A22" s="118">
        <f>A21+1</f>
        <v>4</v>
      </c>
      <c r="B22" s="119" t="s">
        <v>133</v>
      </c>
      <c r="C22" s="120" t="s">
        <v>130</v>
      </c>
      <c r="D22" s="111"/>
      <c r="E22" s="134">
        <v>0</v>
      </c>
      <c r="F22" s="135">
        <v>0</v>
      </c>
      <c r="G22" s="135">
        <v>0</v>
      </c>
      <c r="H22" s="135">
        <v>4448.1444583984758</v>
      </c>
      <c r="I22" s="135">
        <v>3612.829404416103</v>
      </c>
      <c r="J22" s="135">
        <v>3612.829404416103</v>
      </c>
      <c r="K22" s="135">
        <v>3610.7595452963487</v>
      </c>
      <c r="L22" s="135">
        <v>3521.8577742356529</v>
      </c>
      <c r="M22" s="135">
        <v>3287.2266552771703</v>
      </c>
      <c r="N22" s="135">
        <v>3045.2371893965524</v>
      </c>
    </row>
    <row r="23" spans="1:14" ht="15" x14ac:dyDescent="0.2">
      <c r="A23" s="123">
        <f>A22+1</f>
        <v>5</v>
      </c>
      <c r="B23" s="124" t="s">
        <v>134</v>
      </c>
      <c r="C23" s="125" t="s">
        <v>130</v>
      </c>
      <c r="D23" s="111"/>
      <c r="E23" s="136">
        <v>0</v>
      </c>
      <c r="F23" s="137">
        <v>0</v>
      </c>
      <c r="G23" s="137">
        <v>0</v>
      </c>
      <c r="H23" s="137">
        <v>0</v>
      </c>
      <c r="I23" s="137">
        <v>5434.688147549854</v>
      </c>
      <c r="J23" s="137">
        <v>4043.1228357173677</v>
      </c>
      <c r="K23" s="137">
        <v>4037.1916313224883</v>
      </c>
      <c r="L23" s="137">
        <v>4034.5056806207558</v>
      </c>
      <c r="M23" s="137">
        <v>3930.2869081013723</v>
      </c>
      <c r="N23" s="137">
        <v>3510.8753873762926</v>
      </c>
    </row>
    <row r="24" spans="1:14" ht="15.75" x14ac:dyDescent="0.2">
      <c r="A24" s="128" t="s">
        <v>11</v>
      </c>
      <c r="B24" s="129"/>
      <c r="C24" s="130"/>
      <c r="D24" s="109"/>
      <c r="E24" s="138">
        <f>SUM(E19:E23)</f>
        <v>4211.2711894206695</v>
      </c>
      <c r="F24" s="138">
        <f t="shared" ref="F24:N24" si="3">SUM(F19:F23)</f>
        <v>7800.5919686740635</v>
      </c>
      <c r="G24" s="138">
        <f t="shared" si="3"/>
        <v>9396.7890399039006</v>
      </c>
      <c r="H24" s="138">
        <f t="shared" si="3"/>
        <v>13106.361652460542</v>
      </c>
      <c r="I24" s="138">
        <f t="shared" si="3"/>
        <v>14225.868113924726</v>
      </c>
      <c r="J24" s="138">
        <f t="shared" si="3"/>
        <v>12833.888745271739</v>
      </c>
      <c r="K24" s="138">
        <f t="shared" si="3"/>
        <v>12521.745067604339</v>
      </c>
      <c r="L24" s="138">
        <f t="shared" si="3"/>
        <v>12429.944585841911</v>
      </c>
      <c r="M24" s="138">
        <f t="shared" si="3"/>
        <v>11867.280207652724</v>
      </c>
      <c r="N24" s="138">
        <f t="shared" si="3"/>
        <v>9814.4238189583029</v>
      </c>
    </row>
    <row r="25" spans="1:14" ht="1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</row>
    <row r="26" spans="1:14" ht="15.75" x14ac:dyDescent="0.2">
      <c r="A26" s="107" t="s">
        <v>136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4" ht="15.75" x14ac:dyDescent="0.2">
      <c r="A27" s="108" t="s">
        <v>126</v>
      </c>
      <c r="B27" s="108" t="s">
        <v>127</v>
      </c>
      <c r="C27" s="108" t="s">
        <v>128</v>
      </c>
      <c r="D27" s="109"/>
      <c r="E27" s="110">
        <v>2006</v>
      </c>
      <c r="F27" s="110">
        <f>E27+1</f>
        <v>2007</v>
      </c>
      <c r="G27" s="110">
        <f t="shared" ref="G27:N27" si="4">F27+1</f>
        <v>2008</v>
      </c>
      <c r="H27" s="110">
        <f t="shared" si="4"/>
        <v>2009</v>
      </c>
      <c r="I27" s="110">
        <f t="shared" si="4"/>
        <v>2010</v>
      </c>
      <c r="J27" s="110">
        <f t="shared" si="4"/>
        <v>2011</v>
      </c>
      <c r="K27" s="110">
        <f t="shared" si="4"/>
        <v>2012</v>
      </c>
      <c r="L27" s="110">
        <f t="shared" si="4"/>
        <v>2013</v>
      </c>
      <c r="M27" s="110">
        <f t="shared" si="4"/>
        <v>2014</v>
      </c>
      <c r="N27" s="110">
        <f t="shared" si="4"/>
        <v>2015</v>
      </c>
    </row>
    <row r="28" spans="1:14" ht="15" x14ac:dyDescent="0.2">
      <c r="A28" s="111"/>
      <c r="B28" s="111"/>
      <c r="C28" s="111"/>
      <c r="D28" s="111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14" ht="15" x14ac:dyDescent="0.2">
      <c r="A29" s="113">
        <v>1</v>
      </c>
      <c r="B29" s="114" t="s">
        <v>129</v>
      </c>
      <c r="C29" s="115" t="s">
        <v>130</v>
      </c>
      <c r="D29" s="111"/>
      <c r="E29" s="116">
        <v>3.1276734439643987</v>
      </c>
      <c r="F29" s="117">
        <v>0.2415543565800175</v>
      </c>
      <c r="G29" s="117">
        <v>0.2415543565800175</v>
      </c>
      <c r="H29" s="117">
        <v>0.2415543565800175</v>
      </c>
      <c r="I29" s="117">
        <v>0.2415543565800175</v>
      </c>
      <c r="J29" s="117">
        <v>0.2415543565800175</v>
      </c>
      <c r="K29" s="117">
        <v>0.22584673019196766</v>
      </c>
      <c r="L29" s="117">
        <v>0.22584673019196766</v>
      </c>
      <c r="M29" s="117">
        <v>0.1798972689829223</v>
      </c>
      <c r="N29" s="117">
        <v>0.1798972689829223</v>
      </c>
    </row>
    <row r="30" spans="1:14" ht="15" x14ac:dyDescent="0.2">
      <c r="A30" s="118">
        <f>A29+1</f>
        <v>2</v>
      </c>
      <c r="B30" s="119" t="s">
        <v>131</v>
      </c>
      <c r="C30" s="120" t="s">
        <v>130</v>
      </c>
      <c r="D30" s="111"/>
      <c r="E30" s="121">
        <v>0</v>
      </c>
      <c r="F30" s="122">
        <v>11.999230125710756</v>
      </c>
      <c r="G30" s="122">
        <v>2.8445906655310291</v>
      </c>
      <c r="H30" s="122">
        <v>1.6121969375851266</v>
      </c>
      <c r="I30" s="122">
        <v>1.6121969375851266</v>
      </c>
      <c r="J30" s="122">
        <v>1.607704360513494</v>
      </c>
      <c r="K30" s="122">
        <v>1.5299091204827231</v>
      </c>
      <c r="L30" s="122">
        <v>1.5299091204827231</v>
      </c>
      <c r="M30" s="122">
        <v>1.5299091204827231</v>
      </c>
      <c r="N30" s="122">
        <v>1.46350304523968</v>
      </c>
    </row>
    <row r="31" spans="1:14" ht="15" x14ac:dyDescent="0.2">
      <c r="A31" s="123">
        <f>A30+1</f>
        <v>3</v>
      </c>
      <c r="B31" s="124" t="s">
        <v>132</v>
      </c>
      <c r="C31" s="125" t="s">
        <v>130</v>
      </c>
      <c r="D31" s="111"/>
      <c r="E31" s="126">
        <v>0</v>
      </c>
      <c r="F31" s="127">
        <v>0</v>
      </c>
      <c r="G31" s="127">
        <v>7.0825283003278523</v>
      </c>
      <c r="H31" s="127">
        <v>1.3852931002942819</v>
      </c>
      <c r="I31" s="127">
        <v>1.3852931002942819</v>
      </c>
      <c r="J31" s="127">
        <v>1.3852931002942819</v>
      </c>
      <c r="K31" s="127">
        <v>1.3697032856210434</v>
      </c>
      <c r="L31" s="127">
        <v>1.3697032856210434</v>
      </c>
      <c r="M31" s="127">
        <v>1.3418073675003992</v>
      </c>
      <c r="N31" s="127">
        <v>1.3302793101858497</v>
      </c>
    </row>
    <row r="32" spans="1:14" ht="15" x14ac:dyDescent="0.2">
      <c r="A32" s="118">
        <f>A31+1</f>
        <v>4</v>
      </c>
      <c r="B32" s="119" t="s">
        <v>133</v>
      </c>
      <c r="C32" s="120" t="s">
        <v>130</v>
      </c>
      <c r="D32" s="111"/>
      <c r="E32" s="121">
        <v>0</v>
      </c>
      <c r="F32" s="122">
        <v>0</v>
      </c>
      <c r="G32" s="122">
        <v>0</v>
      </c>
      <c r="H32" s="122">
        <v>6.2763009014400595</v>
      </c>
      <c r="I32" s="122">
        <v>1.3930183612528009</v>
      </c>
      <c r="J32" s="122">
        <v>1.3930183612528009</v>
      </c>
      <c r="K32" s="122">
        <v>1.3892434699785279</v>
      </c>
      <c r="L32" s="122">
        <v>1.3590150422880136</v>
      </c>
      <c r="M32" s="122">
        <v>1.303889133255778</v>
      </c>
      <c r="N32" s="122">
        <v>1.2961905003274308</v>
      </c>
    </row>
    <row r="33" spans="1:14" ht="15" x14ac:dyDescent="0.2">
      <c r="A33" s="123">
        <f>A32+1</f>
        <v>5</v>
      </c>
      <c r="B33" s="124" t="s">
        <v>134</v>
      </c>
      <c r="C33" s="125" t="s">
        <v>130</v>
      </c>
      <c r="D33" s="111"/>
      <c r="E33" s="126">
        <v>0</v>
      </c>
      <c r="F33" s="127">
        <v>0</v>
      </c>
      <c r="G33" s="127">
        <v>0</v>
      </c>
      <c r="H33" s="127">
        <v>0</v>
      </c>
      <c r="I33" s="127">
        <v>5.501935320577731</v>
      </c>
      <c r="J33" s="127">
        <v>1.7094314552773957</v>
      </c>
      <c r="K33" s="127">
        <v>1.7094097505161328</v>
      </c>
      <c r="L33" s="127">
        <v>1.7018574723159039</v>
      </c>
      <c r="M33" s="127">
        <v>1.6627674283424261</v>
      </c>
      <c r="N33" s="127">
        <v>1.5754224171044811</v>
      </c>
    </row>
    <row r="34" spans="1:14" ht="15.75" x14ac:dyDescent="0.2">
      <c r="A34" s="128" t="s">
        <v>11</v>
      </c>
      <c r="B34" s="129"/>
      <c r="C34" s="130"/>
      <c r="D34" s="109"/>
      <c r="E34" s="131">
        <f>SUM(E29:E33)</f>
        <v>3.1276734439643987</v>
      </c>
      <c r="F34" s="131">
        <f t="shared" ref="F34:N34" si="5">SUM(F29:F33)</f>
        <v>12.240784482290774</v>
      </c>
      <c r="G34" s="131">
        <f t="shared" si="5"/>
        <v>10.168673322438899</v>
      </c>
      <c r="H34" s="131">
        <f t="shared" si="5"/>
        <v>9.5153452958994862</v>
      </c>
      <c r="I34" s="131">
        <f t="shared" si="5"/>
        <v>10.133998076289958</v>
      </c>
      <c r="J34" s="131">
        <f t="shared" si="5"/>
        <v>6.33700163391799</v>
      </c>
      <c r="K34" s="131">
        <f t="shared" si="5"/>
        <v>6.2241123567903944</v>
      </c>
      <c r="L34" s="131">
        <f t="shared" si="5"/>
        <v>6.1863316508996515</v>
      </c>
      <c r="M34" s="131">
        <f t="shared" si="5"/>
        <v>6.018270318564249</v>
      </c>
      <c r="N34" s="131">
        <f t="shared" si="5"/>
        <v>5.8452925418403643</v>
      </c>
    </row>
    <row r="35" spans="1:14" ht="15" x14ac:dyDescent="0.2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</row>
    <row r="36" spans="1:14" ht="15.75" x14ac:dyDescent="0.2">
      <c r="A36" s="107" t="s">
        <v>137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</row>
    <row r="37" spans="1:14" ht="15.75" x14ac:dyDescent="0.2">
      <c r="A37" s="108" t="s">
        <v>126</v>
      </c>
      <c r="B37" s="108" t="s">
        <v>127</v>
      </c>
      <c r="C37" s="108" t="s">
        <v>128</v>
      </c>
      <c r="D37" s="109"/>
      <c r="E37" s="110">
        <v>2006</v>
      </c>
      <c r="F37" s="110">
        <f>E37+1</f>
        <v>2007</v>
      </c>
      <c r="G37" s="110">
        <f t="shared" ref="G37:N37" si="6">F37+1</f>
        <v>2008</v>
      </c>
      <c r="H37" s="110">
        <f t="shared" si="6"/>
        <v>2009</v>
      </c>
      <c r="I37" s="110">
        <f t="shared" si="6"/>
        <v>2010</v>
      </c>
      <c r="J37" s="110">
        <f t="shared" si="6"/>
        <v>2011</v>
      </c>
      <c r="K37" s="110">
        <f t="shared" si="6"/>
        <v>2012</v>
      </c>
      <c r="L37" s="110">
        <f t="shared" si="6"/>
        <v>2013</v>
      </c>
      <c r="M37" s="110">
        <f t="shared" si="6"/>
        <v>2014</v>
      </c>
      <c r="N37" s="110">
        <f t="shared" si="6"/>
        <v>2015</v>
      </c>
    </row>
    <row r="38" spans="1:14" ht="15" x14ac:dyDescent="0.2">
      <c r="A38" s="111"/>
      <c r="B38" s="111"/>
      <c r="C38" s="111"/>
      <c r="D38" s="111"/>
      <c r="E38" s="112"/>
      <c r="F38" s="112"/>
      <c r="G38" s="112"/>
      <c r="H38" s="112"/>
      <c r="I38" s="112"/>
      <c r="J38" s="112"/>
      <c r="K38" s="112"/>
      <c r="L38" s="112"/>
      <c r="M38" s="112"/>
      <c r="N38" s="112"/>
    </row>
    <row r="39" spans="1:14" ht="15" x14ac:dyDescent="0.2">
      <c r="A39" s="113">
        <v>1</v>
      </c>
      <c r="B39" s="114" t="s">
        <v>129</v>
      </c>
      <c r="C39" s="115" t="s">
        <v>130</v>
      </c>
      <c r="D39" s="111"/>
      <c r="E39" s="132">
        <v>4703.1631596205798</v>
      </c>
      <c r="F39" s="133">
        <v>4703.1631596205798</v>
      </c>
      <c r="G39" s="133">
        <v>4703.1631596205798</v>
      </c>
      <c r="H39" s="133">
        <v>4703.1631596205798</v>
      </c>
      <c r="I39" s="133">
        <v>836.64467950580297</v>
      </c>
      <c r="J39" s="133">
        <v>836.64467950580297</v>
      </c>
      <c r="K39" s="133">
        <v>767.34632779381832</v>
      </c>
      <c r="L39" s="133">
        <v>767.34632779381832</v>
      </c>
      <c r="M39" s="133">
        <v>722.48677294229208</v>
      </c>
      <c r="N39" s="133">
        <v>722.48677294229208</v>
      </c>
    </row>
    <row r="40" spans="1:14" ht="15" x14ac:dyDescent="0.2">
      <c r="A40" s="118">
        <f>A39+1</f>
        <v>2</v>
      </c>
      <c r="B40" s="119" t="s">
        <v>131</v>
      </c>
      <c r="C40" s="120" t="s">
        <v>130</v>
      </c>
      <c r="D40" s="111"/>
      <c r="E40" s="134">
        <v>0</v>
      </c>
      <c r="F40" s="135">
        <v>17077.594774085905</v>
      </c>
      <c r="G40" s="135">
        <v>5211.4010887911436</v>
      </c>
      <c r="H40" s="135">
        <v>3720.1807566580046</v>
      </c>
      <c r="I40" s="135">
        <v>3720.1807566580046</v>
      </c>
      <c r="J40" s="135">
        <v>3719.2200679793486</v>
      </c>
      <c r="K40" s="135">
        <v>3536.5523754785245</v>
      </c>
      <c r="L40" s="135">
        <v>3536.5523754785245</v>
      </c>
      <c r="M40" s="135">
        <v>3536.5523754785245</v>
      </c>
      <c r="N40" s="135">
        <v>1613.024902325561</v>
      </c>
    </row>
    <row r="41" spans="1:14" ht="15" x14ac:dyDescent="0.2">
      <c r="A41" s="123">
        <f>A40+1</f>
        <v>3</v>
      </c>
      <c r="B41" s="124" t="s">
        <v>132</v>
      </c>
      <c r="C41" s="125" t="s">
        <v>130</v>
      </c>
      <c r="D41" s="111"/>
      <c r="E41" s="136">
        <v>0</v>
      </c>
      <c r="F41" s="137">
        <v>0</v>
      </c>
      <c r="G41" s="137">
        <v>5841.94072785956</v>
      </c>
      <c r="H41" s="137">
        <v>5112.6969037719564</v>
      </c>
      <c r="I41" s="137">
        <v>5112.6969037719564</v>
      </c>
      <c r="J41" s="137">
        <v>5112.6969037719564</v>
      </c>
      <c r="K41" s="137">
        <v>4655.3459196101203</v>
      </c>
      <c r="L41" s="137">
        <v>4654.7549196101199</v>
      </c>
      <c r="M41" s="137">
        <v>4244.4523354330122</v>
      </c>
      <c r="N41" s="137">
        <v>3878.6824644024487</v>
      </c>
    </row>
    <row r="42" spans="1:14" ht="15" x14ac:dyDescent="0.2">
      <c r="A42" s="118">
        <f>A41+1</f>
        <v>4</v>
      </c>
      <c r="B42" s="119" t="s">
        <v>133</v>
      </c>
      <c r="C42" s="120" t="s">
        <v>130</v>
      </c>
      <c r="D42" s="111"/>
      <c r="E42" s="121">
        <v>0</v>
      </c>
      <c r="F42" s="122">
        <v>0</v>
      </c>
      <c r="G42" s="122">
        <v>0</v>
      </c>
      <c r="H42" s="122">
        <v>6821.2053673955479</v>
      </c>
      <c r="I42" s="122">
        <v>5875.9690884328975</v>
      </c>
      <c r="J42" s="122">
        <v>5875.9690884328975</v>
      </c>
      <c r="K42" s="122">
        <v>5872.0270207020694</v>
      </c>
      <c r="L42" s="122">
        <v>5698.5793361925298</v>
      </c>
      <c r="M42" s="122">
        <v>5256.3914045522015</v>
      </c>
      <c r="N42" s="122">
        <v>4903.1877905367428</v>
      </c>
    </row>
    <row r="43" spans="1:14" ht="15" x14ac:dyDescent="0.2">
      <c r="A43" s="123">
        <f>A42+1</f>
        <v>5</v>
      </c>
      <c r="B43" s="124" t="s">
        <v>134</v>
      </c>
      <c r="C43" s="125" t="s">
        <v>130</v>
      </c>
      <c r="D43" s="111"/>
      <c r="E43" s="136">
        <v>0</v>
      </c>
      <c r="F43" s="137">
        <v>0</v>
      </c>
      <c r="G43" s="137">
        <v>0</v>
      </c>
      <c r="H43" s="137">
        <v>0</v>
      </c>
      <c r="I43" s="137">
        <v>8090.8139004330305</v>
      </c>
      <c r="J43" s="137">
        <v>6723.6894073136236</v>
      </c>
      <c r="K43" s="137">
        <v>6723.0120252968964</v>
      </c>
      <c r="L43" s="137">
        <v>6715.551051125417</v>
      </c>
      <c r="M43" s="137">
        <v>6511.3714183536604</v>
      </c>
      <c r="N43" s="137">
        <v>5638.370469117709</v>
      </c>
    </row>
    <row r="44" spans="1:14" ht="15.75" x14ac:dyDescent="0.2">
      <c r="A44" s="128" t="s">
        <v>11</v>
      </c>
      <c r="B44" s="129"/>
      <c r="C44" s="130"/>
      <c r="D44" s="109"/>
      <c r="E44" s="138">
        <f>SUM(E39:E43)</f>
        <v>4703.1631596205798</v>
      </c>
      <c r="F44" s="138">
        <f t="shared" ref="F44:N44" si="7">SUM(F39:F43)</f>
        <v>21780.757933706485</v>
      </c>
      <c r="G44" s="138">
        <f t="shared" si="7"/>
        <v>15756.504976271284</v>
      </c>
      <c r="H44" s="138">
        <f t="shared" si="7"/>
        <v>20357.24618744609</v>
      </c>
      <c r="I44" s="138">
        <f t="shared" si="7"/>
        <v>23636.305328801693</v>
      </c>
      <c r="J44" s="138">
        <f t="shared" si="7"/>
        <v>22268.220147003627</v>
      </c>
      <c r="K44" s="138">
        <f t="shared" si="7"/>
        <v>21554.283668881428</v>
      </c>
      <c r="L44" s="138">
        <f t="shared" si="7"/>
        <v>21372.784010200408</v>
      </c>
      <c r="M44" s="138">
        <f t="shared" si="7"/>
        <v>20271.254306759689</v>
      </c>
      <c r="N44" s="138">
        <f t="shared" si="7"/>
        <v>16755.752399324752</v>
      </c>
    </row>
  </sheetData>
  <pageMargins left="0.24" right="0.2" top="0.4" bottom="0.36" header="0.3" footer="0.3"/>
  <pageSetup scale="83" fitToHeight="2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91"/>
  <sheetViews>
    <sheetView topLeftCell="A16" zoomScale="75" zoomScaleNormal="75" workbookViewId="0">
      <selection activeCell="F22" sqref="F22:F24"/>
    </sheetView>
  </sheetViews>
  <sheetFormatPr defaultColWidth="16.7109375" defaultRowHeight="12.75" x14ac:dyDescent="0.2"/>
  <cols>
    <col min="1" max="1" width="20" customWidth="1"/>
    <col min="3" max="3" width="18.140625" customWidth="1"/>
    <col min="4" max="4" width="19.7109375" bestFit="1" customWidth="1"/>
    <col min="5" max="5" width="19" bestFit="1" customWidth="1"/>
    <col min="6" max="6" width="15.7109375" bestFit="1" customWidth="1"/>
    <col min="7" max="7" width="7.140625" bestFit="1" customWidth="1"/>
    <col min="8" max="8" width="10.28515625" bestFit="1" customWidth="1"/>
    <col min="9" max="9" width="6.5703125" bestFit="1" customWidth="1"/>
    <col min="10" max="10" width="7.140625" bestFit="1" customWidth="1"/>
    <col min="11" max="11" width="10.28515625" bestFit="1" customWidth="1"/>
    <col min="12" max="12" width="6.5703125" bestFit="1" customWidth="1"/>
  </cols>
  <sheetData>
    <row r="2" spans="1:16" ht="15" x14ac:dyDescent="0.25">
      <c r="A2" s="139" t="s">
        <v>138</v>
      </c>
    </row>
    <row r="3" spans="1:16" ht="15" x14ac:dyDescent="0.25">
      <c r="A3" s="139" t="s">
        <v>139</v>
      </c>
    </row>
    <row r="5" spans="1:16" s="141" customFormat="1" ht="60" x14ac:dyDescent="0.25">
      <c r="A5" s="140" t="s">
        <v>140</v>
      </c>
      <c r="B5" s="140" t="s">
        <v>141</v>
      </c>
      <c r="C5" s="140" t="s">
        <v>142</v>
      </c>
      <c r="D5" s="140" t="s">
        <v>143</v>
      </c>
      <c r="E5" s="140" t="s">
        <v>144</v>
      </c>
      <c r="O5" s="142" t="s">
        <v>145</v>
      </c>
      <c r="P5" s="142">
        <v>1</v>
      </c>
    </row>
    <row r="6" spans="1:16" x14ac:dyDescent="0.2">
      <c r="A6">
        <v>2006</v>
      </c>
      <c r="B6" s="49">
        <f>'2006-2010 Final CDM'!E24*1000</f>
        <v>4211271.1894206693</v>
      </c>
      <c r="C6" s="49">
        <f>B6</f>
        <v>4211271.1894206693</v>
      </c>
      <c r="D6" s="49">
        <f>C6*0.5</f>
        <v>2105635.5947103347</v>
      </c>
      <c r="E6" s="49">
        <f t="shared" ref="E6:E15" si="0">D6/$P$18</f>
        <v>26995.328137311983</v>
      </c>
      <c r="O6" s="142" t="s">
        <v>146</v>
      </c>
      <c r="P6" s="142">
        <v>2</v>
      </c>
    </row>
    <row r="7" spans="1:16" x14ac:dyDescent="0.2">
      <c r="A7">
        <v>2007</v>
      </c>
      <c r="B7" s="49">
        <f>'2006-2010 Final CDM'!F24*1000</f>
        <v>7800591.9686740637</v>
      </c>
      <c r="C7" s="49">
        <f>B7-B6</f>
        <v>3589320.7792533943</v>
      </c>
      <c r="D7" s="49">
        <f t="shared" ref="D7:D13" si="1">C7*0.5</f>
        <v>1794660.3896266972</v>
      </c>
      <c r="E7" s="49">
        <f t="shared" si="0"/>
        <v>23008.466533675604</v>
      </c>
      <c r="O7" s="142" t="s">
        <v>147</v>
      </c>
      <c r="P7" s="142">
        <v>3</v>
      </c>
    </row>
    <row r="8" spans="1:16" x14ac:dyDescent="0.2">
      <c r="A8">
        <v>2008</v>
      </c>
      <c r="B8" s="49">
        <f>'2006-2010 Final CDM'!G24*1000</f>
        <v>9396789.0399039015</v>
      </c>
      <c r="C8" s="49">
        <f t="shared" ref="C8:C15" si="2">B8-B7</f>
        <v>1596197.0712298378</v>
      </c>
      <c r="D8" s="49">
        <f t="shared" si="1"/>
        <v>798098.53561491892</v>
      </c>
      <c r="E8" s="49">
        <f t="shared" si="0"/>
        <v>10232.032507883576</v>
      </c>
      <c r="O8" s="142" t="s">
        <v>148</v>
      </c>
      <c r="P8" s="142">
        <v>4</v>
      </c>
    </row>
    <row r="9" spans="1:16" x14ac:dyDescent="0.2">
      <c r="A9">
        <v>2009</v>
      </c>
      <c r="B9" s="49">
        <f>'2006-2010 Final CDM'!H24*1000</f>
        <v>13106361.652460542</v>
      </c>
      <c r="C9" s="49">
        <f t="shared" si="2"/>
        <v>3709572.6125566401</v>
      </c>
      <c r="D9" s="49">
        <f t="shared" si="1"/>
        <v>1854786.30627832</v>
      </c>
      <c r="E9" s="49">
        <f t="shared" si="0"/>
        <v>23779.311618952819</v>
      </c>
      <c r="O9" s="142" t="s">
        <v>149</v>
      </c>
      <c r="P9" s="142">
        <v>5</v>
      </c>
    </row>
    <row r="10" spans="1:16" x14ac:dyDescent="0.2">
      <c r="A10">
        <v>2010</v>
      </c>
      <c r="B10" s="49">
        <f>'2006-2010 Final CDM'!I24*1000</f>
        <v>14225868.113924725</v>
      </c>
      <c r="C10" s="49">
        <f t="shared" si="2"/>
        <v>1119506.4614641834</v>
      </c>
      <c r="D10" s="49">
        <f t="shared" si="1"/>
        <v>559753.2307320917</v>
      </c>
      <c r="E10" s="49">
        <f t="shared" si="0"/>
        <v>7176.3234709242524</v>
      </c>
      <c r="O10" s="142" t="s">
        <v>150</v>
      </c>
      <c r="P10" s="142">
        <v>6</v>
      </c>
    </row>
    <row r="11" spans="1:16" x14ac:dyDescent="0.2">
      <c r="A11">
        <v>2011</v>
      </c>
      <c r="B11" s="49">
        <f>H54*1000</f>
        <v>17860866.745271739</v>
      </c>
      <c r="C11" s="49">
        <f t="shared" si="2"/>
        <v>3634998.6313470136</v>
      </c>
      <c r="D11" s="49">
        <f t="shared" si="1"/>
        <v>1817499.3156735068</v>
      </c>
      <c r="E11" s="49">
        <f t="shared" si="0"/>
        <v>23301.273277865472</v>
      </c>
      <c r="O11" s="142" t="s">
        <v>151</v>
      </c>
      <c r="P11" s="142">
        <v>7</v>
      </c>
    </row>
    <row r="12" spans="1:16" x14ac:dyDescent="0.2">
      <c r="A12">
        <v>2012</v>
      </c>
      <c r="B12" s="49">
        <f>I54*1000</f>
        <v>23164672.067604341</v>
      </c>
      <c r="C12" s="49">
        <f t="shared" si="2"/>
        <v>5303805.322332602</v>
      </c>
      <c r="D12" s="49">
        <f t="shared" si="1"/>
        <v>2651902.661166301</v>
      </c>
      <c r="E12" s="49">
        <f t="shared" si="0"/>
        <v>33998.752066234629</v>
      </c>
      <c r="O12" s="142" t="s">
        <v>152</v>
      </c>
      <c r="P12" s="142">
        <v>8</v>
      </c>
    </row>
    <row r="13" spans="1:16" x14ac:dyDescent="0.2">
      <c r="A13">
        <v>2013</v>
      </c>
      <c r="B13" s="49">
        <f>J54*1000</f>
        <v>30183942.252508581</v>
      </c>
      <c r="C13" s="49">
        <f t="shared" si="2"/>
        <v>7019270.1849042401</v>
      </c>
      <c r="D13" s="49">
        <f t="shared" si="1"/>
        <v>3509635.09245212</v>
      </c>
      <c r="E13" s="49">
        <f t="shared" si="0"/>
        <v>44995.321698104104</v>
      </c>
      <c r="O13" s="142" t="s">
        <v>153</v>
      </c>
      <c r="P13" s="142">
        <v>9</v>
      </c>
    </row>
    <row r="14" spans="1:16" x14ac:dyDescent="0.2">
      <c r="A14">
        <v>2014</v>
      </c>
      <c r="B14" s="49">
        <f>K54*1000</f>
        <v>36443377.540986054</v>
      </c>
      <c r="C14" s="49">
        <f t="shared" si="2"/>
        <v>6259435.288477473</v>
      </c>
      <c r="D14" s="143">
        <f>C14/2</f>
        <v>3129717.6442387365</v>
      </c>
      <c r="E14" s="49">
        <f t="shared" si="0"/>
        <v>40124.585182547904</v>
      </c>
      <c r="O14" s="142" t="s">
        <v>154</v>
      </c>
      <c r="P14" s="142">
        <v>10</v>
      </c>
    </row>
    <row r="15" spans="1:16" x14ac:dyDescent="0.2">
      <c r="A15">
        <v>2015</v>
      </c>
      <c r="B15" s="49">
        <f>L54*1000</f>
        <v>36522714.324180342</v>
      </c>
      <c r="C15" s="49">
        <f t="shared" si="2"/>
        <v>79336.783194288611</v>
      </c>
      <c r="D15" s="143">
        <f>C15/2</f>
        <v>39668.391597144306</v>
      </c>
      <c r="E15" s="49">
        <f t="shared" si="0"/>
        <v>508.56912304031164</v>
      </c>
      <c r="O15" s="142" t="s">
        <v>155</v>
      </c>
      <c r="P15" s="142">
        <v>11</v>
      </c>
    </row>
    <row r="16" spans="1:16" x14ac:dyDescent="0.2">
      <c r="B16" s="49"/>
      <c r="C16" s="49"/>
      <c r="D16" s="143"/>
      <c r="E16" s="49"/>
      <c r="O16" s="142" t="s">
        <v>156</v>
      </c>
      <c r="P16" s="142">
        <v>12</v>
      </c>
    </row>
    <row r="17" spans="1:16" ht="15" x14ac:dyDescent="0.25">
      <c r="A17" s="139" t="s">
        <v>157</v>
      </c>
      <c r="O17" s="142"/>
      <c r="P17" s="142"/>
    </row>
    <row r="18" spans="1:16" ht="13.5" thickBot="1" x14ac:dyDescent="0.25">
      <c r="O18" s="142" t="s">
        <v>11</v>
      </c>
      <c r="P18" s="142">
        <f>SUM(P5:P16)</f>
        <v>78</v>
      </c>
    </row>
    <row r="19" spans="1:16" ht="15" x14ac:dyDescent="0.25">
      <c r="A19" s="351" t="s">
        <v>158</v>
      </c>
      <c r="B19" s="352"/>
      <c r="C19" s="352"/>
      <c r="D19" s="352"/>
      <c r="E19" s="352"/>
      <c r="F19" s="353"/>
    </row>
    <row r="20" spans="1:16" ht="15" x14ac:dyDescent="0.25">
      <c r="A20" s="354">
        <f>'CDM Forecast '!Q61</f>
        <v>58000000</v>
      </c>
      <c r="B20" s="355"/>
      <c r="C20" s="355"/>
      <c r="D20" s="355"/>
      <c r="E20" s="355"/>
      <c r="F20" s="356"/>
    </row>
    <row r="21" spans="1:16" ht="15" x14ac:dyDescent="0.25">
      <c r="A21" s="144"/>
      <c r="B21" s="145">
        <v>2011</v>
      </c>
      <c r="C21" s="145">
        <v>2012</v>
      </c>
      <c r="D21" s="145">
        <v>2013</v>
      </c>
      <c r="E21" s="145">
        <v>2014</v>
      </c>
      <c r="F21" s="146" t="s">
        <v>11</v>
      </c>
    </row>
    <row r="22" spans="1:16" ht="15" x14ac:dyDescent="0.25">
      <c r="A22" s="147" t="s">
        <v>159</v>
      </c>
      <c r="B22" s="148">
        <f>B28/$F$32</f>
        <v>8.667203448275862E-2</v>
      </c>
      <c r="C22" s="148">
        <f>C28/$F$32</f>
        <v>8.667203448275862E-2</v>
      </c>
      <c r="D22" s="148">
        <f>D28/$F$32</f>
        <v>8.4482758620689657E-2</v>
      </c>
      <c r="E22" s="149">
        <f>E28/$F$32</f>
        <v>7.9310344827586213E-2</v>
      </c>
      <c r="F22" s="150">
        <f>SUM(B22:E22)</f>
        <v>0.3371371724137931</v>
      </c>
    </row>
    <row r="23" spans="1:16" ht="15" x14ac:dyDescent="0.25">
      <c r="A23" s="147" t="s">
        <v>160</v>
      </c>
      <c r="B23" s="151"/>
      <c r="C23" s="148">
        <f>C29/$F$32</f>
        <v>9.682670689655172E-2</v>
      </c>
      <c r="D23" s="148">
        <f>D29/$F$32</f>
        <v>9.682670689655172E-2</v>
      </c>
      <c r="E23" s="149">
        <f>E29/$F$32</f>
        <v>9.4827586206896547E-2</v>
      </c>
      <c r="F23" s="150">
        <f>SUM(B23:E23)</f>
        <v>0.28848099999999999</v>
      </c>
    </row>
    <row r="24" spans="1:16" ht="15" x14ac:dyDescent="0.25">
      <c r="A24" s="147" t="s">
        <v>161</v>
      </c>
      <c r="B24" s="151"/>
      <c r="C24" s="151"/>
      <c r="D24" s="148">
        <f>D30/$F$32</f>
        <v>0.12479394252873564</v>
      </c>
      <c r="E24" s="149">
        <f>E30/$F$32</f>
        <v>0.12479394252873564</v>
      </c>
      <c r="F24" s="150">
        <f>SUM(B24:E24)</f>
        <v>0.24958788505747129</v>
      </c>
    </row>
    <row r="25" spans="1:16" ht="15.75" thickBot="1" x14ac:dyDescent="0.3">
      <c r="A25" s="152" t="s">
        <v>162</v>
      </c>
      <c r="B25" s="153"/>
      <c r="C25" s="153"/>
      <c r="D25" s="153"/>
      <c r="E25" s="154">
        <f>E31/$F$32</f>
        <v>0.12479394252873564</v>
      </c>
      <c r="F25" s="155">
        <f>SUM(B25:E25)</f>
        <v>0.12479394252873564</v>
      </c>
    </row>
    <row r="26" spans="1:16" ht="15.75" thickTop="1" x14ac:dyDescent="0.25">
      <c r="A26" s="156" t="s">
        <v>163</v>
      </c>
      <c r="B26" s="157">
        <f>SUM(B22:B25)</f>
        <v>8.667203448275862E-2</v>
      </c>
      <c r="C26" s="157">
        <f>SUM(C22:C25)</f>
        <v>0.18349874137931033</v>
      </c>
      <c r="D26" s="157">
        <f>SUM(D22:D25)</f>
        <v>0.30610340804597702</v>
      </c>
      <c r="E26" s="158">
        <f>SUM(E22:E25)</f>
        <v>0.42372581609195409</v>
      </c>
      <c r="F26" s="159">
        <f>SUM(B26:E26)</f>
        <v>1</v>
      </c>
    </row>
    <row r="27" spans="1:16" ht="15" x14ac:dyDescent="0.2">
      <c r="A27" s="357" t="s">
        <v>164</v>
      </c>
      <c r="B27" s="358"/>
      <c r="C27" s="358"/>
      <c r="D27" s="358"/>
      <c r="E27" s="358"/>
      <c r="F27" s="359"/>
    </row>
    <row r="28" spans="1:16" ht="15" x14ac:dyDescent="0.25">
      <c r="A28" s="147" t="s">
        <v>159</v>
      </c>
      <c r="B28" s="160">
        <f>'CDM Forecast '!L59</f>
        <v>5026978</v>
      </c>
      <c r="C28" s="160">
        <f>B28</f>
        <v>5026978</v>
      </c>
      <c r="D28" s="160">
        <v>4900000</v>
      </c>
      <c r="E28" s="161">
        <v>4600000</v>
      </c>
      <c r="F28" s="162">
        <f>SUM(B28:E28)</f>
        <v>19553956</v>
      </c>
    </row>
    <row r="29" spans="1:16" ht="15" x14ac:dyDescent="0.25">
      <c r="A29" s="147" t="s">
        <v>160</v>
      </c>
      <c r="B29" s="163"/>
      <c r="C29" s="164">
        <f>'CDM Forecast '!M59</f>
        <v>5615949</v>
      </c>
      <c r="D29" s="164">
        <f>C29</f>
        <v>5615949</v>
      </c>
      <c r="E29" s="165">
        <v>5500000</v>
      </c>
      <c r="F29" s="162">
        <f>SUM(B29:E29)</f>
        <v>16731898</v>
      </c>
    </row>
    <row r="30" spans="1:16" ht="15" x14ac:dyDescent="0.25">
      <c r="A30" s="147" t="s">
        <v>161</v>
      </c>
      <c r="B30" s="163"/>
      <c r="C30" s="163"/>
      <c r="D30" s="163">
        <f>(A20-SUM(F28:F29))/3</f>
        <v>7238048.666666667</v>
      </c>
      <c r="E30" s="166">
        <f>D30</f>
        <v>7238048.666666667</v>
      </c>
      <c r="F30" s="162">
        <f>SUM(B30:E30)</f>
        <v>14476097.333333334</v>
      </c>
    </row>
    <row r="31" spans="1:16" ht="15.75" thickBot="1" x14ac:dyDescent="0.3">
      <c r="A31" s="152" t="s">
        <v>162</v>
      </c>
      <c r="B31" s="167"/>
      <c r="C31" s="167"/>
      <c r="D31" s="167"/>
      <c r="E31" s="168">
        <f>D30</f>
        <v>7238048.666666667</v>
      </c>
      <c r="F31" s="169">
        <f>SUM(B31:E31)</f>
        <v>7238048.666666667</v>
      </c>
    </row>
    <row r="32" spans="1:16" ht="16.5" thickTop="1" thickBot="1" x14ac:dyDescent="0.3">
      <c r="A32" s="170" t="s">
        <v>163</v>
      </c>
      <c r="B32" s="171">
        <f>SUM(B28:B31)</f>
        <v>5026978</v>
      </c>
      <c r="C32" s="171">
        <f>SUM(C28:C31)</f>
        <v>10642927</v>
      </c>
      <c r="D32" s="171">
        <f>SUM(D28:D31)</f>
        <v>17753997.666666668</v>
      </c>
      <c r="E32" s="172">
        <f>SUM(E28:E31)</f>
        <v>24576097.333333336</v>
      </c>
      <c r="F32" s="173">
        <f>A20</f>
        <v>58000000</v>
      </c>
    </row>
    <row r="33" spans="1:18" x14ac:dyDescent="0.2">
      <c r="B33" s="49"/>
      <c r="C33" s="49"/>
      <c r="D33" s="143"/>
      <c r="E33" s="49"/>
    </row>
    <row r="34" spans="1:18" x14ac:dyDescent="0.2">
      <c r="B34" s="49"/>
      <c r="C34" s="49"/>
      <c r="D34" s="143"/>
      <c r="E34" s="49"/>
    </row>
    <row r="35" spans="1:18" x14ac:dyDescent="0.2">
      <c r="B35" s="49"/>
      <c r="C35" s="49"/>
      <c r="D35" s="143"/>
      <c r="E35" s="49"/>
      <c r="Q35" s="174"/>
      <c r="R35" s="174"/>
    </row>
    <row r="36" spans="1:18" x14ac:dyDescent="0.2">
      <c r="B36" s="49"/>
      <c r="C36" s="49"/>
      <c r="D36" s="143"/>
      <c r="E36" s="49"/>
      <c r="Q36" s="174"/>
      <c r="R36" s="174"/>
    </row>
    <row r="37" spans="1:18" x14ac:dyDescent="0.2">
      <c r="B37" s="49"/>
      <c r="C37" s="49"/>
      <c r="D37" s="143"/>
      <c r="E37" s="49"/>
      <c r="Q37" s="174"/>
      <c r="R37" s="174"/>
    </row>
    <row r="38" spans="1:18" ht="30" x14ac:dyDescent="0.25">
      <c r="C38" s="345" t="s">
        <v>165</v>
      </c>
      <c r="Q38" s="174"/>
      <c r="R38" s="174"/>
    </row>
    <row r="39" spans="1:18" ht="30" x14ac:dyDescent="0.25">
      <c r="C39" s="345" t="s">
        <v>135</v>
      </c>
      <c r="Q39" s="174"/>
      <c r="R39" s="174"/>
    </row>
    <row r="40" spans="1:18" ht="45" x14ac:dyDescent="0.25">
      <c r="C40" s="345" t="s">
        <v>166</v>
      </c>
      <c r="Q40" s="174"/>
      <c r="R40" s="174"/>
    </row>
    <row r="41" spans="1:18" ht="15" x14ac:dyDescent="0.25">
      <c r="C41" s="139"/>
    </row>
    <row r="42" spans="1:18" ht="15" x14ac:dyDescent="0.25">
      <c r="F42" s="139" t="s">
        <v>167</v>
      </c>
    </row>
    <row r="43" spans="1:18" ht="15.75" x14ac:dyDescent="0.2">
      <c r="C43" s="110">
        <v>2006</v>
      </c>
      <c r="D43" s="110">
        <f t="shared" ref="D43:L43" si="3">C43+1</f>
        <v>2007</v>
      </c>
      <c r="E43" s="110">
        <f t="shared" si="3"/>
        <v>2008</v>
      </c>
      <c r="F43" s="110">
        <f t="shared" si="3"/>
        <v>2009</v>
      </c>
      <c r="G43" s="110">
        <f t="shared" si="3"/>
        <v>2010</v>
      </c>
      <c r="H43" s="110">
        <f t="shared" si="3"/>
        <v>2011</v>
      </c>
      <c r="I43" s="110">
        <f t="shared" si="3"/>
        <v>2012</v>
      </c>
      <c r="J43" s="110">
        <f t="shared" si="3"/>
        <v>2013</v>
      </c>
      <c r="K43" s="110">
        <f t="shared" si="3"/>
        <v>2014</v>
      </c>
      <c r="L43" s="110">
        <f t="shared" si="3"/>
        <v>2015</v>
      </c>
    </row>
    <row r="44" spans="1:18" ht="15.75" x14ac:dyDescent="0.25">
      <c r="A44" s="139" t="s">
        <v>168</v>
      </c>
      <c r="B44" s="110">
        <v>2006</v>
      </c>
      <c r="C44" s="175">
        <f>'2006-2010 Final CDM'!E19</f>
        <v>4211.2711894206695</v>
      </c>
      <c r="D44" s="175">
        <f>'2006-2010 Final CDM'!F19</f>
        <v>4211.2711894206695</v>
      </c>
      <c r="E44" s="175">
        <f>'2006-2010 Final CDM'!G19</f>
        <v>4211.2711894206695</v>
      </c>
      <c r="F44" s="175">
        <f>'2006-2010 Final CDM'!H19</f>
        <v>4211.2711894206695</v>
      </c>
      <c r="G44" s="175">
        <f>'2006-2010 Final CDM'!I19</f>
        <v>731.4045573173712</v>
      </c>
      <c r="H44" s="175">
        <f>'2006-2010 Final CDM'!J19</f>
        <v>731.4045573173712</v>
      </c>
      <c r="I44" s="175">
        <f>'2006-2010 Final CDM'!K19</f>
        <v>669.0360407765852</v>
      </c>
      <c r="J44" s="175">
        <f>'2006-2010 Final CDM'!L19</f>
        <v>669.0360407765852</v>
      </c>
      <c r="K44" s="175">
        <f>'2006-2010 Final CDM'!M19</f>
        <v>628.6624414102115</v>
      </c>
      <c r="L44" s="175">
        <f>'2006-2010 Final CDM'!N19</f>
        <v>628.6624414102115</v>
      </c>
    </row>
    <row r="45" spans="1:18" ht="15.75" x14ac:dyDescent="0.2">
      <c r="B45" s="110">
        <f t="shared" ref="B45:B50" si="4">B44+1</f>
        <v>2007</v>
      </c>
      <c r="C45" s="176"/>
      <c r="D45" s="176">
        <f>'2006-2010 Final CDM'!F20</f>
        <v>3589.320779253394</v>
      </c>
      <c r="E45" s="176">
        <f>'2006-2010 Final CDM'!G20</f>
        <v>2152.4742848542305</v>
      </c>
      <c r="F45" s="176">
        <f>'2006-2010 Final CDM'!H20</f>
        <v>1973.5278449982538</v>
      </c>
      <c r="G45" s="176">
        <f>'2006-2010 Final CDM'!I20</f>
        <v>1973.5278449982538</v>
      </c>
      <c r="H45" s="176">
        <f>'2006-2010 Final CDM'!J20</f>
        <v>1973.1137881777531</v>
      </c>
      <c r="I45" s="176">
        <f>'2006-2010 Final CDM'!K20</f>
        <v>1907.7133260000901</v>
      </c>
      <c r="J45" s="176">
        <f>'2006-2010 Final CDM'!L20</f>
        <v>1907.7133260000901</v>
      </c>
      <c r="K45" s="176">
        <f>'2006-2010 Final CDM'!M20</f>
        <v>1907.7133260000901</v>
      </c>
      <c r="L45" s="176">
        <f>'2006-2010 Final CDM'!N20</f>
        <v>653.30380051934378</v>
      </c>
    </row>
    <row r="46" spans="1:18" ht="15.75" x14ac:dyDescent="0.2">
      <c r="B46" s="110">
        <f t="shared" si="4"/>
        <v>2008</v>
      </c>
      <c r="C46" s="176"/>
      <c r="D46" s="176"/>
      <c r="E46" s="176">
        <f>'2006-2010 Final CDM'!G21</f>
        <v>3033.0435656290015</v>
      </c>
      <c r="F46" s="176">
        <f>'2006-2010 Final CDM'!H21</f>
        <v>2473.4181596431431</v>
      </c>
      <c r="G46" s="176">
        <f>'2006-2010 Final CDM'!I21</f>
        <v>2473.4181596431431</v>
      </c>
      <c r="H46" s="176">
        <f>'2006-2010 Final CDM'!J21</f>
        <v>2473.4181596431431</v>
      </c>
      <c r="I46" s="176">
        <f>'2006-2010 Final CDM'!K21</f>
        <v>2297.0445242088258</v>
      </c>
      <c r="J46" s="176">
        <f>'2006-2010 Final CDM'!L21</f>
        <v>2296.8317642088259</v>
      </c>
      <c r="K46" s="176">
        <f>'2006-2010 Final CDM'!M21</f>
        <v>2113.3908768638798</v>
      </c>
      <c r="L46" s="176">
        <f>'2006-2010 Final CDM'!N21</f>
        <v>1976.3450002559021</v>
      </c>
    </row>
    <row r="47" spans="1:18" ht="15.75" x14ac:dyDescent="0.2">
      <c r="B47" s="110">
        <f t="shared" si="4"/>
        <v>2009</v>
      </c>
      <c r="C47" s="176"/>
      <c r="D47" s="176"/>
      <c r="E47" s="176"/>
      <c r="F47" s="176">
        <f>'2006-2010 Final CDM'!H22</f>
        <v>4448.1444583984758</v>
      </c>
      <c r="G47" s="176">
        <f>'2006-2010 Final CDM'!I22</f>
        <v>3612.829404416103</v>
      </c>
      <c r="H47" s="176">
        <f>'2006-2010 Final CDM'!J22</f>
        <v>3612.829404416103</v>
      </c>
      <c r="I47" s="176">
        <f>'2006-2010 Final CDM'!K22</f>
        <v>3610.7595452963487</v>
      </c>
      <c r="J47" s="176">
        <f>'2006-2010 Final CDM'!L22</f>
        <v>3521.8577742356529</v>
      </c>
      <c r="K47" s="176">
        <f>'2006-2010 Final CDM'!M22</f>
        <v>3287.2266552771703</v>
      </c>
      <c r="L47" s="176">
        <f>'2006-2010 Final CDM'!N22</f>
        <v>3045.2371893965524</v>
      </c>
    </row>
    <row r="48" spans="1:18" ht="15.75" x14ac:dyDescent="0.2">
      <c r="B48" s="110">
        <f t="shared" si="4"/>
        <v>2010</v>
      </c>
      <c r="C48" s="176"/>
      <c r="D48" s="176"/>
      <c r="E48" s="176"/>
      <c r="F48" s="176"/>
      <c r="G48" s="176">
        <f>'2006-2010 Final CDM'!I23</f>
        <v>5434.688147549854</v>
      </c>
      <c r="H48" s="176">
        <f>'2006-2010 Final CDM'!J23</f>
        <v>4043.1228357173677</v>
      </c>
      <c r="I48" s="176">
        <f>'2006-2010 Final CDM'!K23</f>
        <v>4037.1916313224883</v>
      </c>
      <c r="J48" s="176">
        <f>'2006-2010 Final CDM'!L23</f>
        <v>4034.5056806207558</v>
      </c>
      <c r="K48" s="176">
        <f>'2006-2010 Final CDM'!M23</f>
        <v>3930.2869081013723</v>
      </c>
      <c r="L48" s="176">
        <f>'2006-2010 Final CDM'!N23</f>
        <v>3510.8753873762926</v>
      </c>
    </row>
    <row r="49" spans="1:12" ht="15.75" x14ac:dyDescent="0.2">
      <c r="B49" s="110">
        <f t="shared" si="4"/>
        <v>2011</v>
      </c>
      <c r="C49" s="176"/>
      <c r="D49" s="176"/>
      <c r="E49" s="176"/>
      <c r="F49" s="176"/>
      <c r="G49" s="176"/>
      <c r="H49" s="176">
        <f>'CDM Forecast '!L59/1000</f>
        <v>5026.9780000000001</v>
      </c>
      <c r="I49" s="176">
        <f>'CDM Forecast '!L59/1000</f>
        <v>5026.9780000000001</v>
      </c>
      <c r="J49" s="176">
        <f>D28/1000</f>
        <v>4900</v>
      </c>
      <c r="K49" s="176">
        <f>E28/1000</f>
        <v>4600</v>
      </c>
      <c r="L49" s="177">
        <f>K49*(K49/J49)</f>
        <v>4318.3673469387759</v>
      </c>
    </row>
    <row r="50" spans="1:12" ht="15.75" x14ac:dyDescent="0.2">
      <c r="B50" s="110">
        <f t="shared" si="4"/>
        <v>2012</v>
      </c>
      <c r="C50" s="176"/>
      <c r="D50" s="176"/>
      <c r="E50" s="176"/>
      <c r="F50" s="176"/>
      <c r="G50" s="176"/>
      <c r="H50" s="176"/>
      <c r="I50" s="176">
        <f>'CDM Forecast '!M59/1000</f>
        <v>5615.9489999999996</v>
      </c>
      <c r="J50" s="176">
        <f>'CDM Forecast '!M59/1000</f>
        <v>5615.9489999999996</v>
      </c>
      <c r="K50" s="176">
        <f>E29/1000</f>
        <v>5500</v>
      </c>
      <c r="L50" s="177">
        <f>K50*(K49/J49)</f>
        <v>5163.2653061224491</v>
      </c>
    </row>
    <row r="51" spans="1:12" ht="15.75" x14ac:dyDescent="0.2">
      <c r="B51" s="110">
        <f>B50+1</f>
        <v>2013</v>
      </c>
      <c r="C51" s="176"/>
      <c r="D51" s="176"/>
      <c r="E51" s="176"/>
      <c r="F51" s="176"/>
      <c r="G51" s="176"/>
      <c r="H51" s="176"/>
      <c r="I51" s="176"/>
      <c r="J51" s="176">
        <f>D30/1000</f>
        <v>7238.0486666666666</v>
      </c>
      <c r="K51" s="176">
        <f>E30/1000</f>
        <v>7238.0486666666666</v>
      </c>
      <c r="L51" s="177">
        <f>K51*(K50/J50)</f>
        <v>7088.6091854941469</v>
      </c>
    </row>
    <row r="52" spans="1:12" ht="15.75" x14ac:dyDescent="0.2">
      <c r="B52" s="110">
        <v>2014</v>
      </c>
      <c r="C52" s="176"/>
      <c r="D52" s="176"/>
      <c r="E52" s="176"/>
      <c r="F52" s="176"/>
      <c r="G52" s="176"/>
      <c r="H52" s="176"/>
      <c r="I52" s="176"/>
      <c r="J52" s="176"/>
      <c r="K52" s="176">
        <f>E31/1000</f>
        <v>7238.0486666666666</v>
      </c>
      <c r="L52" s="177">
        <f>K52</f>
        <v>7238.0486666666666</v>
      </c>
    </row>
    <row r="53" spans="1:12" ht="15.75" x14ac:dyDescent="0.2">
      <c r="B53" s="110">
        <v>2015</v>
      </c>
      <c r="C53" s="176"/>
      <c r="D53" s="176"/>
      <c r="E53" s="176"/>
      <c r="F53" s="176"/>
      <c r="G53" s="176"/>
      <c r="H53" s="176"/>
      <c r="I53" s="176"/>
      <c r="J53" s="176"/>
      <c r="K53" s="176"/>
      <c r="L53" s="177">
        <f>F32/1000*0.05</f>
        <v>2900</v>
      </c>
    </row>
    <row r="54" spans="1:12" ht="15.75" x14ac:dyDescent="0.2">
      <c r="B54" s="110" t="s">
        <v>11</v>
      </c>
      <c r="C54" s="178">
        <f t="shared" ref="C54:J54" si="5">SUM(C44:C51)</f>
        <v>4211.2711894206695</v>
      </c>
      <c r="D54" s="178">
        <f t="shared" si="5"/>
        <v>7800.5919686740635</v>
      </c>
      <c r="E54" s="178">
        <f t="shared" si="5"/>
        <v>9396.7890399039006</v>
      </c>
      <c r="F54" s="178">
        <f t="shared" si="5"/>
        <v>13106.361652460542</v>
      </c>
      <c r="G54" s="178">
        <f t="shared" si="5"/>
        <v>14225.868113924726</v>
      </c>
      <c r="H54" s="178">
        <f t="shared" si="5"/>
        <v>17860.866745271738</v>
      </c>
      <c r="I54" s="178">
        <f t="shared" si="5"/>
        <v>23164.672067604341</v>
      </c>
      <c r="J54" s="178">
        <f t="shared" si="5"/>
        <v>30183.942252508579</v>
      </c>
      <c r="K54" s="178">
        <f>SUM(K44:K53)</f>
        <v>36443.377540986054</v>
      </c>
      <c r="L54" s="179">
        <f>SUM(L44:L53)</f>
        <v>36522.714324180342</v>
      </c>
    </row>
    <row r="57" spans="1:12" x14ac:dyDescent="0.2">
      <c r="A57" t="s">
        <v>169</v>
      </c>
    </row>
    <row r="58" spans="1:12" x14ac:dyDescent="0.2">
      <c r="A58" t="s">
        <v>170</v>
      </c>
    </row>
    <row r="59" spans="1:12" x14ac:dyDescent="0.2">
      <c r="D59" s="180"/>
    </row>
    <row r="60" spans="1:12" x14ac:dyDescent="0.2">
      <c r="A60" t="s">
        <v>171</v>
      </c>
      <c r="D60" s="180">
        <f>-K52/2</f>
        <v>-3619.0243333333333</v>
      </c>
    </row>
    <row r="61" spans="1:12" x14ac:dyDescent="0.2">
      <c r="D61" s="181">
        <f>SUM(D59:D60)</f>
        <v>-3619.0243333333333</v>
      </c>
    </row>
    <row r="62" spans="1:12" x14ac:dyDescent="0.2">
      <c r="A62" t="s">
        <v>172</v>
      </c>
      <c r="D62" s="180"/>
    </row>
    <row r="63" spans="1:12" x14ac:dyDescent="0.2">
      <c r="D63" s="180"/>
    </row>
    <row r="64" spans="1:12" x14ac:dyDescent="0.2">
      <c r="A64" s="319" t="s">
        <v>299</v>
      </c>
      <c r="D64" s="180">
        <f>-L52</f>
        <v>-7238.0486666666666</v>
      </c>
    </row>
    <row r="65" spans="1:14" x14ac:dyDescent="0.2">
      <c r="A65" t="s">
        <v>173</v>
      </c>
      <c r="D65" s="180">
        <f>-L53/2</f>
        <v>-1450</v>
      </c>
    </row>
    <row r="66" spans="1:14" x14ac:dyDescent="0.2">
      <c r="D66" s="181">
        <f>SUM(D63:D65)</f>
        <v>-8688.0486666666657</v>
      </c>
    </row>
    <row r="68" spans="1:14" x14ac:dyDescent="0.2">
      <c r="A68" s="2">
        <v>38718</v>
      </c>
      <c r="B68" s="180">
        <f>E6*0.5</f>
        <v>13497.664068655991</v>
      </c>
      <c r="D68" s="2">
        <v>39448</v>
      </c>
      <c r="E68" s="180">
        <f>B91+0.5*E8</f>
        <v>555157.75763480517</v>
      </c>
      <c r="G68" s="32">
        <v>40179</v>
      </c>
      <c r="H68" s="101">
        <f>E91+0.5*E10</f>
        <v>927754.68851152586</v>
      </c>
      <c r="J68" s="2">
        <v>40909</v>
      </c>
      <c r="K68" s="180">
        <f>H91+0.5*E12</f>
        <v>1276419.4670458683</v>
      </c>
      <c r="M68" s="2">
        <v>41640</v>
      </c>
      <c r="N68" s="180">
        <f>K91+0.5*E14</f>
        <v>2148417.1950117499</v>
      </c>
    </row>
    <row r="69" spans="1:14" x14ac:dyDescent="0.2">
      <c r="A69" s="2">
        <v>38749</v>
      </c>
      <c r="B69" s="180">
        <f t="shared" ref="B69:B78" si="6">B68+$E$6</f>
        <v>40492.992205967974</v>
      </c>
      <c r="D69" s="2">
        <v>39479</v>
      </c>
      <c r="E69" s="180">
        <f t="shared" ref="E69:E78" si="7">E68+$E$8</f>
        <v>565389.79014268878</v>
      </c>
      <c r="G69" s="32">
        <v>40210</v>
      </c>
      <c r="H69" s="101">
        <f t="shared" ref="H69:H78" si="8">H68+$E$10</f>
        <v>934931.01198245015</v>
      </c>
      <c r="J69" s="2">
        <v>40940</v>
      </c>
      <c r="K69" s="180">
        <f t="shared" ref="K69:K78" si="9">K68+$E$12</f>
        <v>1310418.2191121029</v>
      </c>
      <c r="M69" s="2">
        <v>41671</v>
      </c>
      <c r="N69" s="180">
        <f t="shared" ref="N69:N78" si="10">N68+$E$14</f>
        <v>2188541.7801942979</v>
      </c>
    </row>
    <row r="70" spans="1:14" x14ac:dyDescent="0.2">
      <c r="A70" s="2">
        <v>38777</v>
      </c>
      <c r="B70" s="180">
        <f t="shared" si="6"/>
        <v>67488.320343279949</v>
      </c>
      <c r="D70" s="2">
        <v>39508</v>
      </c>
      <c r="E70" s="180">
        <f t="shared" si="7"/>
        <v>575621.8226505724</v>
      </c>
      <c r="G70" s="32">
        <v>40238</v>
      </c>
      <c r="H70" s="101">
        <f t="shared" si="8"/>
        <v>942107.33545337443</v>
      </c>
      <c r="J70" s="2">
        <v>40969</v>
      </c>
      <c r="K70" s="180">
        <f t="shared" si="9"/>
        <v>1344416.9711783375</v>
      </c>
      <c r="M70" s="2">
        <v>41699</v>
      </c>
      <c r="N70" s="180">
        <f t="shared" si="10"/>
        <v>2228666.3653768459</v>
      </c>
    </row>
    <row r="71" spans="1:14" x14ac:dyDescent="0.2">
      <c r="A71" s="2">
        <v>38808</v>
      </c>
      <c r="B71" s="180">
        <f t="shared" si="6"/>
        <v>94483.648480591932</v>
      </c>
      <c r="D71" s="2">
        <v>39539</v>
      </c>
      <c r="E71" s="180">
        <f t="shared" si="7"/>
        <v>585853.85515845602</v>
      </c>
      <c r="G71" s="32">
        <v>40269</v>
      </c>
      <c r="H71" s="101">
        <f t="shared" si="8"/>
        <v>949283.65892429871</v>
      </c>
      <c r="J71" s="2">
        <v>41000</v>
      </c>
      <c r="K71" s="180">
        <f t="shared" si="9"/>
        <v>1378415.7232445721</v>
      </c>
      <c r="M71" s="2">
        <v>41730</v>
      </c>
      <c r="N71" s="180">
        <f t="shared" si="10"/>
        <v>2268790.950559394</v>
      </c>
    </row>
    <row r="72" spans="1:14" x14ac:dyDescent="0.2">
      <c r="A72" s="2">
        <v>38838</v>
      </c>
      <c r="B72" s="180">
        <f t="shared" si="6"/>
        <v>121478.97661790391</v>
      </c>
      <c r="D72" s="2">
        <v>39569</v>
      </c>
      <c r="E72" s="180">
        <f t="shared" si="7"/>
        <v>596085.88766633964</v>
      </c>
      <c r="G72" s="32">
        <v>40299</v>
      </c>
      <c r="H72" s="101">
        <f t="shared" si="8"/>
        <v>956459.98239522299</v>
      </c>
      <c r="J72" s="2">
        <v>41030</v>
      </c>
      <c r="K72" s="180">
        <f t="shared" si="9"/>
        <v>1412414.4753108067</v>
      </c>
      <c r="M72" s="2">
        <v>41760</v>
      </c>
      <c r="N72" s="180">
        <f t="shared" si="10"/>
        <v>2308915.535741942</v>
      </c>
    </row>
    <row r="73" spans="1:14" x14ac:dyDescent="0.2">
      <c r="A73" s="2">
        <v>38869</v>
      </c>
      <c r="B73" s="180">
        <f t="shared" si="6"/>
        <v>148474.30475521588</v>
      </c>
      <c r="D73" s="2">
        <v>39600</v>
      </c>
      <c r="E73" s="180">
        <f t="shared" si="7"/>
        <v>606317.92017422325</v>
      </c>
      <c r="G73" s="32">
        <v>40330</v>
      </c>
      <c r="H73" s="101">
        <f t="shared" si="8"/>
        <v>963636.30586614728</v>
      </c>
      <c r="J73" s="2">
        <v>41061</v>
      </c>
      <c r="K73" s="180">
        <f t="shared" si="9"/>
        <v>1446413.2273770412</v>
      </c>
      <c r="M73" s="2">
        <v>41791</v>
      </c>
      <c r="N73" s="180">
        <f t="shared" si="10"/>
        <v>2349040.12092449</v>
      </c>
    </row>
    <row r="74" spans="1:14" x14ac:dyDescent="0.2">
      <c r="A74" s="2">
        <v>38899</v>
      </c>
      <c r="B74" s="180">
        <f t="shared" si="6"/>
        <v>175469.63289252785</v>
      </c>
      <c r="D74" s="2">
        <v>39630</v>
      </c>
      <c r="E74" s="180">
        <f t="shared" si="7"/>
        <v>616549.95268210687</v>
      </c>
      <c r="G74" s="32">
        <v>40360</v>
      </c>
      <c r="H74" s="101">
        <f t="shared" si="8"/>
        <v>970812.62933707156</v>
      </c>
      <c r="J74" s="2">
        <v>41091</v>
      </c>
      <c r="K74" s="180">
        <f t="shared" si="9"/>
        <v>1480411.9794432758</v>
      </c>
      <c r="M74" s="2">
        <v>41821</v>
      </c>
      <c r="N74" s="180">
        <f t="shared" si="10"/>
        <v>2389164.7061070381</v>
      </c>
    </row>
    <row r="75" spans="1:14" x14ac:dyDescent="0.2">
      <c r="A75" s="2">
        <v>38930</v>
      </c>
      <c r="B75" s="180">
        <f t="shared" si="6"/>
        <v>202464.96102983982</v>
      </c>
      <c r="D75" s="2">
        <v>39661</v>
      </c>
      <c r="E75" s="180">
        <f t="shared" si="7"/>
        <v>626781.98518999049</v>
      </c>
      <c r="G75" s="32">
        <v>40391</v>
      </c>
      <c r="H75" s="101">
        <f t="shared" si="8"/>
        <v>977988.95280799584</v>
      </c>
      <c r="J75" s="2">
        <v>41122</v>
      </c>
      <c r="K75" s="180">
        <f t="shared" si="9"/>
        <v>1514410.7315095104</v>
      </c>
      <c r="M75" s="2">
        <v>41852</v>
      </c>
      <c r="N75" s="180">
        <f t="shared" si="10"/>
        <v>2429289.2912895861</v>
      </c>
    </row>
    <row r="76" spans="1:14" x14ac:dyDescent="0.2">
      <c r="A76" s="2">
        <v>38961</v>
      </c>
      <c r="B76" s="180">
        <f t="shared" si="6"/>
        <v>229460.28916715179</v>
      </c>
      <c r="D76" s="2">
        <v>39692</v>
      </c>
      <c r="E76" s="180">
        <f t="shared" si="7"/>
        <v>637014.01769787411</v>
      </c>
      <c r="G76" s="32">
        <v>40422</v>
      </c>
      <c r="H76" s="101">
        <f t="shared" si="8"/>
        <v>985165.27627892012</v>
      </c>
      <c r="J76" s="2">
        <v>41153</v>
      </c>
      <c r="K76" s="180">
        <f t="shared" si="9"/>
        <v>1548409.483575745</v>
      </c>
      <c r="M76" s="2">
        <v>41883</v>
      </c>
      <c r="N76" s="180">
        <f t="shared" si="10"/>
        <v>2469413.8764721341</v>
      </c>
    </row>
    <row r="77" spans="1:14" x14ac:dyDescent="0.2">
      <c r="A77" s="2">
        <v>38991</v>
      </c>
      <c r="B77" s="180">
        <f t="shared" si="6"/>
        <v>256455.61730446375</v>
      </c>
      <c r="D77" s="2">
        <v>39722</v>
      </c>
      <c r="E77" s="180">
        <f t="shared" si="7"/>
        <v>647246.05020575773</v>
      </c>
      <c r="G77" s="32">
        <v>40452</v>
      </c>
      <c r="H77" s="101">
        <f t="shared" si="8"/>
        <v>992341.5997498444</v>
      </c>
      <c r="J77" s="2">
        <v>41183</v>
      </c>
      <c r="K77" s="180">
        <f t="shared" si="9"/>
        <v>1582408.2356419796</v>
      </c>
      <c r="M77" s="2">
        <v>41913</v>
      </c>
      <c r="N77" s="180">
        <f t="shared" si="10"/>
        <v>2509538.4616546822</v>
      </c>
    </row>
    <row r="78" spans="1:14" x14ac:dyDescent="0.2">
      <c r="A78" s="2">
        <v>39022</v>
      </c>
      <c r="B78" s="180">
        <f t="shared" si="6"/>
        <v>283450.94544177572</v>
      </c>
      <c r="D78" s="2">
        <v>39753</v>
      </c>
      <c r="E78" s="180">
        <f t="shared" si="7"/>
        <v>657478.08271364134</v>
      </c>
      <c r="G78" s="32">
        <v>40483</v>
      </c>
      <c r="H78" s="101">
        <f t="shared" si="8"/>
        <v>999517.92322076869</v>
      </c>
      <c r="J78" s="2">
        <v>41214</v>
      </c>
      <c r="K78" s="180">
        <f t="shared" si="9"/>
        <v>1616406.9877082142</v>
      </c>
      <c r="M78" s="2">
        <v>41944</v>
      </c>
      <c r="N78" s="180">
        <f t="shared" si="10"/>
        <v>2549663.0468372302</v>
      </c>
    </row>
    <row r="79" spans="1:14" x14ac:dyDescent="0.2">
      <c r="A79" s="2">
        <v>39052</v>
      </c>
      <c r="B79" s="182">
        <f>B78+E6*0.5</f>
        <v>296948.60951043171</v>
      </c>
      <c r="D79" s="2">
        <v>39783</v>
      </c>
      <c r="E79" s="180">
        <f>E78+0.5*E8</f>
        <v>662594.09896758315</v>
      </c>
      <c r="G79" s="32">
        <v>40513</v>
      </c>
      <c r="H79" s="101">
        <f>H78+0.5*E10</f>
        <v>1003106.0849562308</v>
      </c>
      <c r="J79" s="2">
        <v>41244</v>
      </c>
      <c r="K79" s="180">
        <f>K78+0.5*E12</f>
        <v>1633406.3637413315</v>
      </c>
      <c r="M79" s="2">
        <v>41974</v>
      </c>
      <c r="N79" s="180">
        <f>N78+0.5*E14</f>
        <v>2569725.339428504</v>
      </c>
    </row>
    <row r="80" spans="1:14" x14ac:dyDescent="0.2">
      <c r="A80" s="2">
        <v>39083</v>
      </c>
      <c r="B80" s="180">
        <f>B79+0.5*E7</f>
        <v>308452.84277726948</v>
      </c>
      <c r="D80" s="2">
        <v>39814</v>
      </c>
      <c r="E80" s="180">
        <f>E79+0.5*E9</f>
        <v>674483.75477705954</v>
      </c>
      <c r="G80" s="2">
        <v>40544</v>
      </c>
      <c r="H80" s="180">
        <f>H79+0.5*E11</f>
        <v>1014756.7215951636</v>
      </c>
      <c r="J80" s="2">
        <v>41275</v>
      </c>
      <c r="K80" s="180">
        <f>K79+0.5*E13</f>
        <v>1655904.0245903835</v>
      </c>
      <c r="M80" s="2">
        <v>42005</v>
      </c>
      <c r="N80" s="180">
        <f>N79+0.5*E15</f>
        <v>2569979.623990024</v>
      </c>
    </row>
    <row r="81" spans="1:14" x14ac:dyDescent="0.2">
      <c r="A81" s="2">
        <v>39114</v>
      </c>
      <c r="B81" s="180">
        <f t="shared" ref="B81:B90" si="11">B80+$E$7</f>
        <v>331461.3093109451</v>
      </c>
      <c r="D81" s="2">
        <v>39845</v>
      </c>
      <c r="E81" s="180">
        <f t="shared" ref="E81:E90" si="12">E80+$E$9</f>
        <v>698263.06639601232</v>
      </c>
      <c r="G81" s="2">
        <v>40575</v>
      </c>
      <c r="H81" s="180">
        <f t="shared" ref="H81:H90" si="13">H80+$E$11</f>
        <v>1038057.9948730291</v>
      </c>
      <c r="J81" s="2">
        <v>41306</v>
      </c>
      <c r="K81" s="180">
        <f t="shared" ref="K81:K90" si="14">K80+$E$13</f>
        <v>1700899.3462884875</v>
      </c>
      <c r="M81" s="2">
        <v>42036</v>
      </c>
      <c r="N81" s="180">
        <f t="shared" ref="N81:N90" si="15">N80+$E$15</f>
        <v>2570488.1931130644</v>
      </c>
    </row>
    <row r="82" spans="1:14" x14ac:dyDescent="0.2">
      <c r="A82" s="2">
        <v>39142</v>
      </c>
      <c r="B82" s="180">
        <f t="shared" si="11"/>
        <v>354469.77584462072</v>
      </c>
      <c r="D82" s="2">
        <v>39873</v>
      </c>
      <c r="E82" s="180">
        <f t="shared" si="12"/>
        <v>722042.3780149651</v>
      </c>
      <c r="G82" s="2">
        <v>40603</v>
      </c>
      <c r="H82" s="180">
        <f t="shared" si="13"/>
        <v>1061359.2681508944</v>
      </c>
      <c r="J82" s="2">
        <v>41334</v>
      </c>
      <c r="K82" s="180">
        <f t="shared" si="14"/>
        <v>1745894.6679865916</v>
      </c>
      <c r="M82" s="2">
        <v>42064</v>
      </c>
      <c r="N82" s="180">
        <f t="shared" si="15"/>
        <v>2570996.7622361048</v>
      </c>
    </row>
    <row r="83" spans="1:14" x14ac:dyDescent="0.2">
      <c r="A83" s="2">
        <v>39173</v>
      </c>
      <c r="B83" s="180">
        <f t="shared" si="11"/>
        <v>377478.24237829633</v>
      </c>
      <c r="D83" s="2">
        <v>39904</v>
      </c>
      <c r="E83" s="180">
        <f t="shared" si="12"/>
        <v>745821.68963391788</v>
      </c>
      <c r="G83" s="2">
        <v>40634</v>
      </c>
      <c r="H83" s="180">
        <f t="shared" si="13"/>
        <v>1084660.5414287599</v>
      </c>
      <c r="J83" s="2">
        <v>41365</v>
      </c>
      <c r="K83" s="180">
        <f t="shared" si="14"/>
        <v>1790889.9896846956</v>
      </c>
      <c r="M83" s="2">
        <v>42095</v>
      </c>
      <c r="N83" s="180">
        <f t="shared" si="15"/>
        <v>2571505.3313591452</v>
      </c>
    </row>
    <row r="84" spans="1:14" x14ac:dyDescent="0.2">
      <c r="A84" s="2">
        <v>39203</v>
      </c>
      <c r="B84" s="180">
        <f t="shared" si="11"/>
        <v>400486.70891197195</v>
      </c>
      <c r="D84" s="2">
        <v>39934</v>
      </c>
      <c r="E84" s="180">
        <f t="shared" si="12"/>
        <v>769601.00125287066</v>
      </c>
      <c r="G84" s="2">
        <v>40664</v>
      </c>
      <c r="H84" s="180">
        <f t="shared" si="13"/>
        <v>1107961.8147066254</v>
      </c>
      <c r="J84" s="2">
        <v>41395</v>
      </c>
      <c r="K84" s="180">
        <f t="shared" si="14"/>
        <v>1835885.3113827996</v>
      </c>
      <c r="M84" s="2">
        <v>42125</v>
      </c>
      <c r="N84" s="180">
        <f t="shared" si="15"/>
        <v>2572013.9004821857</v>
      </c>
    </row>
    <row r="85" spans="1:14" x14ac:dyDescent="0.2">
      <c r="A85" s="2">
        <v>39234</v>
      </c>
      <c r="B85" s="180">
        <f t="shared" si="11"/>
        <v>423495.17544564756</v>
      </c>
      <c r="D85" s="2">
        <v>39965</v>
      </c>
      <c r="E85" s="180">
        <f t="shared" si="12"/>
        <v>793380.31287182344</v>
      </c>
      <c r="G85" s="2">
        <v>40695</v>
      </c>
      <c r="H85" s="180">
        <f t="shared" si="13"/>
        <v>1131263.0879844909</v>
      </c>
      <c r="J85" s="2">
        <v>41426</v>
      </c>
      <c r="K85" s="180">
        <f t="shared" si="14"/>
        <v>1880880.6330809037</v>
      </c>
      <c r="M85" s="2">
        <v>42156</v>
      </c>
      <c r="N85" s="180">
        <f t="shared" si="15"/>
        <v>2572522.4696052261</v>
      </c>
    </row>
    <row r="86" spans="1:14" x14ac:dyDescent="0.2">
      <c r="A86" s="2">
        <v>39264</v>
      </c>
      <c r="B86" s="180">
        <f t="shared" si="11"/>
        <v>446503.64197932318</v>
      </c>
      <c r="D86" s="2">
        <v>39995</v>
      </c>
      <c r="E86" s="180">
        <f t="shared" si="12"/>
        <v>817159.62449077622</v>
      </c>
      <c r="G86" s="2">
        <v>40725</v>
      </c>
      <c r="H86" s="180">
        <f t="shared" si="13"/>
        <v>1154564.3612623564</v>
      </c>
      <c r="J86" s="2">
        <v>41456</v>
      </c>
      <c r="K86" s="180">
        <f t="shared" si="14"/>
        <v>1925875.9547790077</v>
      </c>
      <c r="M86" s="2">
        <v>42186</v>
      </c>
      <c r="N86" s="180">
        <f t="shared" si="15"/>
        <v>2573031.0387282665</v>
      </c>
    </row>
    <row r="87" spans="1:14" x14ac:dyDescent="0.2">
      <c r="A87" s="2">
        <v>39295</v>
      </c>
      <c r="B87" s="180">
        <f t="shared" si="11"/>
        <v>469512.10851299879</v>
      </c>
      <c r="D87" s="2">
        <v>40026</v>
      </c>
      <c r="E87" s="180">
        <f t="shared" si="12"/>
        <v>840938.93610972899</v>
      </c>
      <c r="G87" s="2">
        <v>40756</v>
      </c>
      <c r="H87" s="180">
        <f t="shared" si="13"/>
        <v>1177865.6345402219</v>
      </c>
      <c r="J87" s="2">
        <v>41487</v>
      </c>
      <c r="K87" s="180">
        <f t="shared" si="14"/>
        <v>1970871.2764771117</v>
      </c>
      <c r="M87" s="2">
        <v>42217</v>
      </c>
      <c r="N87" s="180">
        <f t="shared" si="15"/>
        <v>2573539.6078513069</v>
      </c>
    </row>
    <row r="88" spans="1:14" x14ac:dyDescent="0.2">
      <c r="A88" s="2">
        <v>39326</v>
      </c>
      <c r="B88" s="180">
        <f t="shared" si="11"/>
        <v>492520.57504667441</v>
      </c>
      <c r="D88" s="2">
        <v>40057</v>
      </c>
      <c r="E88" s="180">
        <f t="shared" si="12"/>
        <v>864718.24772868177</v>
      </c>
      <c r="G88" s="2">
        <v>40787</v>
      </c>
      <c r="H88" s="180">
        <f t="shared" si="13"/>
        <v>1201166.9078180874</v>
      </c>
      <c r="J88" s="2">
        <v>41518</v>
      </c>
      <c r="K88" s="180">
        <f t="shared" si="14"/>
        <v>2015866.5981752158</v>
      </c>
      <c r="M88" s="2">
        <v>42248</v>
      </c>
      <c r="N88" s="180">
        <f t="shared" si="15"/>
        <v>2574048.1769743473</v>
      </c>
    </row>
    <row r="89" spans="1:14" x14ac:dyDescent="0.2">
      <c r="A89" s="2">
        <v>39356</v>
      </c>
      <c r="B89" s="180">
        <f t="shared" si="11"/>
        <v>515529.04158035002</v>
      </c>
      <c r="D89" s="2">
        <v>40087</v>
      </c>
      <c r="E89" s="180">
        <f t="shared" si="12"/>
        <v>888497.55934763455</v>
      </c>
      <c r="G89" s="2">
        <v>40817</v>
      </c>
      <c r="H89" s="180">
        <f t="shared" si="13"/>
        <v>1224468.1810959529</v>
      </c>
      <c r="J89" s="2">
        <v>41548</v>
      </c>
      <c r="K89" s="180">
        <f t="shared" si="14"/>
        <v>2060861.9198733198</v>
      </c>
      <c r="M89" s="2">
        <v>42278</v>
      </c>
      <c r="N89" s="180">
        <f t="shared" si="15"/>
        <v>2574556.7460973877</v>
      </c>
    </row>
    <row r="90" spans="1:14" x14ac:dyDescent="0.2">
      <c r="A90" s="2">
        <v>39387</v>
      </c>
      <c r="B90" s="180">
        <f t="shared" si="11"/>
        <v>538537.50811402558</v>
      </c>
      <c r="D90" s="2">
        <v>40118</v>
      </c>
      <c r="E90" s="180">
        <f t="shared" si="12"/>
        <v>912276.87096658733</v>
      </c>
      <c r="G90" s="2">
        <v>40848</v>
      </c>
      <c r="H90" s="180">
        <f t="shared" si="13"/>
        <v>1247769.4543738184</v>
      </c>
      <c r="J90" s="2">
        <v>41579</v>
      </c>
      <c r="K90" s="180">
        <f t="shared" si="14"/>
        <v>2105857.2415714241</v>
      </c>
      <c r="M90" s="2">
        <v>42309</v>
      </c>
      <c r="N90" s="180">
        <f t="shared" si="15"/>
        <v>2575065.3152204282</v>
      </c>
    </row>
    <row r="91" spans="1:14" x14ac:dyDescent="0.2">
      <c r="A91" s="2">
        <v>39417</v>
      </c>
      <c r="B91" s="180">
        <f>B90+0.5*E7</f>
        <v>550041.74138086336</v>
      </c>
      <c r="D91" s="2">
        <v>40148</v>
      </c>
      <c r="E91" s="180">
        <f>E90+0.5*E9</f>
        <v>924166.52677606372</v>
      </c>
      <c r="G91" s="2">
        <v>40878</v>
      </c>
      <c r="H91" s="180">
        <f>H90+0.5*E11</f>
        <v>1259420.091012751</v>
      </c>
      <c r="J91" s="2">
        <v>41609</v>
      </c>
      <c r="K91" s="180">
        <f>K90+0.5*E13</f>
        <v>2128354.9024204761</v>
      </c>
      <c r="M91" s="2">
        <v>42339</v>
      </c>
      <c r="N91" s="180">
        <f>N90+0.5*E15</f>
        <v>2575319.5997819481</v>
      </c>
    </row>
  </sheetData>
  <mergeCells count="3">
    <mergeCell ref="A19:F19"/>
    <mergeCell ref="A20:F20"/>
    <mergeCell ref="A27:F27"/>
  </mergeCells>
  <pageMargins left="0.24" right="0.2" top="0.38" bottom="0.43" header="0.3" footer="0.3"/>
  <pageSetup scale="61" fitToHeight="2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Summary</vt:lpstr>
      <vt:lpstr>Details of 2014 2015 Predicted</vt:lpstr>
      <vt:lpstr>Purchased Power Model</vt:lpstr>
      <vt:lpstr>Rate Class Energy Model</vt:lpstr>
      <vt:lpstr>Rate Class Customer Model</vt:lpstr>
      <vt:lpstr>Rate Class Load Model</vt:lpstr>
      <vt:lpstr>Load Transfers</vt:lpstr>
      <vt:lpstr>2006-2010 Final CDM</vt:lpstr>
      <vt:lpstr>CDM Activity</vt:lpstr>
      <vt:lpstr>CDM Forecast </vt:lpstr>
      <vt:lpstr>2014 COP Forecast</vt:lpstr>
      <vt:lpstr>2015 COP Forecast</vt:lpstr>
      <vt:lpstr>Calculation of MAPE</vt:lpstr>
      <vt:lpstr>Annual Chart</vt:lpstr>
      <vt:lpstr>Monthly Chart</vt:lpstr>
      <vt:lpstr>'Purchased Power Model'!Print_Area</vt:lpstr>
      <vt:lpstr>'Purchased Power Model'!Print_Titles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Paul Blythin</cp:lastModifiedBy>
  <cp:lastPrinted>2014-08-25T17:21:31Z</cp:lastPrinted>
  <dcterms:created xsi:type="dcterms:W3CDTF">2008-02-06T18:24:44Z</dcterms:created>
  <dcterms:modified xsi:type="dcterms:W3CDTF">2014-09-16T14:56:21Z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307958618</vt:i4>
  </property>
  <property fmtid="{D5CDD505-2E9C-101B-9397-08002B2CF9AE}" pid="3" name="_EmailSubject">
    <vt:lpwstr>Follow-Up - London Hydro Rate Application</vt:lpwstr>
  </property>
  <property fmtid="{D5CDD505-2E9C-101B-9397-08002B2CF9AE}" pid="4" name="_AuthorEmail">
    <vt:lpwstr>cascians@LondonHydro.com</vt:lpwstr>
  </property>
  <property fmtid="{D5CDD505-2E9C-101B-9397-08002B2CF9AE}" pid="5" name="_AuthorEmailDisplayName">
    <vt:lpwstr>Casciano, Susan</vt:lpwstr>
  </property>
  <property fmtid="{D5CDD505-2E9C-101B-9397-08002B2CF9AE}" pid="6" name="DM_Links_Updated">
    <vt:bool>true</vt:bool>
  </property>
  <property fmtid="{D5CDD505-2E9C-101B-9397-08002B2CF9AE}" pid="7" name="_ReviewingToolsShownOnce">
    <vt:lpwstr/>
  </property>
</Properties>
</file>