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75" windowWidth="28275" windowHeight="11505"/>
  </bookViews>
  <sheets>
    <sheet name="2-BA" sheetId="1" r:id="rId1"/>
    <sheet name="2-BA Comparative tables" sheetId="2" r:id="rId2"/>
    <sheet name="Sheet3" sheetId="3" r:id="rId3"/>
  </sheets>
  <externalReferences>
    <externalReference r:id="rId4"/>
    <externalReference r:id="rId5"/>
  </externalReferences>
  <definedNames>
    <definedName name="EBNUMBER">'[1]LDC Info'!$E$16</definedName>
  </definedNames>
  <calcPr calcId="125725"/>
</workbook>
</file>

<file path=xl/calcChain.xml><?xml version="1.0" encoding="utf-8"?>
<calcChain xmlns="http://schemas.openxmlformats.org/spreadsheetml/2006/main">
  <c r="E538" i="1"/>
  <c r="E312" l="1"/>
  <c r="K563" l="1"/>
  <c r="M563" s="1"/>
  <c r="M536" l="1"/>
  <c r="K343"/>
  <c r="L523" s="1"/>
  <c r="L542"/>
  <c r="L541"/>
  <c r="L538"/>
  <c r="K547"/>
  <c r="K544"/>
  <c r="K542"/>
  <c r="K541"/>
  <c r="K540"/>
  <c r="K539"/>
  <c r="K538"/>
  <c r="K535"/>
  <c r="I563"/>
  <c r="I562"/>
  <c r="I561"/>
  <c r="I560"/>
  <c r="I559"/>
  <c r="I558"/>
  <c r="I557"/>
  <c r="I556"/>
  <c r="I555"/>
  <c r="I554"/>
  <c r="I553"/>
  <c r="I552"/>
  <c r="I551"/>
  <c r="I550"/>
  <c r="I549"/>
  <c r="I548"/>
  <c r="I547"/>
  <c r="I546"/>
  <c r="I545"/>
  <c r="I543"/>
  <c r="I542"/>
  <c r="I541"/>
  <c r="I540"/>
  <c r="I539"/>
  <c r="I538"/>
  <c r="I537"/>
  <c r="I535"/>
  <c r="I534"/>
  <c r="I533"/>
  <c r="F542"/>
  <c r="F553"/>
  <c r="F540"/>
  <c r="F538"/>
  <c r="D563"/>
  <c r="D562"/>
  <c r="D561"/>
  <c r="D560"/>
  <c r="D559"/>
  <c r="D558"/>
  <c r="D557"/>
  <c r="D556"/>
  <c r="D555"/>
  <c r="D554"/>
  <c r="D553"/>
  <c r="D552"/>
  <c r="D551"/>
  <c r="D550"/>
  <c r="D549"/>
  <c r="D548"/>
  <c r="D547"/>
  <c r="D546"/>
  <c r="D545"/>
  <c r="D544"/>
  <c r="D543"/>
  <c r="D542"/>
  <c r="D541"/>
  <c r="D540"/>
  <c r="D539"/>
  <c r="D537"/>
  <c r="D535"/>
  <c r="D534"/>
  <c r="D533"/>
  <c r="L316"/>
  <c r="L315"/>
  <c r="L314"/>
  <c r="L313"/>
  <c r="L312"/>
  <c r="K321"/>
  <c r="K318"/>
  <c r="K316"/>
  <c r="K315"/>
  <c r="K314"/>
  <c r="K313"/>
  <c r="K312"/>
  <c r="K310"/>
  <c r="F316"/>
  <c r="F315"/>
  <c r="F314"/>
  <c r="F312"/>
  <c r="I195" i="2" l="1"/>
  <c r="E195"/>
  <c r="G194"/>
  <c r="M194" s="1"/>
  <c r="M193"/>
  <c r="G193"/>
  <c r="K192"/>
  <c r="K195" s="1"/>
  <c r="I192"/>
  <c r="F192"/>
  <c r="F195" s="1"/>
  <c r="E192"/>
  <c r="L191"/>
  <c r="J191"/>
  <c r="J192" s="1"/>
  <c r="J195" s="1"/>
  <c r="J197" s="1"/>
  <c r="K202" s="1"/>
  <c r="G191"/>
  <c r="M191" s="1"/>
  <c r="L190"/>
  <c r="G190"/>
  <c r="M190" s="1"/>
  <c r="L189"/>
  <c r="G189"/>
  <c r="M189" s="1"/>
  <c r="M188"/>
  <c r="L188"/>
  <c r="G188"/>
  <c r="M187"/>
  <c r="L187"/>
  <c r="G187"/>
  <c r="L186"/>
  <c r="G186"/>
  <c r="M186" s="1"/>
  <c r="L185"/>
  <c r="G185"/>
  <c r="M185" s="1"/>
  <c r="M184"/>
  <c r="L184"/>
  <c r="G184"/>
  <c r="M183"/>
  <c r="L183"/>
  <c r="G183"/>
  <c r="L182"/>
  <c r="G182"/>
  <c r="M182" s="1"/>
  <c r="L181"/>
  <c r="G181"/>
  <c r="M181" s="1"/>
  <c r="M180"/>
  <c r="L180"/>
  <c r="G180"/>
  <c r="M179"/>
  <c r="L179"/>
  <c r="G179"/>
  <c r="L178"/>
  <c r="G178"/>
  <c r="M178" s="1"/>
  <c r="L177"/>
  <c r="G177"/>
  <c r="M177" s="1"/>
  <c r="M176"/>
  <c r="L176"/>
  <c r="G176"/>
  <c r="M175"/>
  <c r="L175"/>
  <c r="G175"/>
  <c r="L174"/>
  <c r="G174"/>
  <c r="M174" s="1"/>
  <c r="L173"/>
  <c r="G173"/>
  <c r="M173" s="1"/>
  <c r="M172"/>
  <c r="L172"/>
  <c r="G172"/>
  <c r="M171"/>
  <c r="L171"/>
  <c r="G171"/>
  <c r="L170"/>
  <c r="G170"/>
  <c r="M170" s="1"/>
  <c r="L169"/>
  <c r="G169"/>
  <c r="M169" s="1"/>
  <c r="M168"/>
  <c r="L168"/>
  <c r="G168"/>
  <c r="M167"/>
  <c r="L167"/>
  <c r="G167"/>
  <c r="L166"/>
  <c r="G166"/>
  <c r="M166" s="1"/>
  <c r="L165"/>
  <c r="G165"/>
  <c r="M165" s="1"/>
  <c r="M164"/>
  <c r="L164"/>
  <c r="G164"/>
  <c r="M163"/>
  <c r="L163"/>
  <c r="G163"/>
  <c r="L162"/>
  <c r="G162"/>
  <c r="M162" s="1"/>
  <c r="L161"/>
  <c r="G161"/>
  <c r="M161" s="1"/>
  <c r="M160"/>
  <c r="L160"/>
  <c r="G160"/>
  <c r="M159"/>
  <c r="L159"/>
  <c r="G159"/>
  <c r="L158"/>
  <c r="G158"/>
  <c r="M158" s="1"/>
  <c r="L157"/>
  <c r="G157"/>
  <c r="M157" s="1"/>
  <c r="M156"/>
  <c r="L156"/>
  <c r="G156"/>
  <c r="M155"/>
  <c r="L155"/>
  <c r="G155"/>
  <c r="L154"/>
  <c r="G154"/>
  <c r="M154" s="1"/>
  <c r="L153"/>
  <c r="G153"/>
  <c r="M153" s="1"/>
  <c r="J152"/>
  <c r="L152" s="1"/>
  <c r="G152"/>
  <c r="M152" s="1"/>
  <c r="D152"/>
  <c r="D192" s="1"/>
  <c r="D195" s="1"/>
  <c r="L151"/>
  <c r="G151"/>
  <c r="M151" s="1"/>
  <c r="M150"/>
  <c r="L150"/>
  <c r="L192" s="1"/>
  <c r="L195" s="1"/>
  <c r="G150"/>
  <c r="G192" s="1"/>
  <c r="G195" s="1"/>
  <c r="J136"/>
  <c r="L136" s="1"/>
  <c r="M134"/>
  <c r="M137" s="1"/>
  <c r="K134"/>
  <c r="K137" s="1"/>
  <c r="J134"/>
  <c r="J137" s="1"/>
  <c r="I134"/>
  <c r="I137" s="1"/>
  <c r="F134"/>
  <c r="E134"/>
  <c r="D134"/>
  <c r="L133"/>
  <c r="G133"/>
  <c r="L132"/>
  <c r="G132"/>
  <c r="L131"/>
  <c r="G131"/>
  <c r="L130"/>
  <c r="G130"/>
  <c r="L129"/>
  <c r="G129"/>
  <c r="L128"/>
  <c r="G128"/>
  <c r="L127"/>
  <c r="G127"/>
  <c r="L126"/>
  <c r="G126"/>
  <c r="L125"/>
  <c r="G125"/>
  <c r="L124"/>
  <c r="G124"/>
  <c r="L123"/>
  <c r="G123"/>
  <c r="L122"/>
  <c r="G122"/>
  <c r="L121"/>
  <c r="G121"/>
  <c r="L120"/>
  <c r="G120"/>
  <c r="L119"/>
  <c r="G119"/>
  <c r="L118"/>
  <c r="G118"/>
  <c r="L117"/>
  <c r="G117"/>
  <c r="L116"/>
  <c r="G116"/>
  <c r="L115"/>
  <c r="G115"/>
  <c r="L114"/>
  <c r="G114"/>
  <c r="L113"/>
  <c r="G113"/>
  <c r="L112"/>
  <c r="G112"/>
  <c r="L111"/>
  <c r="G111"/>
  <c r="L110"/>
  <c r="G110"/>
  <c r="L109"/>
  <c r="G109"/>
  <c r="L108"/>
  <c r="G108"/>
  <c r="L107"/>
  <c r="G107"/>
  <c r="L106"/>
  <c r="G106"/>
  <c r="L105"/>
  <c r="L134" s="1"/>
  <c r="L137" s="1"/>
  <c r="G105"/>
  <c r="L104"/>
  <c r="G104"/>
  <c r="F89"/>
  <c r="K87"/>
  <c r="K90" s="1"/>
  <c r="F87"/>
  <c r="L85"/>
  <c r="L83"/>
  <c r="L82"/>
  <c r="L81"/>
  <c r="J75"/>
  <c r="L75" s="1"/>
  <c r="L74"/>
  <c r="L72"/>
  <c r="L71"/>
  <c r="J69"/>
  <c r="L69" s="1"/>
  <c r="L66"/>
  <c r="J66"/>
  <c r="E66"/>
  <c r="J65"/>
  <c r="L65" s="1"/>
  <c r="E65"/>
  <c r="J64"/>
  <c r="L64" s="1"/>
  <c r="E64"/>
  <c r="J63"/>
  <c r="L63" s="1"/>
  <c r="E63"/>
  <c r="J62"/>
  <c r="L62" s="1"/>
  <c r="E62"/>
  <c r="J61"/>
  <c r="L61" s="1"/>
  <c r="E61"/>
  <c r="J60"/>
  <c r="L60" s="1"/>
  <c r="E60"/>
  <c r="E87" s="1"/>
  <c r="E90" s="1"/>
  <c r="L59"/>
  <c r="J58"/>
  <c r="L58" s="1"/>
  <c r="L41"/>
  <c r="I89" s="1"/>
  <c r="L89" s="1"/>
  <c r="G40"/>
  <c r="D88" s="1"/>
  <c r="G88" s="1"/>
  <c r="K38"/>
  <c r="K37"/>
  <c r="F37"/>
  <c r="F41" s="1"/>
  <c r="G41" s="1"/>
  <c r="M41" s="1"/>
  <c r="E37"/>
  <c r="K36"/>
  <c r="K35"/>
  <c r="F35"/>
  <c r="K34"/>
  <c r="F34"/>
  <c r="K32"/>
  <c r="F32"/>
  <c r="K31"/>
  <c r="F31"/>
  <c r="K30"/>
  <c r="F30"/>
  <c r="K29"/>
  <c r="F29"/>
  <c r="K28"/>
  <c r="F28"/>
  <c r="J27"/>
  <c r="K26"/>
  <c r="K25"/>
  <c r="F25"/>
  <c r="K24"/>
  <c r="F24"/>
  <c r="K23"/>
  <c r="F23"/>
  <c r="K22"/>
  <c r="F22"/>
  <c r="K21"/>
  <c r="J21"/>
  <c r="F21"/>
  <c r="E21"/>
  <c r="K20"/>
  <c r="F20"/>
  <c r="K19"/>
  <c r="K18"/>
  <c r="J18"/>
  <c r="F18"/>
  <c r="E18"/>
  <c r="K17"/>
  <c r="J17"/>
  <c r="F17"/>
  <c r="E17"/>
  <c r="K16"/>
  <c r="J16"/>
  <c r="F16"/>
  <c r="E16"/>
  <c r="K15"/>
  <c r="J15"/>
  <c r="F15"/>
  <c r="E15"/>
  <c r="K14"/>
  <c r="J14"/>
  <c r="F14"/>
  <c r="E14"/>
  <c r="K13"/>
  <c r="J13"/>
  <c r="F13"/>
  <c r="E13"/>
  <c r="K12"/>
  <c r="J12"/>
  <c r="E12"/>
  <c r="K11"/>
  <c r="F11"/>
  <c r="K10"/>
  <c r="J10"/>
  <c r="F10"/>
  <c r="E10"/>
  <c r="K9"/>
  <c r="K8"/>
  <c r="F8"/>
  <c r="K566" i="1"/>
  <c r="I566"/>
  <c r="D566"/>
  <c r="G566" s="1"/>
  <c r="M565"/>
  <c r="G565"/>
  <c r="G563"/>
  <c r="M562"/>
  <c r="G562"/>
  <c r="M560"/>
  <c r="G560"/>
  <c r="M559"/>
  <c r="G559"/>
  <c r="M558"/>
  <c r="G558"/>
  <c r="M557"/>
  <c r="G557"/>
  <c r="M556"/>
  <c r="G556"/>
  <c r="M555"/>
  <c r="G555"/>
  <c r="M554"/>
  <c r="G554"/>
  <c r="K553"/>
  <c r="M552"/>
  <c r="G552"/>
  <c r="M551"/>
  <c r="G551"/>
  <c r="M550"/>
  <c r="G550"/>
  <c r="M549"/>
  <c r="G549"/>
  <c r="M548"/>
  <c r="G548"/>
  <c r="G547"/>
  <c r="M546"/>
  <c r="G546"/>
  <c r="N545"/>
  <c r="M545"/>
  <c r="G545"/>
  <c r="E544"/>
  <c r="K543"/>
  <c r="E543"/>
  <c r="E542"/>
  <c r="E541"/>
  <c r="E540"/>
  <c r="E539"/>
  <c r="G537"/>
  <c r="G536"/>
  <c r="G535"/>
  <c r="M534"/>
  <c r="M533"/>
  <c r="G533"/>
  <c r="M501"/>
  <c r="G501"/>
  <c r="M500"/>
  <c r="G500"/>
  <c r="L499"/>
  <c r="L502" s="1"/>
  <c r="K499"/>
  <c r="K502" s="1"/>
  <c r="K504" s="1"/>
  <c r="L509" s="1"/>
  <c r="I499"/>
  <c r="I502" s="1"/>
  <c r="F499"/>
  <c r="F502" s="1"/>
  <c r="E499"/>
  <c r="E502" s="1"/>
  <c r="D499"/>
  <c r="D502" s="1"/>
  <c r="M498"/>
  <c r="G498"/>
  <c r="M497"/>
  <c r="G497"/>
  <c r="M496"/>
  <c r="G496"/>
  <c r="M495"/>
  <c r="G495"/>
  <c r="M494"/>
  <c r="G494"/>
  <c r="M493"/>
  <c r="G493"/>
  <c r="M492"/>
  <c r="G492"/>
  <c r="M491"/>
  <c r="G491"/>
  <c r="M490"/>
  <c r="G490"/>
  <c r="M489"/>
  <c r="G489"/>
  <c r="M488"/>
  <c r="G488"/>
  <c r="M487"/>
  <c r="G487"/>
  <c r="M486"/>
  <c r="G486"/>
  <c r="M485"/>
  <c r="G485"/>
  <c r="M484"/>
  <c r="G484"/>
  <c r="M483"/>
  <c r="G483"/>
  <c r="M482"/>
  <c r="G482"/>
  <c r="M481"/>
  <c r="G481"/>
  <c r="N481" s="1"/>
  <c r="N480"/>
  <c r="M480"/>
  <c r="G480"/>
  <c r="M479"/>
  <c r="G479"/>
  <c r="M478"/>
  <c r="G478"/>
  <c r="M477"/>
  <c r="G477"/>
  <c r="M476"/>
  <c r="G476"/>
  <c r="M475"/>
  <c r="G475"/>
  <c r="M474"/>
  <c r="G474"/>
  <c r="M473"/>
  <c r="G473"/>
  <c r="M472"/>
  <c r="G472"/>
  <c r="M471"/>
  <c r="G471"/>
  <c r="M470"/>
  <c r="G470"/>
  <c r="M469"/>
  <c r="G469"/>
  <c r="M468"/>
  <c r="G468"/>
  <c r="M467"/>
  <c r="G467"/>
  <c r="M466"/>
  <c r="G466"/>
  <c r="M465"/>
  <c r="G465"/>
  <c r="M464"/>
  <c r="G464"/>
  <c r="M463"/>
  <c r="G463"/>
  <c r="M462"/>
  <c r="G462"/>
  <c r="M461"/>
  <c r="G461"/>
  <c r="M460"/>
  <c r="G460"/>
  <c r="M459"/>
  <c r="G459"/>
  <c r="M458"/>
  <c r="G458"/>
  <c r="M457"/>
  <c r="G457"/>
  <c r="M456"/>
  <c r="G456"/>
  <c r="M455"/>
  <c r="G455"/>
  <c r="M454"/>
  <c r="G454"/>
  <c r="M453"/>
  <c r="G453"/>
  <c r="M452"/>
  <c r="G452"/>
  <c r="M451"/>
  <c r="G451"/>
  <c r="M450"/>
  <c r="G450"/>
  <c r="N449"/>
  <c r="M449"/>
  <c r="G449"/>
  <c r="M448"/>
  <c r="G448"/>
  <c r="N448" s="1"/>
  <c r="M447"/>
  <c r="G447"/>
  <c r="M446"/>
  <c r="G446"/>
  <c r="M445"/>
  <c r="G445"/>
  <c r="M444"/>
  <c r="G444"/>
  <c r="M443"/>
  <c r="G443"/>
  <c r="M442"/>
  <c r="G442"/>
  <c r="M441"/>
  <c r="G441"/>
  <c r="M440"/>
  <c r="G440"/>
  <c r="M439"/>
  <c r="G439"/>
  <c r="M438"/>
  <c r="G438"/>
  <c r="N423"/>
  <c r="M415"/>
  <c r="G415"/>
  <c r="M414"/>
  <c r="G414"/>
  <c r="L413"/>
  <c r="L416" s="1"/>
  <c r="K413"/>
  <c r="K416" s="1"/>
  <c r="L421" s="1"/>
  <c r="F413"/>
  <c r="F416" s="1"/>
  <c r="E413"/>
  <c r="E416" s="1"/>
  <c r="I412"/>
  <c r="M412" s="1"/>
  <c r="D412"/>
  <c r="G412" s="1"/>
  <c r="I409"/>
  <c r="M409" s="1"/>
  <c r="D409"/>
  <c r="G409" s="1"/>
  <c r="I408"/>
  <c r="M408" s="1"/>
  <c r="D408"/>
  <c r="G408" s="1"/>
  <c r="I406"/>
  <c r="M406" s="1"/>
  <c r="D406"/>
  <c r="G406" s="1"/>
  <c r="I403"/>
  <c r="M403" s="1"/>
  <c r="D403"/>
  <c r="G403" s="1"/>
  <c r="I401"/>
  <c r="M401" s="1"/>
  <c r="D401"/>
  <c r="G401" s="1"/>
  <c r="I397"/>
  <c r="M397" s="1"/>
  <c r="D397"/>
  <c r="G397" s="1"/>
  <c r="N397" s="1"/>
  <c r="I392"/>
  <c r="M392" s="1"/>
  <c r="D392"/>
  <c r="G392" s="1"/>
  <c r="I389"/>
  <c r="M389" s="1"/>
  <c r="D389"/>
  <c r="G389" s="1"/>
  <c r="I385"/>
  <c r="M385" s="1"/>
  <c r="D385"/>
  <c r="G385" s="1"/>
  <c r="I384"/>
  <c r="M384" s="1"/>
  <c r="G384"/>
  <c r="D384"/>
  <c r="I383"/>
  <c r="M383" s="1"/>
  <c r="D383"/>
  <c r="G383" s="1"/>
  <c r="M382"/>
  <c r="I382"/>
  <c r="D382"/>
  <c r="G382" s="1"/>
  <c r="I380"/>
  <c r="M380" s="1"/>
  <c r="G380"/>
  <c r="D380"/>
  <c r="I378"/>
  <c r="M378" s="1"/>
  <c r="D378"/>
  <c r="G378" s="1"/>
  <c r="I377"/>
  <c r="M377" s="1"/>
  <c r="D377"/>
  <c r="G377" s="1"/>
  <c r="I375"/>
  <c r="M375" s="1"/>
  <c r="D375"/>
  <c r="G375" s="1"/>
  <c r="I374"/>
  <c r="M374" s="1"/>
  <c r="D374"/>
  <c r="G374" s="1"/>
  <c r="I372"/>
  <c r="M372" s="1"/>
  <c r="D372"/>
  <c r="G372" s="1"/>
  <c r="I370"/>
  <c r="M370" s="1"/>
  <c r="D370"/>
  <c r="G370" s="1"/>
  <c r="I369"/>
  <c r="M369" s="1"/>
  <c r="D369"/>
  <c r="G369" s="1"/>
  <c r="M368"/>
  <c r="I368"/>
  <c r="D368"/>
  <c r="G368" s="1"/>
  <c r="I367"/>
  <c r="M367" s="1"/>
  <c r="N367" s="1"/>
  <c r="D367"/>
  <c r="G367" s="1"/>
  <c r="I365"/>
  <c r="M365" s="1"/>
  <c r="G365"/>
  <c r="D365"/>
  <c r="I364"/>
  <c r="M364" s="1"/>
  <c r="D364"/>
  <c r="G364" s="1"/>
  <c r="I362"/>
  <c r="M362" s="1"/>
  <c r="G362"/>
  <c r="D362"/>
  <c r="I360"/>
  <c r="M360" s="1"/>
  <c r="D360"/>
  <c r="G360" s="1"/>
  <c r="I359"/>
  <c r="M359" s="1"/>
  <c r="D359"/>
  <c r="G359" s="1"/>
  <c r="I356"/>
  <c r="M356" s="1"/>
  <c r="D356"/>
  <c r="G356" s="1"/>
  <c r="K340"/>
  <c r="M340" s="1"/>
  <c r="G340"/>
  <c r="M339"/>
  <c r="G339"/>
  <c r="L338"/>
  <c r="L341" s="1"/>
  <c r="F338"/>
  <c r="F341" s="1"/>
  <c r="K337"/>
  <c r="I337"/>
  <c r="D337"/>
  <c r="G337" s="1"/>
  <c r="M336"/>
  <c r="I411" s="1"/>
  <c r="M411" s="1"/>
  <c r="G336"/>
  <c r="M335"/>
  <c r="I410" s="1"/>
  <c r="M410" s="1"/>
  <c r="M334"/>
  <c r="I407" s="1"/>
  <c r="M407" s="1"/>
  <c r="G334"/>
  <c r="D407" s="1"/>
  <c r="G407" s="1"/>
  <c r="M333"/>
  <c r="I405" s="1"/>
  <c r="M405" s="1"/>
  <c r="G333"/>
  <c r="M332"/>
  <c r="I404" s="1"/>
  <c r="M404" s="1"/>
  <c r="G332"/>
  <c r="D404" s="1"/>
  <c r="G404" s="1"/>
  <c r="M331"/>
  <c r="I402" s="1"/>
  <c r="M402" s="1"/>
  <c r="G331"/>
  <c r="M330"/>
  <c r="I400" s="1"/>
  <c r="M400" s="1"/>
  <c r="G330"/>
  <c r="M329"/>
  <c r="I399" s="1"/>
  <c r="M399" s="1"/>
  <c r="G329"/>
  <c r="M328"/>
  <c r="I398" s="1"/>
  <c r="M398" s="1"/>
  <c r="G328"/>
  <c r="D398" s="1"/>
  <c r="G398" s="1"/>
  <c r="M327"/>
  <c r="I396" s="1"/>
  <c r="M396" s="1"/>
  <c r="K327"/>
  <c r="I327"/>
  <c r="D327"/>
  <c r="G327" s="1"/>
  <c r="M326"/>
  <c r="I395" s="1"/>
  <c r="M395" s="1"/>
  <c r="G326"/>
  <c r="M325"/>
  <c r="I394" s="1"/>
  <c r="M394" s="1"/>
  <c r="G325"/>
  <c r="N324"/>
  <c r="M324"/>
  <c r="I393" s="1"/>
  <c r="M393" s="1"/>
  <c r="G324"/>
  <c r="D393" s="1"/>
  <c r="G393" s="1"/>
  <c r="M323"/>
  <c r="I391" s="1"/>
  <c r="M391" s="1"/>
  <c r="G323"/>
  <c r="D391" s="1"/>
  <c r="G391" s="1"/>
  <c r="M322"/>
  <c r="I390" s="1"/>
  <c r="M390" s="1"/>
  <c r="G322"/>
  <c r="D390" s="1"/>
  <c r="G390" s="1"/>
  <c r="I321"/>
  <c r="G321"/>
  <c r="D388" s="1"/>
  <c r="G388" s="1"/>
  <c r="D321"/>
  <c r="M320"/>
  <c r="I387" s="1"/>
  <c r="M387" s="1"/>
  <c r="G320"/>
  <c r="D387" s="1"/>
  <c r="G387" s="1"/>
  <c r="M319"/>
  <c r="I386" s="1"/>
  <c r="M386" s="1"/>
  <c r="G319"/>
  <c r="D386" s="1"/>
  <c r="G386" s="1"/>
  <c r="I318"/>
  <c r="E318"/>
  <c r="D318"/>
  <c r="K317"/>
  <c r="I317"/>
  <c r="E317"/>
  <c r="D317"/>
  <c r="I316"/>
  <c r="E316"/>
  <c r="D316"/>
  <c r="I315"/>
  <c r="E315"/>
  <c r="D315"/>
  <c r="I314"/>
  <c r="E314"/>
  <c r="D314"/>
  <c r="M313"/>
  <c r="I366" s="1"/>
  <c r="M366" s="1"/>
  <c r="I313"/>
  <c r="E313"/>
  <c r="D313"/>
  <c r="G313" s="1"/>
  <c r="I312"/>
  <c r="D312"/>
  <c r="M311"/>
  <c r="I361" s="1"/>
  <c r="M361" s="1"/>
  <c r="G311"/>
  <c r="I310"/>
  <c r="D310"/>
  <c r="G310" s="1"/>
  <c r="D358" s="1"/>
  <c r="G358" s="1"/>
  <c r="M309"/>
  <c r="I357" s="1"/>
  <c r="M357" s="1"/>
  <c r="G309"/>
  <c r="M308"/>
  <c r="I355" s="1"/>
  <c r="M355" s="1"/>
  <c r="G308"/>
  <c r="K291"/>
  <c r="F291"/>
  <c r="M290"/>
  <c r="G290"/>
  <c r="L289"/>
  <c r="L292" s="1"/>
  <c r="F289"/>
  <c r="F292" s="1"/>
  <c r="M286"/>
  <c r="K286"/>
  <c r="E286"/>
  <c r="G286" s="1"/>
  <c r="M285"/>
  <c r="G285"/>
  <c r="K276"/>
  <c r="I276"/>
  <c r="M276" s="1"/>
  <c r="M270"/>
  <c r="K270"/>
  <c r="I270"/>
  <c r="E270"/>
  <c r="D270"/>
  <c r="K267"/>
  <c r="I267"/>
  <c r="E267"/>
  <c r="D267"/>
  <c r="K266"/>
  <c r="I266"/>
  <c r="E266"/>
  <c r="D266"/>
  <c r="K265"/>
  <c r="I265"/>
  <c r="E265"/>
  <c r="D265"/>
  <c r="K264"/>
  <c r="I264"/>
  <c r="E264"/>
  <c r="D264"/>
  <c r="K263"/>
  <c r="I263"/>
  <c r="G263"/>
  <c r="E263"/>
  <c r="D263"/>
  <c r="K262"/>
  <c r="I262"/>
  <c r="E262"/>
  <c r="G262" s="1"/>
  <c r="K261"/>
  <c r="I261"/>
  <c r="G261"/>
  <c r="E261"/>
  <c r="D261"/>
  <c r="K259"/>
  <c r="M259" s="1"/>
  <c r="N259" s="1"/>
  <c r="G259"/>
  <c r="M240"/>
  <c r="G240"/>
  <c r="M239"/>
  <c r="G239"/>
  <c r="L238"/>
  <c r="L241" s="1"/>
  <c r="K238"/>
  <c r="K241" s="1"/>
  <c r="L246" s="1"/>
  <c r="F238"/>
  <c r="F241" s="1"/>
  <c r="E238"/>
  <c r="E241" s="1"/>
  <c r="I234"/>
  <c r="M234" s="1"/>
  <c r="D234"/>
  <c r="G234" s="1"/>
  <c r="I233"/>
  <c r="M233" s="1"/>
  <c r="G233"/>
  <c r="D233"/>
  <c r="I231"/>
  <c r="M231" s="1"/>
  <c r="G231"/>
  <c r="D231"/>
  <c r="I228"/>
  <c r="M228" s="1"/>
  <c r="D228"/>
  <c r="G228" s="1"/>
  <c r="I226"/>
  <c r="M226" s="1"/>
  <c r="D226"/>
  <c r="G226" s="1"/>
  <c r="I222"/>
  <c r="M222" s="1"/>
  <c r="D222"/>
  <c r="G222" s="1"/>
  <c r="M217"/>
  <c r="I217"/>
  <c r="D217"/>
  <c r="G217" s="1"/>
  <c r="I213"/>
  <c r="M213" s="1"/>
  <c r="D213"/>
  <c r="G213" s="1"/>
  <c r="M210"/>
  <c r="I210"/>
  <c r="D210"/>
  <c r="G210" s="1"/>
  <c r="M209"/>
  <c r="I209"/>
  <c r="D209"/>
  <c r="G209" s="1"/>
  <c r="I208"/>
  <c r="M208" s="1"/>
  <c r="G208"/>
  <c r="D208"/>
  <c r="I207"/>
  <c r="M207" s="1"/>
  <c r="G207"/>
  <c r="D207"/>
  <c r="I205"/>
  <c r="M205" s="1"/>
  <c r="D205"/>
  <c r="G205" s="1"/>
  <c r="I203"/>
  <c r="M203" s="1"/>
  <c r="D203"/>
  <c r="G203" s="1"/>
  <c r="I202"/>
  <c r="M202" s="1"/>
  <c r="D202"/>
  <c r="G202" s="1"/>
  <c r="I200"/>
  <c r="M200" s="1"/>
  <c r="D200"/>
  <c r="G200" s="1"/>
  <c r="I198"/>
  <c r="M198" s="1"/>
  <c r="D198"/>
  <c r="G198" s="1"/>
  <c r="I197"/>
  <c r="M197" s="1"/>
  <c r="D197"/>
  <c r="G197" s="1"/>
  <c r="M195"/>
  <c r="I195"/>
  <c r="D195"/>
  <c r="G195" s="1"/>
  <c r="M194"/>
  <c r="I194"/>
  <c r="D194"/>
  <c r="G194" s="1"/>
  <c r="I192"/>
  <c r="M192" s="1"/>
  <c r="D192"/>
  <c r="G192" s="1"/>
  <c r="I191"/>
  <c r="M191" s="1"/>
  <c r="D191"/>
  <c r="G191" s="1"/>
  <c r="I190"/>
  <c r="M190" s="1"/>
  <c r="D190"/>
  <c r="G190" s="1"/>
  <c r="I189"/>
  <c r="M189" s="1"/>
  <c r="D189"/>
  <c r="G189" s="1"/>
  <c r="M187"/>
  <c r="I187"/>
  <c r="D187"/>
  <c r="G187" s="1"/>
  <c r="I185"/>
  <c r="M185" s="1"/>
  <c r="D185"/>
  <c r="G185" s="1"/>
  <c r="I184"/>
  <c r="M184" s="1"/>
  <c r="D184"/>
  <c r="G184" s="1"/>
  <c r="I183"/>
  <c r="M183" s="1"/>
  <c r="D183"/>
  <c r="G183" s="1"/>
  <c r="I182"/>
  <c r="M182" s="1"/>
  <c r="D182"/>
  <c r="G182" s="1"/>
  <c r="I181"/>
  <c r="M181" s="1"/>
  <c r="D181"/>
  <c r="G181" s="1"/>
  <c r="I178"/>
  <c r="M178" s="1"/>
  <c r="D178"/>
  <c r="G178" s="1"/>
  <c r="K163"/>
  <c r="E163"/>
  <c r="M162"/>
  <c r="G162"/>
  <c r="L161"/>
  <c r="L164" s="1"/>
  <c r="F161"/>
  <c r="F164" s="1"/>
  <c r="M158"/>
  <c r="G158"/>
  <c r="D36" i="2" s="1"/>
  <c r="G36" s="1"/>
  <c r="D84" s="1"/>
  <c r="G84" s="1"/>
  <c r="E149" i="1"/>
  <c r="K148"/>
  <c r="K143"/>
  <c r="E143"/>
  <c r="K140"/>
  <c r="E140"/>
  <c r="E137"/>
  <c r="E134"/>
  <c r="M132"/>
  <c r="I132"/>
  <c r="G132"/>
  <c r="K131"/>
  <c r="K129"/>
  <c r="K161" s="1"/>
  <c r="K111"/>
  <c r="M111" s="1"/>
  <c r="E111"/>
  <c r="M110"/>
  <c r="G110"/>
  <c r="L109"/>
  <c r="L112" s="1"/>
  <c r="F109"/>
  <c r="F112" s="1"/>
  <c r="K92"/>
  <c r="E92"/>
  <c r="E83"/>
  <c r="K80"/>
  <c r="M49"/>
  <c r="E49"/>
  <c r="G49" s="1"/>
  <c r="M48"/>
  <c r="G48"/>
  <c r="L47"/>
  <c r="L50" s="1"/>
  <c r="F47"/>
  <c r="F50" s="1"/>
  <c r="M46"/>
  <c r="I108" s="1"/>
  <c r="M108" s="1"/>
  <c r="I160" s="1"/>
  <c r="M160" s="1"/>
  <c r="I38" i="2" s="1"/>
  <c r="G46" i="1"/>
  <c r="M45"/>
  <c r="I107" s="1"/>
  <c r="M107" s="1"/>
  <c r="I159" s="1"/>
  <c r="I163" s="1"/>
  <c r="G45"/>
  <c r="M44"/>
  <c r="I106" s="1"/>
  <c r="M106" s="1"/>
  <c r="I157" s="1"/>
  <c r="M157" s="1"/>
  <c r="I35" i="2" s="1"/>
  <c r="D44" i="1"/>
  <c r="G44" s="1"/>
  <c r="D106" s="1"/>
  <c r="G106" s="1"/>
  <c r="D157" s="1"/>
  <c r="G157" s="1"/>
  <c r="D35" i="2" s="1"/>
  <c r="M43" i="1"/>
  <c r="I105" s="1"/>
  <c r="M105" s="1"/>
  <c r="I156" s="1"/>
  <c r="M156" s="1"/>
  <c r="I34" i="2" s="1"/>
  <c r="D43" i="1"/>
  <c r="G43" s="1"/>
  <c r="D105" s="1"/>
  <c r="G105" s="1"/>
  <c r="D156" s="1"/>
  <c r="G156" s="1"/>
  <c r="D34" i="2" s="1"/>
  <c r="M42" i="1"/>
  <c r="I104" s="1"/>
  <c r="M104" s="1"/>
  <c r="I155" s="1"/>
  <c r="M155" s="1"/>
  <c r="I33" i="2" s="1"/>
  <c r="L33" s="1"/>
  <c r="G42" i="1"/>
  <c r="N42" s="1"/>
  <c r="M41"/>
  <c r="I103" s="1"/>
  <c r="M103" s="1"/>
  <c r="I154" s="1"/>
  <c r="M154" s="1"/>
  <c r="I32" i="2" s="1"/>
  <c r="L32" s="1"/>
  <c r="I80" s="1"/>
  <c r="L80" s="1"/>
  <c r="G41" i="1"/>
  <c r="M40"/>
  <c r="I102" s="1"/>
  <c r="M102" s="1"/>
  <c r="I153" s="1"/>
  <c r="M153" s="1"/>
  <c r="I31" i="2" s="1"/>
  <c r="G40" i="1"/>
  <c r="M39"/>
  <c r="I101" s="1"/>
  <c r="M101" s="1"/>
  <c r="I152" s="1"/>
  <c r="M152" s="1"/>
  <c r="I30" i="2" s="1"/>
  <c r="L30" s="1"/>
  <c r="I78" s="1"/>
  <c r="L78" s="1"/>
  <c r="G39" i="1"/>
  <c r="D101" s="1"/>
  <c r="G101" s="1"/>
  <c r="D152" s="1"/>
  <c r="G152" s="1"/>
  <c r="D30" i="2" s="1"/>
  <c r="G30" s="1"/>
  <c r="D78" s="1"/>
  <c r="G78" s="1"/>
  <c r="M38" i="1"/>
  <c r="I100" s="1"/>
  <c r="M100" s="1"/>
  <c r="I151" s="1"/>
  <c r="M151" s="1"/>
  <c r="I29" i="2" s="1"/>
  <c r="D38" i="1"/>
  <c r="G38" s="1"/>
  <c r="M37"/>
  <c r="I99" s="1"/>
  <c r="M99" s="1"/>
  <c r="I150" s="1"/>
  <c r="M150" s="1"/>
  <c r="I28" i="2" s="1"/>
  <c r="L28" s="1"/>
  <c r="I76" s="1"/>
  <c r="L76" s="1"/>
  <c r="G37" i="1"/>
  <c r="M36"/>
  <c r="I98" s="1"/>
  <c r="M98" s="1"/>
  <c r="I149" s="1"/>
  <c r="M149" s="1"/>
  <c r="I27" i="2" s="1"/>
  <c r="E36" i="1"/>
  <c r="D36"/>
  <c r="K35"/>
  <c r="I35"/>
  <c r="G35"/>
  <c r="D97" s="1"/>
  <c r="G97" s="1"/>
  <c r="D35"/>
  <c r="M34"/>
  <c r="I96" s="1"/>
  <c r="M96" s="1"/>
  <c r="I147" s="1"/>
  <c r="M147" s="1"/>
  <c r="I25" i="2" s="1"/>
  <c r="L25" s="1"/>
  <c r="I73" s="1"/>
  <c r="L73" s="1"/>
  <c r="D34" i="1"/>
  <c r="K33"/>
  <c r="M32"/>
  <c r="I94" s="1"/>
  <c r="M94" s="1"/>
  <c r="I145" s="1"/>
  <c r="M145" s="1"/>
  <c r="I23" i="2" s="1"/>
  <c r="D32" i="1"/>
  <c r="G32" s="1"/>
  <c r="D94" s="1"/>
  <c r="G94" s="1"/>
  <c r="D145" s="1"/>
  <c r="G145" s="1"/>
  <c r="D23" i="2" s="1"/>
  <c r="M31" i="1"/>
  <c r="I93" s="1"/>
  <c r="M93" s="1"/>
  <c r="I144" s="1"/>
  <c r="M144" s="1"/>
  <c r="I22" i="2" s="1"/>
  <c r="G31" i="1"/>
  <c r="D93" s="1"/>
  <c r="G93" s="1"/>
  <c r="D144" s="1"/>
  <c r="G144" s="1"/>
  <c r="D22" i="2" s="1"/>
  <c r="M30" i="1"/>
  <c r="I92" s="1"/>
  <c r="D30"/>
  <c r="G30" s="1"/>
  <c r="M29"/>
  <c r="I91" s="1"/>
  <c r="M91" s="1"/>
  <c r="I142" s="1"/>
  <c r="M142" s="1"/>
  <c r="I20" i="2" s="1"/>
  <c r="G29" i="1"/>
  <c r="D91" s="1"/>
  <c r="G91" s="1"/>
  <c r="D142" s="1"/>
  <c r="G142" s="1"/>
  <c r="D20" i="2" s="1"/>
  <c r="M28" i="1"/>
  <c r="I90" s="1"/>
  <c r="M90" s="1"/>
  <c r="I141" s="1"/>
  <c r="M141" s="1"/>
  <c r="I19" i="2" s="1"/>
  <c r="D28" i="1"/>
  <c r="G28" s="1"/>
  <c r="M27"/>
  <c r="I89" s="1"/>
  <c r="M89" s="1"/>
  <c r="I140" s="1"/>
  <c r="D27"/>
  <c r="G27" s="1"/>
  <c r="M26"/>
  <c r="I88" s="1"/>
  <c r="M88" s="1"/>
  <c r="I139" s="1"/>
  <c r="M139" s="1"/>
  <c r="I17" i="2" s="1"/>
  <c r="D26" i="1"/>
  <c r="G26" s="1"/>
  <c r="M25"/>
  <c r="I87" s="1"/>
  <c r="M87" s="1"/>
  <c r="I138" s="1"/>
  <c r="M138" s="1"/>
  <c r="I16" i="2" s="1"/>
  <c r="D25" i="1"/>
  <c r="G25" s="1"/>
  <c r="N25" s="1"/>
  <c r="M24"/>
  <c r="I86" s="1"/>
  <c r="M86" s="1"/>
  <c r="I137" s="1"/>
  <c r="M137" s="1"/>
  <c r="I15" i="2" s="1"/>
  <c r="E24" i="1"/>
  <c r="G24" s="1"/>
  <c r="D24"/>
  <c r="M23"/>
  <c r="I85" s="1"/>
  <c r="M85" s="1"/>
  <c r="I136" s="1"/>
  <c r="M136" s="1"/>
  <c r="I14" i="2" s="1"/>
  <c r="D23" i="1"/>
  <c r="G23" s="1"/>
  <c r="M22"/>
  <c r="I84" s="1"/>
  <c r="M84" s="1"/>
  <c r="I135" s="1"/>
  <c r="M135" s="1"/>
  <c r="I13" i="2" s="1"/>
  <c r="D22" i="1"/>
  <c r="G22" s="1"/>
  <c r="M21"/>
  <c r="I83" s="1"/>
  <c r="M83" s="1"/>
  <c r="I134" s="1"/>
  <c r="M134" s="1"/>
  <c r="I12" i="2" s="1"/>
  <c r="E21" i="1"/>
  <c r="D21"/>
  <c r="M20"/>
  <c r="I82" s="1"/>
  <c r="M82" s="1"/>
  <c r="I133" s="1"/>
  <c r="M133" s="1"/>
  <c r="I11" i="2" s="1"/>
  <c r="G20" i="1"/>
  <c r="D82" s="1"/>
  <c r="G82" s="1"/>
  <c r="M19"/>
  <c r="I81" s="1"/>
  <c r="M81" s="1"/>
  <c r="G19"/>
  <c r="K18"/>
  <c r="I18"/>
  <c r="G18"/>
  <c r="D80" s="1"/>
  <c r="G80" s="1"/>
  <c r="D18"/>
  <c r="M17"/>
  <c r="G17"/>
  <c r="D79" s="1"/>
  <c r="G79" s="1"/>
  <c r="M16"/>
  <c r="I78" s="1"/>
  <c r="G16"/>
  <c r="N1"/>
  <c r="L12" i="2" l="1"/>
  <c r="N557" i="1"/>
  <c r="N313"/>
  <c r="M192" i="2"/>
  <c r="M195" s="1"/>
  <c r="G34"/>
  <c r="D82" s="1"/>
  <c r="G82" s="1"/>
  <c r="M82" s="1"/>
  <c r="L11"/>
  <c r="L22"/>
  <c r="I70" s="1"/>
  <c r="L70" s="1"/>
  <c r="L29"/>
  <c r="I77" s="1"/>
  <c r="L77" s="1"/>
  <c r="L38"/>
  <c r="I86" s="1"/>
  <c r="L86" s="1"/>
  <c r="J39"/>
  <c r="J42" s="1"/>
  <c r="K47" s="1"/>
  <c r="F90"/>
  <c r="M92" i="1"/>
  <c r="I143" s="1"/>
  <c r="M143" s="1"/>
  <c r="I21" i="2" s="1"/>
  <c r="L21" s="1"/>
  <c r="M317" i="1"/>
  <c r="I379" s="1"/>
  <c r="M379" s="1"/>
  <c r="N331"/>
  <c r="N465"/>
  <c r="N477"/>
  <c r="N488"/>
  <c r="M140"/>
  <c r="I18" i="2" s="1"/>
  <c r="L18" s="1"/>
  <c r="K109" i="1"/>
  <c r="K112" s="1"/>
  <c r="L117" s="1"/>
  <c r="D104"/>
  <c r="G104" s="1"/>
  <c r="D155" s="1"/>
  <c r="G155" s="1"/>
  <c r="D33" i="2" s="1"/>
  <c r="G33" s="1"/>
  <c r="D81" s="1"/>
  <c r="G81" s="1"/>
  <c r="M81" s="1"/>
  <c r="M261" i="1"/>
  <c r="M263"/>
  <c r="N263" s="1"/>
  <c r="G314"/>
  <c r="G317"/>
  <c r="D379" s="1"/>
  <c r="G379" s="1"/>
  <c r="N386"/>
  <c r="N445"/>
  <c r="N450"/>
  <c r="N452"/>
  <c r="N456"/>
  <c r="N464"/>
  <c r="N497"/>
  <c r="G543"/>
  <c r="N551"/>
  <c r="N49"/>
  <c r="G267"/>
  <c r="M413"/>
  <c r="M416" s="1"/>
  <c r="N329"/>
  <c r="N482"/>
  <c r="N484"/>
  <c r="N496"/>
  <c r="M535"/>
  <c r="N535" s="1"/>
  <c r="N562"/>
  <c r="N286"/>
  <c r="N328"/>
  <c r="G540"/>
  <c r="N548"/>
  <c r="N552"/>
  <c r="J87" i="2"/>
  <c r="J90" s="1"/>
  <c r="K95" s="1"/>
  <c r="G20"/>
  <c r="D68" s="1"/>
  <c r="G68" s="1"/>
  <c r="L34"/>
  <c r="G35"/>
  <c r="D83" s="1"/>
  <c r="G83" s="1"/>
  <c r="M83" s="1"/>
  <c r="L19"/>
  <c r="I67" s="1"/>
  <c r="L67" s="1"/>
  <c r="N28" i="1"/>
  <c r="D90"/>
  <c r="G90" s="1"/>
  <c r="N90" s="1"/>
  <c r="M78" i="2"/>
  <c r="N379" i="1"/>
  <c r="N189"/>
  <c r="N46"/>
  <c r="N202"/>
  <c r="N415"/>
  <c r="N554"/>
  <c r="N20"/>
  <c r="N43"/>
  <c r="N185"/>
  <c r="N194"/>
  <c r="M266"/>
  <c r="M267"/>
  <c r="N267" s="1"/>
  <c r="M310"/>
  <c r="I358" s="1"/>
  <c r="M358" s="1"/>
  <c r="N358" s="1"/>
  <c r="G318"/>
  <c r="D381" s="1"/>
  <c r="G381" s="1"/>
  <c r="D366"/>
  <c r="G366" s="1"/>
  <c r="N366" s="1"/>
  <c r="N377"/>
  <c r="N440"/>
  <c r="N457"/>
  <c r="N461"/>
  <c r="N466"/>
  <c r="N468"/>
  <c r="N472"/>
  <c r="N489"/>
  <c r="N493"/>
  <c r="N498"/>
  <c r="N500"/>
  <c r="G539"/>
  <c r="G542"/>
  <c r="M543"/>
  <c r="M561"/>
  <c r="N565"/>
  <c r="M566"/>
  <c r="N566" s="1"/>
  <c r="N383"/>
  <c r="G21"/>
  <c r="N24"/>
  <c r="N48"/>
  <c r="N190"/>
  <c r="G265"/>
  <c r="N390"/>
  <c r="N533"/>
  <c r="M547"/>
  <c r="N547" s="1"/>
  <c r="N17"/>
  <c r="K47"/>
  <c r="K50" s="1"/>
  <c r="L55" s="1"/>
  <c r="D33"/>
  <c r="G33" s="1"/>
  <c r="D95" s="1"/>
  <c r="G95" s="1"/>
  <c r="N187"/>
  <c r="D402"/>
  <c r="G402" s="1"/>
  <c r="E564"/>
  <c r="E567" s="1"/>
  <c r="M539"/>
  <c r="N560"/>
  <c r="L17" i="2"/>
  <c r="L27"/>
  <c r="L35"/>
  <c r="E39"/>
  <c r="E42" s="1"/>
  <c r="L15"/>
  <c r="L16"/>
  <c r="G22"/>
  <c r="L23"/>
  <c r="L31"/>
  <c r="I79" s="1"/>
  <c r="L79" s="1"/>
  <c r="K39"/>
  <c r="K42" s="1"/>
  <c r="L13"/>
  <c r="D89"/>
  <c r="G89" s="1"/>
  <c r="M89" s="1"/>
  <c r="N325" i="1"/>
  <c r="D394"/>
  <c r="G394" s="1"/>
  <c r="N394" s="1"/>
  <c r="D99"/>
  <c r="G99" s="1"/>
  <c r="N37"/>
  <c r="D371"/>
  <c r="G371" s="1"/>
  <c r="G36"/>
  <c r="D98" s="1"/>
  <c r="G98" s="1"/>
  <c r="N336"/>
  <c r="N441"/>
  <c r="N31"/>
  <c r="N32"/>
  <c r="N44"/>
  <c r="N197"/>
  <c r="N222"/>
  <c r="G264"/>
  <c r="M312"/>
  <c r="I363" s="1"/>
  <c r="M363" s="1"/>
  <c r="N391"/>
  <c r="G553"/>
  <c r="D107"/>
  <c r="G107" s="1"/>
  <c r="D159" s="1"/>
  <c r="G159" s="1"/>
  <c r="D37" i="2" s="1"/>
  <c r="G37" s="1"/>
  <c r="N45" i="1"/>
  <c r="I36" i="2"/>
  <c r="L36" s="1"/>
  <c r="I84" s="1"/>
  <c r="L84" s="1"/>
  <c r="M84" s="1"/>
  <c r="I33" i="1"/>
  <c r="M33" s="1"/>
  <c r="M35"/>
  <c r="I97" s="1"/>
  <c r="M97" s="1"/>
  <c r="I148" s="1"/>
  <c r="M148" s="1"/>
  <c r="I26" i="2" s="1"/>
  <c r="L26" s="1"/>
  <c r="D100" i="1"/>
  <c r="G100" s="1"/>
  <c r="D151" s="1"/>
  <c r="G151" s="1"/>
  <c r="D29" i="2" s="1"/>
  <c r="G29" s="1"/>
  <c r="D77" s="1"/>
  <c r="G77" s="1"/>
  <c r="N38" i="1"/>
  <c r="N261"/>
  <c r="N285"/>
  <c r="N310"/>
  <c r="N473"/>
  <c r="G544"/>
  <c r="E47"/>
  <c r="E50" s="1"/>
  <c r="G34"/>
  <c r="N34" s="1"/>
  <c r="N39"/>
  <c r="D87"/>
  <c r="G87" s="1"/>
  <c r="D138" s="1"/>
  <c r="G138" s="1"/>
  <c r="D16" i="2" s="1"/>
  <c r="G16" s="1"/>
  <c r="N132" i="1"/>
  <c r="N290"/>
  <c r="M314"/>
  <c r="I371" s="1"/>
  <c r="M371" s="1"/>
  <c r="M318"/>
  <c r="M321"/>
  <c r="I388" s="1"/>
  <c r="M388" s="1"/>
  <c r="N388" s="1"/>
  <c r="N326"/>
  <c r="N339"/>
  <c r="N406"/>
  <c r="D411"/>
  <c r="G411" s="1"/>
  <c r="N411" s="1"/>
  <c r="F564"/>
  <c r="F567" s="1"/>
  <c r="M540"/>
  <c r="N101"/>
  <c r="N198"/>
  <c r="N205"/>
  <c r="N208"/>
  <c r="N231"/>
  <c r="M264"/>
  <c r="E338"/>
  <c r="E341" s="1"/>
  <c r="G315"/>
  <c r="D373" s="1"/>
  <c r="G373" s="1"/>
  <c r="N374"/>
  <c r="N403"/>
  <c r="N442"/>
  <c r="N444"/>
  <c r="N453"/>
  <c r="N458"/>
  <c r="N460"/>
  <c r="N469"/>
  <c r="N474"/>
  <c r="N476"/>
  <c r="N485"/>
  <c r="N490"/>
  <c r="N492"/>
  <c r="K564"/>
  <c r="K567" s="1"/>
  <c r="K569" s="1"/>
  <c r="L574" s="1"/>
  <c r="N549"/>
  <c r="M553"/>
  <c r="L14" i="2"/>
  <c r="L20"/>
  <c r="I68" s="1"/>
  <c r="L68" s="1"/>
  <c r="M18" i="1"/>
  <c r="I80" s="1"/>
  <c r="M80" s="1"/>
  <c r="I131" s="1"/>
  <c r="M131" s="1"/>
  <c r="I10" i="2" s="1"/>
  <c r="L10" s="1"/>
  <c r="E109" i="1"/>
  <c r="E112" s="1"/>
  <c r="N110"/>
  <c r="M159"/>
  <c r="I37" i="2" s="1"/>
  <c r="L37" s="1"/>
  <c r="N234" i="1"/>
  <c r="N240"/>
  <c r="K338"/>
  <c r="K341" s="1"/>
  <c r="L522" s="1"/>
  <c r="M316"/>
  <c r="I376" s="1"/>
  <c r="M376" s="1"/>
  <c r="N319"/>
  <c r="N322"/>
  <c r="N402"/>
  <c r="N332"/>
  <c r="N340"/>
  <c r="N375"/>
  <c r="N382"/>
  <c r="D395"/>
  <c r="G395" s="1"/>
  <c r="N395" s="1"/>
  <c r="G541"/>
  <c r="N546"/>
  <c r="N556"/>
  <c r="N558"/>
  <c r="N563"/>
  <c r="G23" i="2"/>
  <c r="M30"/>
  <c r="F39"/>
  <c r="F42" s="1"/>
  <c r="N369" i="1"/>
  <c r="N362"/>
  <c r="N372"/>
  <c r="N378"/>
  <c r="N380"/>
  <c r="N412"/>
  <c r="N443"/>
  <c r="N446"/>
  <c r="N451"/>
  <c r="N454"/>
  <c r="N459"/>
  <c r="N462"/>
  <c r="N467"/>
  <c r="N470"/>
  <c r="N475"/>
  <c r="N478"/>
  <c r="N483"/>
  <c r="N486"/>
  <c r="N491"/>
  <c r="N494"/>
  <c r="N393"/>
  <c r="N407"/>
  <c r="N359"/>
  <c r="N360"/>
  <c r="N370"/>
  <c r="N184"/>
  <c r="N226"/>
  <c r="N228"/>
  <c r="N183"/>
  <c r="N192"/>
  <c r="N200"/>
  <c r="N210"/>
  <c r="I268"/>
  <c r="M268" s="1"/>
  <c r="I211"/>
  <c r="M211" s="1"/>
  <c r="I223"/>
  <c r="M223" s="1"/>
  <c r="I277"/>
  <c r="M277" s="1"/>
  <c r="I237"/>
  <c r="M237" s="1"/>
  <c r="I40" i="2" s="1"/>
  <c r="L40" s="1"/>
  <c r="I288" i="1"/>
  <c r="M288" s="1"/>
  <c r="I260"/>
  <c r="M260" s="1"/>
  <c r="I186"/>
  <c r="M186" s="1"/>
  <c r="D141"/>
  <c r="G141" s="1"/>
  <c r="D19" i="2" s="1"/>
  <c r="G19" s="1"/>
  <c r="I221" i="1"/>
  <c r="M221" s="1"/>
  <c r="N152"/>
  <c r="D279"/>
  <c r="G279" s="1"/>
  <c r="D225"/>
  <c r="G225" s="1"/>
  <c r="I272"/>
  <c r="M272" s="1"/>
  <c r="I216"/>
  <c r="M216" s="1"/>
  <c r="D148"/>
  <c r="G148" s="1"/>
  <c r="D26" i="2" s="1"/>
  <c r="G26" s="1"/>
  <c r="N97" i="1"/>
  <c r="D278"/>
  <c r="G278" s="1"/>
  <c r="I193"/>
  <c r="M193" s="1"/>
  <c r="D216"/>
  <c r="G216" s="1"/>
  <c r="N216" s="1"/>
  <c r="N145"/>
  <c r="D272"/>
  <c r="G272" s="1"/>
  <c r="I230"/>
  <c r="M230" s="1"/>
  <c r="I282"/>
  <c r="M282" s="1"/>
  <c r="I283"/>
  <c r="M283" s="1"/>
  <c r="I232"/>
  <c r="M232" s="1"/>
  <c r="I284"/>
  <c r="M284" s="1"/>
  <c r="I235"/>
  <c r="M235" s="1"/>
  <c r="D131"/>
  <c r="G131" s="1"/>
  <c r="D10" i="2" s="1"/>
  <c r="G10" s="1"/>
  <c r="D58" s="1"/>
  <c r="G58" s="1"/>
  <c r="M58" s="1"/>
  <c r="I204" i="1"/>
  <c r="M204" s="1"/>
  <c r="I269"/>
  <c r="M269" s="1"/>
  <c r="I212"/>
  <c r="M212" s="1"/>
  <c r="N155"/>
  <c r="D230"/>
  <c r="G230" s="1"/>
  <c r="D130"/>
  <c r="G130" s="1"/>
  <c r="D9" i="2" s="1"/>
  <c r="D133" i="1"/>
  <c r="G133" s="1"/>
  <c r="D11" i="2" s="1"/>
  <c r="G11" s="1"/>
  <c r="N82" i="1"/>
  <c r="I196"/>
  <c r="M196" s="1"/>
  <c r="I199"/>
  <c r="M199" s="1"/>
  <c r="D88"/>
  <c r="G88" s="1"/>
  <c r="N26"/>
  <c r="I274"/>
  <c r="M274" s="1"/>
  <c r="I219"/>
  <c r="M219" s="1"/>
  <c r="I201"/>
  <c r="M201" s="1"/>
  <c r="D269"/>
  <c r="G269" s="1"/>
  <c r="N142"/>
  <c r="D212"/>
  <c r="G212" s="1"/>
  <c r="I229"/>
  <c r="M229" s="1"/>
  <c r="I281"/>
  <c r="M281" s="1"/>
  <c r="D84"/>
  <c r="G84" s="1"/>
  <c r="N22"/>
  <c r="D150"/>
  <c r="G150" s="1"/>
  <c r="D28" i="2" s="1"/>
  <c r="G28" s="1"/>
  <c r="N99" i="1"/>
  <c r="D103"/>
  <c r="G103" s="1"/>
  <c r="N41"/>
  <c r="I271"/>
  <c r="M271" s="1"/>
  <c r="I215"/>
  <c r="M215" s="1"/>
  <c r="D284"/>
  <c r="G284" s="1"/>
  <c r="N157"/>
  <c r="D271"/>
  <c r="G271" s="1"/>
  <c r="D215"/>
  <c r="G215" s="1"/>
  <c r="N144"/>
  <c r="M541"/>
  <c r="N23"/>
  <c r="D85"/>
  <c r="G85" s="1"/>
  <c r="D78"/>
  <c r="N16"/>
  <c r="G47"/>
  <c r="G50" s="1"/>
  <c r="N308"/>
  <c r="D355"/>
  <c r="D400"/>
  <c r="G400" s="1"/>
  <c r="N400" s="1"/>
  <c r="N330"/>
  <c r="D405"/>
  <c r="G405" s="1"/>
  <c r="N405" s="1"/>
  <c r="N333"/>
  <c r="I79"/>
  <c r="M79" s="1"/>
  <c r="I130" s="1"/>
  <c r="M130" s="1"/>
  <c r="I9" i="2" s="1"/>
  <c r="L9" s="1"/>
  <c r="I57" s="1"/>
  <c r="L57" s="1"/>
  <c r="N21" i="1"/>
  <c r="N29"/>
  <c r="I47"/>
  <c r="I50" s="1"/>
  <c r="M78"/>
  <c r="D83"/>
  <c r="G83" s="1"/>
  <c r="D86"/>
  <c r="G86" s="1"/>
  <c r="N91"/>
  <c r="N93"/>
  <c r="N104"/>
  <c r="N106"/>
  <c r="K164"/>
  <c r="L169" s="1"/>
  <c r="N182"/>
  <c r="N209"/>
  <c r="N217"/>
  <c r="D89"/>
  <c r="G89" s="1"/>
  <c r="N27"/>
  <c r="D92"/>
  <c r="G92" s="1"/>
  <c r="N30"/>
  <c r="I278"/>
  <c r="M278" s="1"/>
  <c r="I224"/>
  <c r="M224" s="1"/>
  <c r="I188"/>
  <c r="M188" s="1"/>
  <c r="N156"/>
  <c r="D232"/>
  <c r="G232" s="1"/>
  <c r="D283"/>
  <c r="G283" s="1"/>
  <c r="M542"/>
  <c r="I280"/>
  <c r="M280" s="1"/>
  <c r="I227"/>
  <c r="M227" s="1"/>
  <c r="I287"/>
  <c r="I236"/>
  <c r="M236" s="1"/>
  <c r="D81"/>
  <c r="G81" s="1"/>
  <c r="N81" s="1"/>
  <c r="N19"/>
  <c r="N36"/>
  <c r="D102"/>
  <c r="G102" s="1"/>
  <c r="N40"/>
  <c r="I279"/>
  <c r="M279" s="1"/>
  <c r="I225"/>
  <c r="M225" s="1"/>
  <c r="N87"/>
  <c r="N105"/>
  <c r="D108"/>
  <c r="G108" s="1"/>
  <c r="E161"/>
  <c r="E164" s="1"/>
  <c r="N162"/>
  <c r="D235"/>
  <c r="G235" s="1"/>
  <c r="N235" s="1"/>
  <c r="N94"/>
  <c r="M163"/>
  <c r="D111"/>
  <c r="G111" s="1"/>
  <c r="N158"/>
  <c r="N178"/>
  <c r="N181"/>
  <c r="N213"/>
  <c r="N398"/>
  <c r="D396"/>
  <c r="G396" s="1"/>
  <c r="N396" s="1"/>
  <c r="N327"/>
  <c r="G499"/>
  <c r="G502" s="1"/>
  <c r="N438"/>
  <c r="N309"/>
  <c r="D357"/>
  <c r="G357" s="1"/>
  <c r="N357" s="1"/>
  <c r="K289"/>
  <c r="K292" s="1"/>
  <c r="L297" s="1"/>
  <c r="M262"/>
  <c r="N262" s="1"/>
  <c r="G266"/>
  <c r="N266" s="1"/>
  <c r="G312"/>
  <c r="D538" s="1"/>
  <c r="G538" s="1"/>
  <c r="M315"/>
  <c r="I373" s="1"/>
  <c r="M373" s="1"/>
  <c r="I338"/>
  <c r="I341" s="1"/>
  <c r="N408"/>
  <c r="N207"/>
  <c r="N239"/>
  <c r="G270"/>
  <c r="N270" s="1"/>
  <c r="N368"/>
  <c r="N392"/>
  <c r="N401"/>
  <c r="N409"/>
  <c r="N414"/>
  <c r="N191"/>
  <c r="N195"/>
  <c r="N203"/>
  <c r="E289"/>
  <c r="E292" s="1"/>
  <c r="N323"/>
  <c r="N404"/>
  <c r="N356"/>
  <c r="N364"/>
  <c r="N365"/>
  <c r="N384"/>
  <c r="N385"/>
  <c r="N387"/>
  <c r="N439"/>
  <c r="N447"/>
  <c r="N455"/>
  <c r="N463"/>
  <c r="N471"/>
  <c r="N479"/>
  <c r="N487"/>
  <c r="N495"/>
  <c r="N536"/>
  <c r="N550"/>
  <c r="N555"/>
  <c r="D361"/>
  <c r="G361" s="1"/>
  <c r="N361" s="1"/>
  <c r="N311"/>
  <c r="L564"/>
  <c r="L567" s="1"/>
  <c r="M537"/>
  <c r="N233"/>
  <c r="M265"/>
  <c r="I413"/>
  <c r="I416" s="1"/>
  <c r="G316"/>
  <c r="N320"/>
  <c r="N334"/>
  <c r="M337"/>
  <c r="N337" s="1"/>
  <c r="N389"/>
  <c r="D399"/>
  <c r="G399" s="1"/>
  <c r="N399" s="1"/>
  <c r="M499"/>
  <c r="M502" s="1"/>
  <c r="N501"/>
  <c r="M538"/>
  <c r="N559"/>
  <c r="N544" l="1"/>
  <c r="I381"/>
  <c r="M381" s="1"/>
  <c r="N381" s="1"/>
  <c r="I544"/>
  <c r="M544" s="1"/>
  <c r="N543"/>
  <c r="N539"/>
  <c r="N371"/>
  <c r="M29" i="2"/>
  <c r="M77"/>
  <c r="M34"/>
  <c r="N18" i="1"/>
  <c r="N47" s="1"/>
  <c r="N50" s="1"/>
  <c r="I214"/>
  <c r="M214" s="1"/>
  <c r="N541"/>
  <c r="I206"/>
  <c r="M206" s="1"/>
  <c r="N265"/>
  <c r="N318"/>
  <c r="N321"/>
  <c r="N317"/>
  <c r="D282"/>
  <c r="G282" s="1"/>
  <c r="N282" s="1"/>
  <c r="N80"/>
  <c r="I220"/>
  <c r="M220" s="1"/>
  <c r="D47"/>
  <c r="D50" s="1"/>
  <c r="N540"/>
  <c r="M33" i="2"/>
  <c r="M68"/>
  <c r="M35"/>
  <c r="N100" i="1"/>
  <c r="N151"/>
  <c r="N315"/>
  <c r="D201"/>
  <c r="G201" s="1"/>
  <c r="N201" s="1"/>
  <c r="N138"/>
  <c r="D224"/>
  <c r="G224" s="1"/>
  <c r="N542"/>
  <c r="N272"/>
  <c r="N314"/>
  <c r="M26" i="2"/>
  <c r="D74"/>
  <c r="G74" s="1"/>
  <c r="M74" s="1"/>
  <c r="M40"/>
  <c r="I88"/>
  <c r="L88" s="1"/>
  <c r="M88" s="1"/>
  <c r="M19"/>
  <c r="D67"/>
  <c r="G67" s="1"/>
  <c r="M67" s="1"/>
  <c r="M23"/>
  <c r="D71"/>
  <c r="G71" s="1"/>
  <c r="M71" s="1"/>
  <c r="M16"/>
  <c r="D64"/>
  <c r="G64" s="1"/>
  <c r="M64" s="1"/>
  <c r="M37"/>
  <c r="D85"/>
  <c r="G85" s="1"/>
  <c r="M85" s="1"/>
  <c r="M28"/>
  <c r="D76"/>
  <c r="G76" s="1"/>
  <c r="M76" s="1"/>
  <c r="M11"/>
  <c r="D59"/>
  <c r="G59" s="1"/>
  <c r="M59" s="1"/>
  <c r="M22"/>
  <c r="D70"/>
  <c r="G70" s="1"/>
  <c r="M70" s="1"/>
  <c r="M20"/>
  <c r="I95" i="1"/>
  <c r="M95" s="1"/>
  <c r="I146" s="1"/>
  <c r="M146" s="1"/>
  <c r="I24" i="2" s="1"/>
  <c r="L24" s="1"/>
  <c r="N33" i="1"/>
  <c r="N264"/>
  <c r="I180"/>
  <c r="M180" s="1"/>
  <c r="M564"/>
  <c r="M567" s="1"/>
  <c r="D96"/>
  <c r="G96" s="1"/>
  <c r="N96" s="1"/>
  <c r="N107"/>
  <c r="N271"/>
  <c r="M36" i="2"/>
  <c r="N538" i="1"/>
  <c r="M47"/>
  <c r="M50" s="1"/>
  <c r="N35"/>
  <c r="M10" i="2"/>
  <c r="I275" i="1"/>
  <c r="M275" s="1"/>
  <c r="N278"/>
  <c r="G9" i="2"/>
  <c r="N553" i="1"/>
  <c r="N232"/>
  <c r="N215"/>
  <c r="N212"/>
  <c r="D335"/>
  <c r="N284"/>
  <c r="D260"/>
  <c r="G260" s="1"/>
  <c r="N260" s="1"/>
  <c r="D186"/>
  <c r="G186" s="1"/>
  <c r="N186" s="1"/>
  <c r="N133"/>
  <c r="D160"/>
  <c r="G160" s="1"/>
  <c r="D38" i="2" s="1"/>
  <c r="G38" s="1"/>
  <c r="N108" i="1"/>
  <c r="D287"/>
  <c r="G287" s="1"/>
  <c r="D236"/>
  <c r="G236" s="1"/>
  <c r="N236" s="1"/>
  <c r="N159"/>
  <c r="N98"/>
  <c r="D149"/>
  <c r="G149" s="1"/>
  <c r="D27" i="2" s="1"/>
  <c r="G27" s="1"/>
  <c r="I291" i="1"/>
  <c r="M291" s="1"/>
  <c r="M287"/>
  <c r="I129"/>
  <c r="G78"/>
  <c r="D154"/>
  <c r="G154" s="1"/>
  <c r="D32" i="2" s="1"/>
  <c r="G32" s="1"/>
  <c r="N103" i="1"/>
  <c r="D135"/>
  <c r="G135" s="1"/>
  <c r="D13" i="2" s="1"/>
  <c r="G13" s="1"/>
  <c r="N84" i="1"/>
  <c r="D180"/>
  <c r="G180" s="1"/>
  <c r="N131"/>
  <c r="D268"/>
  <c r="G268" s="1"/>
  <c r="N268" s="1"/>
  <c r="D211"/>
  <c r="G211" s="1"/>
  <c r="N211" s="1"/>
  <c r="N141"/>
  <c r="D376"/>
  <c r="G376" s="1"/>
  <c r="N376" s="1"/>
  <c r="N316"/>
  <c r="N312"/>
  <c r="D363"/>
  <c r="G363" s="1"/>
  <c r="N363" s="1"/>
  <c r="G534"/>
  <c r="D147"/>
  <c r="G147" s="1"/>
  <c r="D25" i="2" s="1"/>
  <c r="G25" s="1"/>
  <c r="D143" i="1"/>
  <c r="G143" s="1"/>
  <c r="D21" i="2" s="1"/>
  <c r="G21" s="1"/>
  <c r="N92" i="1"/>
  <c r="D134"/>
  <c r="G134" s="1"/>
  <c r="D12" i="2" s="1"/>
  <c r="G12" s="1"/>
  <c r="N83" i="1"/>
  <c r="G355"/>
  <c r="D413"/>
  <c r="D416" s="1"/>
  <c r="D136"/>
  <c r="G136" s="1"/>
  <c r="D14" i="2" s="1"/>
  <c r="G14" s="1"/>
  <c r="N85" i="1"/>
  <c r="D139"/>
  <c r="G139" s="1"/>
  <c r="D17" i="2" s="1"/>
  <c r="G17" s="1"/>
  <c r="N88" i="1"/>
  <c r="N224"/>
  <c r="N79"/>
  <c r="N279"/>
  <c r="M338"/>
  <c r="M341" s="1"/>
  <c r="N373"/>
  <c r="N537"/>
  <c r="N283"/>
  <c r="N269"/>
  <c r="N230"/>
  <c r="D140"/>
  <c r="G140" s="1"/>
  <c r="D18" i="2" s="1"/>
  <c r="G18" s="1"/>
  <c r="N89" i="1"/>
  <c r="I258"/>
  <c r="M258" s="1"/>
  <c r="I179"/>
  <c r="M179" s="1"/>
  <c r="D179"/>
  <c r="G179" s="1"/>
  <c r="N130"/>
  <c r="D258"/>
  <c r="G258" s="1"/>
  <c r="D163"/>
  <c r="G163" s="1"/>
  <c r="N111"/>
  <c r="D153"/>
  <c r="G153" s="1"/>
  <c r="D31" i="2" s="1"/>
  <c r="G31" s="1"/>
  <c r="N102" i="1"/>
  <c r="D137"/>
  <c r="G137" s="1"/>
  <c r="D15" i="2" s="1"/>
  <c r="G15" s="1"/>
  <c r="N86" i="1"/>
  <c r="I218"/>
  <c r="M218" s="1"/>
  <c r="D146"/>
  <c r="G146" s="1"/>
  <c r="D24" i="2" s="1"/>
  <c r="G24" s="1"/>
  <c r="D72" s="1"/>
  <c r="G72" s="1"/>
  <c r="M72" s="1"/>
  <c r="D277" i="1"/>
  <c r="G277" s="1"/>
  <c r="N277" s="1"/>
  <c r="D223"/>
  <c r="G223" s="1"/>
  <c r="N223" s="1"/>
  <c r="N150"/>
  <c r="D275"/>
  <c r="G275" s="1"/>
  <c r="N275" s="1"/>
  <c r="D220"/>
  <c r="G220" s="1"/>
  <c r="N220" s="1"/>
  <c r="N148"/>
  <c r="N499"/>
  <c r="N502" s="1"/>
  <c r="I564"/>
  <c r="I567" s="1"/>
  <c r="N225"/>
  <c r="I273" l="1"/>
  <c r="M273" s="1"/>
  <c r="N287"/>
  <c r="N180"/>
  <c r="M18" i="2"/>
  <c r="D66"/>
  <c r="G66" s="1"/>
  <c r="M66" s="1"/>
  <c r="M17"/>
  <c r="D65"/>
  <c r="G65" s="1"/>
  <c r="M65" s="1"/>
  <c r="M21"/>
  <c r="D69"/>
  <c r="G69" s="1"/>
  <c r="M69" s="1"/>
  <c r="M32"/>
  <c r="D80"/>
  <c r="G80" s="1"/>
  <c r="M80" s="1"/>
  <c r="M15"/>
  <c r="D63"/>
  <c r="G63" s="1"/>
  <c r="M63" s="1"/>
  <c r="M27"/>
  <c r="D75"/>
  <c r="G75" s="1"/>
  <c r="M75" s="1"/>
  <c r="M31"/>
  <c r="D79"/>
  <c r="G79" s="1"/>
  <c r="M79" s="1"/>
  <c r="M38"/>
  <c r="D86"/>
  <c r="G86" s="1"/>
  <c r="M86" s="1"/>
  <c r="M14"/>
  <c r="D62"/>
  <c r="G62" s="1"/>
  <c r="M62" s="1"/>
  <c r="M12"/>
  <c r="D60"/>
  <c r="G60" s="1"/>
  <c r="M60" s="1"/>
  <c r="M25"/>
  <c r="D73"/>
  <c r="G73" s="1"/>
  <c r="M73" s="1"/>
  <c r="M13"/>
  <c r="D61"/>
  <c r="G61" s="1"/>
  <c r="M61" s="1"/>
  <c r="M9"/>
  <c r="D57"/>
  <c r="G57" s="1"/>
  <c r="M57" s="1"/>
  <c r="N95" i="1"/>
  <c r="I109"/>
  <c r="I112" s="1"/>
  <c r="D109"/>
  <c r="D112" s="1"/>
  <c r="M24" i="2"/>
  <c r="M109" i="1"/>
  <c r="M112" s="1"/>
  <c r="N179"/>
  <c r="D204"/>
  <c r="G204" s="1"/>
  <c r="N204" s="1"/>
  <c r="N139"/>
  <c r="D214"/>
  <c r="G214" s="1"/>
  <c r="N214" s="1"/>
  <c r="N143"/>
  <c r="D199"/>
  <c r="G199" s="1"/>
  <c r="N199" s="1"/>
  <c r="N137"/>
  <c r="D280"/>
  <c r="G280" s="1"/>
  <c r="N280" s="1"/>
  <c r="D227"/>
  <c r="G227" s="1"/>
  <c r="N227" s="1"/>
  <c r="N153"/>
  <c r="D281"/>
  <c r="G281" s="1"/>
  <c r="N281" s="1"/>
  <c r="N154"/>
  <c r="D229"/>
  <c r="G229" s="1"/>
  <c r="N229" s="1"/>
  <c r="D288"/>
  <c r="G288" s="1"/>
  <c r="N288" s="1"/>
  <c r="D237"/>
  <c r="G237" s="1"/>
  <c r="N237" s="1"/>
  <c r="N160"/>
  <c r="D273"/>
  <c r="G273" s="1"/>
  <c r="N273" s="1"/>
  <c r="D218"/>
  <c r="G218" s="1"/>
  <c r="N218" s="1"/>
  <c r="N146"/>
  <c r="N163"/>
  <c r="D291"/>
  <c r="G291" s="1"/>
  <c r="N291" s="1"/>
  <c r="D193"/>
  <c r="G193" s="1"/>
  <c r="N193" s="1"/>
  <c r="N135"/>
  <c r="M129"/>
  <c r="I8" i="2" s="1"/>
  <c r="I161" i="1"/>
  <c r="I164" s="1"/>
  <c r="D338"/>
  <c r="D341" s="1"/>
  <c r="G335"/>
  <c r="G413"/>
  <c r="G416" s="1"/>
  <c r="N355"/>
  <c r="N413" s="1"/>
  <c r="N416" s="1"/>
  <c r="N534"/>
  <c r="D221"/>
  <c r="G221" s="1"/>
  <c r="N221" s="1"/>
  <c r="D276"/>
  <c r="G276" s="1"/>
  <c r="N276" s="1"/>
  <c r="N149"/>
  <c r="N78"/>
  <c r="G109"/>
  <c r="G112" s="1"/>
  <c r="D129"/>
  <c r="D206"/>
  <c r="G206" s="1"/>
  <c r="N206" s="1"/>
  <c r="N140"/>
  <c r="D196"/>
  <c r="G196" s="1"/>
  <c r="N196" s="1"/>
  <c r="N136"/>
  <c r="D188"/>
  <c r="G188" s="1"/>
  <c r="N188" s="1"/>
  <c r="N134"/>
  <c r="D274"/>
  <c r="G274" s="1"/>
  <c r="N274" s="1"/>
  <c r="D219"/>
  <c r="G219" s="1"/>
  <c r="N219" s="1"/>
  <c r="N147"/>
  <c r="N258"/>
  <c r="I39" i="2" l="1"/>
  <c r="I42" s="1"/>
  <c r="L8"/>
  <c r="N109" i="1"/>
  <c r="N112" s="1"/>
  <c r="D161"/>
  <c r="D164" s="1"/>
  <c r="G129"/>
  <c r="D8" i="2" s="1"/>
  <c r="I257" i="1"/>
  <c r="I177"/>
  <c r="M161"/>
  <c r="M164" s="1"/>
  <c r="N335"/>
  <c r="N338" s="1"/>
  <c r="N341" s="1"/>
  <c r="D410"/>
  <c r="G410" s="1"/>
  <c r="N410" s="1"/>
  <c r="G338"/>
  <c r="G341" s="1"/>
  <c r="L39" i="2" l="1"/>
  <c r="L42" s="1"/>
  <c r="I56"/>
  <c r="G8"/>
  <c r="D56" s="1"/>
  <c r="D39"/>
  <c r="D42" s="1"/>
  <c r="G561" i="1"/>
  <c r="D564"/>
  <c r="D567" s="1"/>
  <c r="D257"/>
  <c r="G161"/>
  <c r="G164" s="1"/>
  <c r="D177"/>
  <c r="N129"/>
  <c r="N161" s="1"/>
  <c r="N164" s="1"/>
  <c r="I238"/>
  <c r="I241" s="1"/>
  <c r="M177"/>
  <c r="M238" s="1"/>
  <c r="M241" s="1"/>
  <c r="M257"/>
  <c r="M289" s="1"/>
  <c r="M292" s="1"/>
  <c r="I289"/>
  <c r="I292" s="1"/>
  <c r="L56" i="2" l="1"/>
  <c r="L87" s="1"/>
  <c r="L90" s="1"/>
  <c r="I87"/>
  <c r="I90" s="1"/>
  <c r="G56"/>
  <c r="D87"/>
  <c r="D90" s="1"/>
  <c r="G39"/>
  <c r="G42" s="1"/>
  <c r="M8"/>
  <c r="M39" s="1"/>
  <c r="M42" s="1"/>
  <c r="D289" i="1"/>
  <c r="D292" s="1"/>
  <c r="G257"/>
  <c r="N561"/>
  <c r="N564" s="1"/>
  <c r="N567" s="1"/>
  <c r="G564"/>
  <c r="G567" s="1"/>
  <c r="D238"/>
  <c r="D241" s="1"/>
  <c r="G177"/>
  <c r="M56" i="2" l="1"/>
  <c r="M87" s="1"/>
  <c r="M90" s="1"/>
  <c r="G87"/>
  <c r="G90" s="1"/>
  <c r="G238" i="1"/>
  <c r="G241" s="1"/>
  <c r="N177"/>
  <c r="N238" s="1"/>
  <c r="N241" s="1"/>
  <c r="G289"/>
  <c r="G292" s="1"/>
  <c r="N257"/>
  <c r="N289" s="1"/>
  <c r="N292" s="1"/>
</calcChain>
</file>

<file path=xl/sharedStrings.xml><?xml version="1.0" encoding="utf-8"?>
<sst xmlns="http://schemas.openxmlformats.org/spreadsheetml/2006/main" count="919" uniqueCount="113">
  <si>
    <t>File Number:</t>
  </si>
  <si>
    <t>Exhibit:</t>
  </si>
  <si>
    <t>Tab:</t>
  </si>
  <si>
    <t>Schedule:</t>
  </si>
  <si>
    <t>Attachment:</t>
  </si>
  <si>
    <t>Date:</t>
  </si>
  <si>
    <t>Appendix 2-BA</t>
  </si>
  <si>
    <t>Fixed Asset Continuity Schedule - CGAAP/ASPE/USGAAP</t>
  </si>
  <si>
    <t xml:space="preserve">Year </t>
  </si>
  <si>
    <t>Cost</t>
  </si>
  <si>
    <t>Accumulated Depreciation</t>
  </si>
  <si>
    <t>CCA Class</t>
  </si>
  <si>
    <t>OEB</t>
  </si>
  <si>
    <t>Description</t>
  </si>
  <si>
    <t>Opening Balance</t>
  </si>
  <si>
    <t>Additions</t>
  </si>
  <si>
    <t>Disposals</t>
  </si>
  <si>
    <t>Closing Balance</t>
  </si>
  <si>
    <t>Net Book Value</t>
  </si>
  <si>
    <t>Computer Software (Formally known as Account 1925)</t>
  </si>
  <si>
    <t>N/A</t>
  </si>
  <si>
    <t>Land</t>
  </si>
  <si>
    <t>Buildings</t>
  </si>
  <si>
    <t>Transformer Station Equipment &gt;50 kV</t>
  </si>
  <si>
    <t>Distribution Station Equipment &lt;50 kV</t>
  </si>
  <si>
    <t>Poles, Towers &amp; Fixtures</t>
  </si>
  <si>
    <t>Overhead Conductors &amp; Devices</t>
  </si>
  <si>
    <t>Underground Conduit</t>
  </si>
  <si>
    <t>Underground Conductors &amp; Devices</t>
  </si>
  <si>
    <t>Line Transformers</t>
  </si>
  <si>
    <t>Services (Overhead &amp; Underground)</t>
  </si>
  <si>
    <t>Meters</t>
  </si>
  <si>
    <t>Major Spare parts</t>
  </si>
  <si>
    <t>Buildings &amp; Fixtures</t>
  </si>
  <si>
    <t>Leasehold Improvements</t>
  </si>
  <si>
    <t>Office Furniture &amp; Equipment (10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</si>
  <si>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</si>
  <si>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</si>
  <si>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</si>
  <si>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</si>
  <si>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</si>
  <si>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</si>
  <si>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</si>
  <si>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Communications Equipment</t>
  </si>
  <si>
    <t xml:space="preserve">Miscellaneous Equipment </t>
  </si>
  <si>
    <t>Load Management Controls Customer Premises</t>
  </si>
  <si>
    <t>System Supervisor Equipment</t>
  </si>
  <si>
    <t>Contributions &amp; Grants</t>
  </si>
  <si>
    <t>Non-utility property owned under capital lease</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</si>
  <si>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</si>
  <si>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</si>
  <si>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</si>
  <si>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</si>
  <si>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</si>
  <si>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</si>
  <si>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</si>
  <si>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</si>
  <si>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</si>
  <si>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</si>
  <si>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</si>
  <si>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(F) must not include construction work in progress (CWIP).</t>
  </si>
  <si>
    <t>Intangible assets</t>
  </si>
  <si>
    <t>Construction - work in progress</t>
  </si>
  <si>
    <t>CEC</t>
  </si>
  <si>
    <t>Land Rights (Formally known as Account 1906)</t>
  </si>
  <si>
    <t>Storage Battery Equipment</t>
  </si>
  <si>
    <t>Office Furniture &amp; Equipment (5 years)</t>
  </si>
  <si>
    <t>Power Operated Equipment</t>
  </si>
  <si>
    <t>Communication Equipment (Smart Meters)</t>
  </si>
  <si>
    <t>Load Management Controls Utility Premises</t>
  </si>
  <si>
    <t>Miscellaneous Fixed Assets</t>
  </si>
  <si>
    <t>Other Tangible Property</t>
  </si>
  <si>
    <t>"Old CGAAP"</t>
  </si>
  <si>
    <t>without changing policies</t>
  </si>
  <si>
    <t>2013-new capitalization/depreciation policies</t>
  </si>
  <si>
    <t>Services</t>
  </si>
  <si>
    <t>Construction work in progress</t>
  </si>
  <si>
    <t xml:space="preserve"> - New Policies</t>
  </si>
  <si>
    <t>Page:</t>
  </si>
  <si>
    <t>Fixed Asset Continuity Schedule - MIFRS</t>
  </si>
  <si>
    <t xml:space="preserve">Line Transformers </t>
  </si>
  <si>
    <t>Depreciation Expense adj. from gain or loss on the retirement of assets (pool of like assets)</t>
  </si>
  <si>
    <t>Total</t>
  </si>
  <si>
    <t xml:space="preserve"> - MIFRS</t>
  </si>
  <si>
    <t>Pre IFRS 1 exmemption deeming opening NBV as cost</t>
  </si>
  <si>
    <t>TS capital</t>
  </si>
  <si>
    <t>Distribution Station Equipment &lt;50kV</t>
  </si>
  <si>
    <t>Considers IFRS 1 Exemption for 2014 ending NBV to = 2015 Opening Cost</t>
  </si>
  <si>
    <t>As above but with Contributed Capital blended in</t>
  </si>
  <si>
    <t>Wooden Poles</t>
  </si>
  <si>
    <t>Overhead Fixtures</t>
  </si>
  <si>
    <t>Line switches</t>
  </si>
  <si>
    <t>Integral switches</t>
  </si>
  <si>
    <t>Reclosers</t>
  </si>
  <si>
    <t>Capacitor banks</t>
  </si>
  <si>
    <t>Underground Foundations</t>
  </si>
  <si>
    <t>UG cable - non TR</t>
  </si>
  <si>
    <t>Underground Switchgear</t>
  </si>
  <si>
    <t>Line Transformers - Aerial</t>
  </si>
  <si>
    <t>Padmount transformers</t>
  </si>
  <si>
    <t>Services Underground</t>
  </si>
  <si>
    <t>Services Overhead</t>
  </si>
  <si>
    <t>Current and Potential transformers</t>
  </si>
  <si>
    <t>Primary meters</t>
  </si>
  <si>
    <t>Wholesale meters</t>
  </si>
  <si>
    <t>Meters (Smart Meters)</t>
  </si>
  <si>
    <t>Building - Heating &amp; Cooling</t>
  </si>
  <si>
    <t>Small trucks</t>
  </si>
  <si>
    <t xml:space="preserve">Non Rate-Regulated Utility Property </t>
  </si>
  <si>
    <t>Less Socialized Renewable Energy Generation Investments (input as negative)</t>
  </si>
  <si>
    <t>Less Other Non Rate-Regulated Utility Assets (input as negative)</t>
  </si>
  <si>
    <t>Less: Fully Allocated Depreciation</t>
  </si>
  <si>
    <t>Adj to opening Acc. Dep</t>
  </si>
</sst>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164" formatCode="_-&quot;$&quot;* #,##0_-;\-&quot;$&quot;* #,##0_-;_-&quot;$&quot;* &quot;-&quot;??_-;_-@_-"/>
    <numFmt numFmtId="165" formatCode="_-* #,##0_-;\-* #,##0_-;_-* &quot;-&quot;??_-;_-@_-"/>
  </numFmts>
  <fonts count="14">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b/>
      <sz val="9"/>
      <name val="Arial"/>
      <family val="2"/>
    </font>
    <font>
      <b/>
      <i/>
      <sz val="10"/>
      <name val="Arial"/>
      <family val="2"/>
    </font>
    <font>
      <b/>
      <i/>
      <sz val="9"/>
      <name val="Arial"/>
      <family val="2"/>
    </font>
    <font>
      <i/>
      <sz val="10"/>
      <name val="Arial"/>
      <family val="2"/>
    </font>
    <font>
      <b/>
      <sz val="12"/>
      <name val="Arial"/>
      <family val="2"/>
    </font>
    <font>
      <sz val="12"/>
      <name val="Arial"/>
      <family val="2"/>
    </font>
  </fonts>
  <fills count="6">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1" fillId="0" borderId="0" applyFont="0" applyFill="0" applyBorder="0" applyAlignment="0" applyProtection="0"/>
  </cellStyleXfs>
  <cellXfs count="149">
    <xf numFmtId="0" fontId="0" fillId="0" borderId="0" xfId="0"/>
    <xf numFmtId="0" fontId="2" fillId="0" borderId="0" xfId="2" applyAlignment="1">
      <alignment horizontal="center"/>
    </xf>
    <xf numFmtId="0" fontId="2" fillId="0" borderId="0" xfId="2"/>
    <xf numFmtId="0" fontId="2" fillId="0" borderId="0" xfId="2" applyBorder="1"/>
    <xf numFmtId="0" fontId="3" fillId="0" borderId="0" xfId="2" applyFont="1"/>
    <xf numFmtId="0" fontId="4" fillId="0" borderId="0" xfId="0" applyFont="1" applyAlignment="1">
      <alignment horizontal="right" vertical="top"/>
    </xf>
    <xf numFmtId="0" fontId="4" fillId="2" borderId="1" xfId="2" applyFont="1" applyFill="1" applyBorder="1" applyAlignment="1">
      <alignment horizontal="right" vertical="top"/>
    </xf>
    <xf numFmtId="0" fontId="4" fillId="2" borderId="0" xfId="2" applyFont="1" applyFill="1" applyAlignment="1">
      <alignment horizontal="right" vertical="top"/>
    </xf>
    <xf numFmtId="0" fontId="4" fillId="0" borderId="0" xfId="2" applyFont="1" applyAlignment="1">
      <alignment horizontal="right" vertical="top"/>
    </xf>
    <xf numFmtId="15" fontId="4" fillId="2" borderId="0" xfId="2" applyNumberFormat="1" applyFont="1" applyFill="1" applyAlignment="1">
      <alignment horizontal="right" vertical="top"/>
    </xf>
    <xf numFmtId="0" fontId="2" fillId="0" borderId="0" xfId="2" applyFont="1"/>
    <xf numFmtId="0" fontId="3" fillId="0" borderId="0" xfId="2" applyFont="1" applyAlignment="1">
      <alignment horizontal="right"/>
    </xf>
    <xf numFmtId="0" fontId="6" fillId="2" borderId="0" xfId="2" applyFont="1" applyFill="1" applyAlignment="1"/>
    <xf numFmtId="0" fontId="7" fillId="0" borderId="0" xfId="2" applyFont="1" applyAlignment="1">
      <alignment horizontal="center"/>
    </xf>
    <xf numFmtId="0" fontId="2" fillId="3" borderId="2" xfId="2" applyFill="1" applyBorder="1"/>
    <xf numFmtId="0" fontId="3" fillId="3" borderId="3" xfId="2" applyFont="1" applyFill="1" applyBorder="1" applyAlignment="1"/>
    <xf numFmtId="0" fontId="3" fillId="3" borderId="4" xfId="2" applyFont="1" applyFill="1" applyBorder="1" applyAlignment="1"/>
    <xf numFmtId="0" fontId="3" fillId="3" borderId="5" xfId="2" applyFont="1" applyFill="1" applyBorder="1" applyAlignment="1">
      <alignment horizontal="center" wrapText="1"/>
    </xf>
    <xf numFmtId="0" fontId="3" fillId="3" borderId="5" xfId="2" applyFont="1" applyFill="1" applyBorder="1" applyAlignment="1">
      <alignment horizontal="center"/>
    </xf>
    <xf numFmtId="0" fontId="3" fillId="3" borderId="5" xfId="2" applyFont="1" applyFill="1" applyBorder="1"/>
    <xf numFmtId="0" fontId="2" fillId="3" borderId="6" xfId="2" applyFill="1" applyBorder="1"/>
    <xf numFmtId="0" fontId="3" fillId="3" borderId="7" xfId="2" applyFont="1" applyFill="1" applyBorder="1" applyAlignment="1">
      <alignment horizontal="center" wrapText="1"/>
    </xf>
    <xf numFmtId="0" fontId="3" fillId="3" borderId="8" xfId="2" applyFont="1" applyFill="1" applyBorder="1" applyAlignment="1">
      <alignment horizontal="center"/>
    </xf>
    <xf numFmtId="0" fontId="3" fillId="3" borderId="8" xfId="2" applyFont="1" applyFill="1" applyBorder="1" applyAlignment="1">
      <alignment horizontal="center" wrapText="1"/>
    </xf>
    <xf numFmtId="0" fontId="2" fillId="0" borderId="5" xfId="2" applyBorder="1" applyAlignment="1">
      <alignment horizontal="center" vertical="center"/>
    </xf>
    <xf numFmtId="0" fontId="2" fillId="0" borderId="5" xfId="2" applyFont="1" applyBorder="1" applyAlignment="1">
      <alignment vertical="center" wrapText="1"/>
    </xf>
    <xf numFmtId="164" fontId="0" fillId="2" borderId="5" xfId="1" applyNumberFormat="1" applyFont="1" applyFill="1" applyBorder="1"/>
    <xf numFmtId="164" fontId="0" fillId="0" borderId="5" xfId="1" applyNumberFormat="1" applyFont="1" applyBorder="1"/>
    <xf numFmtId="0" fontId="2" fillId="0" borderId="6" xfId="2" applyBorder="1"/>
    <xf numFmtId="164" fontId="0" fillId="2" borderId="4" xfId="1" applyNumberFormat="1" applyFont="1" applyFill="1" applyBorder="1"/>
    <xf numFmtId="164" fontId="2" fillId="0" borderId="5" xfId="2" applyNumberFormat="1" applyBorder="1"/>
    <xf numFmtId="0" fontId="2" fillId="0" borderId="5" xfId="2" applyFill="1" applyBorder="1" applyAlignment="1">
      <alignment horizontal="center" vertical="center"/>
    </xf>
    <xf numFmtId="0" fontId="2" fillId="0" borderId="5" xfId="2" applyFill="1" applyBorder="1" applyAlignment="1">
      <alignment vertical="center" wrapText="1"/>
    </xf>
    <xf numFmtId="0" fontId="2" fillId="0" borderId="5" xfId="2" applyBorder="1" applyAlignment="1">
      <alignment vertical="center" wrapText="1"/>
    </xf>
    <xf numFmtId="0" fontId="2" fillId="0" borderId="5" xfId="2" applyFont="1" applyBorder="1" applyAlignment="1">
      <alignment horizontal="center" vertical="center"/>
    </xf>
    <xf numFmtId="0" fontId="2" fillId="0" borderId="5" xfId="2" applyBorder="1" applyAlignment="1">
      <alignment horizontal="center"/>
    </xf>
    <xf numFmtId="0" fontId="2" fillId="0" borderId="5" xfId="2" applyBorder="1"/>
    <xf numFmtId="0" fontId="2" fillId="2" borderId="5" xfId="2" applyFill="1" applyBorder="1"/>
    <xf numFmtId="0" fontId="3" fillId="0" borderId="5" xfId="2" applyFont="1" applyBorder="1"/>
    <xf numFmtId="164" fontId="3" fillId="0" borderId="5" xfId="2" applyNumberFormat="1" applyFont="1" applyBorder="1"/>
    <xf numFmtId="0" fontId="3" fillId="0" borderId="5" xfId="2" applyFont="1" applyBorder="1" applyAlignment="1">
      <alignment vertical="center" wrapText="1"/>
    </xf>
    <xf numFmtId="0" fontId="9" fillId="0" borderId="5" xfId="2" applyFont="1" applyBorder="1" applyAlignment="1">
      <alignment vertical="top" wrapText="1"/>
    </xf>
    <xf numFmtId="164" fontId="2" fillId="2" borderId="5" xfId="2" applyNumberFormat="1" applyFill="1" applyBorder="1"/>
    <xf numFmtId="0" fontId="2" fillId="0" borderId="0" xfId="2" applyFont="1" applyAlignment="1"/>
    <xf numFmtId="0" fontId="2" fillId="0" borderId="0" xfId="2" applyAlignment="1"/>
    <xf numFmtId="164" fontId="0" fillId="2" borderId="1" xfId="1" applyNumberFormat="1" applyFont="1" applyFill="1" applyBorder="1"/>
    <xf numFmtId="164" fontId="0" fillId="2" borderId="9" xfId="1" applyNumberFormat="1" applyFont="1" applyFill="1" applyBorder="1"/>
    <xf numFmtId="0" fontId="3" fillId="0" borderId="0" xfId="2" applyFont="1" applyFill="1" applyBorder="1" applyAlignment="1"/>
    <xf numFmtId="164" fontId="0" fillId="0" borderId="3" xfId="1" applyNumberFormat="1" applyFont="1" applyBorder="1"/>
    <xf numFmtId="15" fontId="2" fillId="0" borderId="0" xfId="2" applyNumberFormat="1"/>
    <xf numFmtId="0" fontId="9" fillId="0" borderId="0" xfId="2" applyFont="1" applyAlignment="1">
      <alignment horizontal="center"/>
    </xf>
    <xf numFmtId="0" fontId="2" fillId="0" borderId="0" xfId="2" applyFont="1" applyAlignment="1">
      <alignment horizontal="left"/>
    </xf>
    <xf numFmtId="0" fontId="2" fillId="4" borderId="0" xfId="2" applyFill="1" applyAlignment="1">
      <alignment horizontal="center"/>
    </xf>
    <xf numFmtId="0" fontId="2" fillId="4" borderId="0" xfId="2" applyFill="1"/>
    <xf numFmtId="0" fontId="2" fillId="4" borderId="0" xfId="2" applyFill="1" applyBorder="1"/>
    <xf numFmtId="0" fontId="2" fillId="4" borderId="0" xfId="2" applyFont="1" applyFill="1"/>
    <xf numFmtId="0" fontId="3" fillId="4" borderId="0" xfId="2" applyFont="1" applyFill="1" applyAlignment="1">
      <alignment horizontal="right"/>
    </xf>
    <xf numFmtId="0" fontId="6" fillId="4" borderId="0" xfId="2" applyFont="1" applyFill="1" applyAlignment="1"/>
    <xf numFmtId="0" fontId="7" fillId="4" borderId="0" xfId="2" applyFont="1" applyFill="1" applyAlignment="1">
      <alignment horizontal="center"/>
    </xf>
    <xf numFmtId="0" fontId="2" fillId="4" borderId="2" xfId="2" applyFill="1" applyBorder="1"/>
    <xf numFmtId="0" fontId="3" fillId="4" borderId="3" xfId="2" applyFont="1" applyFill="1" applyBorder="1" applyAlignment="1"/>
    <xf numFmtId="0" fontId="3" fillId="4" borderId="4" xfId="2" applyFont="1" applyFill="1" applyBorder="1" applyAlignment="1"/>
    <xf numFmtId="0" fontId="3" fillId="4" borderId="5" xfId="2" applyFont="1" applyFill="1" applyBorder="1" applyAlignment="1">
      <alignment horizontal="center" wrapText="1"/>
    </xf>
    <xf numFmtId="0" fontId="3" fillId="4" borderId="5" xfId="2" applyFont="1" applyFill="1" applyBorder="1" applyAlignment="1">
      <alignment horizontal="center"/>
    </xf>
    <xf numFmtId="0" fontId="3" fillId="4" borderId="5" xfId="2" applyFont="1" applyFill="1" applyBorder="1"/>
    <xf numFmtId="0" fontId="2" fillId="4" borderId="6" xfId="2" applyFill="1" applyBorder="1"/>
    <xf numFmtId="0" fontId="3" fillId="4" borderId="7" xfId="2" applyFont="1" applyFill="1" applyBorder="1" applyAlignment="1">
      <alignment horizontal="center" wrapText="1"/>
    </xf>
    <xf numFmtId="0" fontId="3" fillId="4" borderId="8" xfId="2" applyFont="1" applyFill="1" applyBorder="1" applyAlignment="1">
      <alignment horizontal="center"/>
    </xf>
    <xf numFmtId="0" fontId="3" fillId="4" borderId="8" xfId="2" applyFont="1" applyFill="1" applyBorder="1" applyAlignment="1">
      <alignment horizontal="center" wrapText="1"/>
    </xf>
    <xf numFmtId="0" fontId="2" fillId="4" borderId="5" xfId="2" applyFill="1" applyBorder="1" applyAlignment="1">
      <alignment horizontal="center" vertical="center"/>
    </xf>
    <xf numFmtId="0" fontId="2" fillId="4" borderId="5" xfId="2" applyFont="1" applyFill="1" applyBorder="1" applyAlignment="1">
      <alignment vertical="center" wrapText="1"/>
    </xf>
    <xf numFmtId="164" fontId="0" fillId="4" borderId="5" xfId="1" applyNumberFormat="1" applyFont="1" applyFill="1" applyBorder="1"/>
    <xf numFmtId="164" fontId="0" fillId="4" borderId="4" xfId="1" applyNumberFormat="1" applyFont="1" applyFill="1" applyBorder="1"/>
    <xf numFmtId="164" fontId="2" fillId="4" borderId="5" xfId="2" applyNumberFormat="1" applyFill="1" applyBorder="1"/>
    <xf numFmtId="0" fontId="2" fillId="4" borderId="5" xfId="2" applyFill="1" applyBorder="1" applyAlignment="1">
      <alignment vertical="center" wrapText="1"/>
    </xf>
    <xf numFmtId="0" fontId="2" fillId="4" borderId="5" xfId="2" applyFont="1" applyFill="1" applyBorder="1" applyAlignment="1">
      <alignment horizontal="center" vertical="center"/>
    </xf>
    <xf numFmtId="0" fontId="2" fillId="4" borderId="5" xfId="2" applyFill="1" applyBorder="1" applyAlignment="1">
      <alignment horizontal="left" vertical="center"/>
    </xf>
    <xf numFmtId="0" fontId="2" fillId="4" borderId="5" xfId="2" applyFill="1" applyBorder="1" applyAlignment="1">
      <alignment horizontal="center"/>
    </xf>
    <xf numFmtId="0" fontId="2" fillId="4" borderId="5" xfId="2" applyFill="1" applyBorder="1"/>
    <xf numFmtId="164" fontId="3" fillId="4" borderId="5" xfId="2" applyNumberFormat="1" applyFont="1" applyFill="1" applyBorder="1"/>
    <xf numFmtId="0" fontId="3" fillId="4" borderId="5" xfId="2" applyFont="1" applyFill="1" applyBorder="1" applyAlignment="1">
      <alignment vertical="center" wrapText="1"/>
    </xf>
    <xf numFmtId="0" fontId="9" fillId="4" borderId="5" xfId="2" applyFont="1" applyFill="1" applyBorder="1" applyAlignment="1">
      <alignment vertical="top" wrapText="1"/>
    </xf>
    <xf numFmtId="0" fontId="2" fillId="4" borderId="0" xfId="2" applyFont="1" applyFill="1" applyAlignment="1"/>
    <xf numFmtId="0" fontId="2" fillId="4" borderId="0" xfId="2" applyFill="1" applyAlignment="1"/>
    <xf numFmtId="164" fontId="0" fillId="4" borderId="1" xfId="1" applyNumberFormat="1" applyFont="1" applyFill="1" applyBorder="1"/>
    <xf numFmtId="164" fontId="0" fillId="4" borderId="9" xfId="1" applyNumberFormat="1" applyFont="1" applyFill="1" applyBorder="1"/>
    <xf numFmtId="0" fontId="3" fillId="4" borderId="0" xfId="2" applyFont="1" applyFill="1" applyBorder="1" applyAlignment="1"/>
    <xf numFmtId="164" fontId="0" fillId="4" borderId="3" xfId="1" applyNumberFormat="1" applyFont="1" applyFill="1" applyBorder="1"/>
    <xf numFmtId="0" fontId="7" fillId="0" borderId="0" xfId="2" applyFont="1" applyAlignment="1"/>
    <xf numFmtId="0" fontId="13" fillId="0" borderId="0" xfId="2" applyFont="1"/>
    <xf numFmtId="164" fontId="0" fillId="0" borderId="0" xfId="1" applyNumberFormat="1" applyFont="1" applyBorder="1"/>
    <xf numFmtId="164" fontId="0" fillId="4" borderId="0" xfId="1" applyNumberFormat="1" applyFont="1" applyFill="1" applyBorder="1"/>
    <xf numFmtId="0" fontId="3" fillId="4" borderId="0" xfId="2" applyFont="1" applyFill="1"/>
    <xf numFmtId="0" fontId="4" fillId="4" borderId="0" xfId="0" applyFont="1" applyFill="1" applyAlignment="1">
      <alignment horizontal="right" vertical="top"/>
    </xf>
    <xf numFmtId="0" fontId="4" fillId="4" borderId="1" xfId="2" applyFont="1" applyFill="1" applyBorder="1" applyAlignment="1">
      <alignment horizontal="right" vertical="top"/>
    </xf>
    <xf numFmtId="0" fontId="4" fillId="4" borderId="0" xfId="2" applyFont="1" applyFill="1" applyAlignment="1">
      <alignment horizontal="right" vertical="top"/>
    </xf>
    <xf numFmtId="164" fontId="2" fillId="4" borderId="0" xfId="2" applyNumberFormat="1" applyFill="1" applyBorder="1"/>
    <xf numFmtId="0" fontId="9" fillId="4" borderId="0" xfId="2" applyFont="1" applyFill="1" applyAlignment="1">
      <alignment horizontal="center"/>
    </xf>
    <xf numFmtId="0" fontId="2" fillId="4" borderId="0" xfId="2" applyFont="1" applyFill="1" applyAlignment="1">
      <alignment horizontal="left"/>
    </xf>
    <xf numFmtId="164" fontId="2" fillId="0" borderId="9" xfId="2" applyNumberFormat="1" applyBorder="1"/>
    <xf numFmtId="164" fontId="2" fillId="0" borderId="0" xfId="2" applyNumberFormat="1" applyBorder="1"/>
    <xf numFmtId="0" fontId="2" fillId="0" borderId="0" xfId="3"/>
    <xf numFmtId="0" fontId="2" fillId="0" borderId="0" xfId="3" applyAlignment="1">
      <alignment wrapText="1"/>
    </xf>
    <xf numFmtId="0" fontId="2" fillId="0" borderId="0" xfId="2" applyFont="1" applyAlignment="1">
      <alignment wrapText="1"/>
    </xf>
    <xf numFmtId="0" fontId="3" fillId="3" borderId="5" xfId="2" applyFont="1" applyFill="1" applyBorder="1" applyAlignment="1">
      <alignment wrapText="1"/>
    </xf>
    <xf numFmtId="164" fontId="2" fillId="2" borderId="5" xfId="4" applyNumberFormat="1" applyFont="1" applyFill="1" applyBorder="1"/>
    <xf numFmtId="164" fontId="2" fillId="0" borderId="5" xfId="4" applyNumberFormat="1" applyFont="1" applyBorder="1"/>
    <xf numFmtId="164" fontId="2" fillId="2" borderId="4" xfId="4" applyNumberFormat="1" applyFont="1" applyFill="1" applyBorder="1"/>
    <xf numFmtId="0" fontId="2" fillId="0" borderId="5" xfId="2" applyBorder="1" applyAlignment="1">
      <alignment wrapText="1"/>
    </xf>
    <xf numFmtId="0" fontId="3" fillId="0" borderId="5" xfId="2" applyFont="1" applyBorder="1" applyAlignment="1">
      <alignment wrapText="1"/>
    </xf>
    <xf numFmtId="164" fontId="2" fillId="2" borderId="1" xfId="4" applyNumberFormat="1" applyFont="1" applyFill="1" applyBorder="1"/>
    <xf numFmtId="164" fontId="2" fillId="2" borderId="9" xfId="4" applyNumberFormat="1" applyFont="1" applyFill="1" applyBorder="1"/>
    <xf numFmtId="0" fontId="7" fillId="0" borderId="0" xfId="2" applyFont="1" applyAlignment="1">
      <alignment horizontal="left"/>
    </xf>
    <xf numFmtId="164" fontId="0" fillId="0" borderId="5" xfId="1" applyNumberFormat="1" applyFont="1" applyFill="1" applyBorder="1"/>
    <xf numFmtId="0" fontId="2" fillId="0" borderId="0" xfId="2" applyFill="1" applyBorder="1"/>
    <xf numFmtId="164" fontId="0" fillId="0" borderId="0" xfId="1" applyNumberFormat="1" applyFont="1" applyFill="1" applyBorder="1"/>
    <xf numFmtId="164" fontId="2" fillId="0" borderId="0" xfId="2" applyNumberFormat="1" applyFill="1" applyBorder="1"/>
    <xf numFmtId="0" fontId="2" fillId="0" borderId="5" xfId="2" applyBorder="1" applyAlignment="1">
      <alignment horizontal="left" vertical="center"/>
    </xf>
    <xf numFmtId="0" fontId="0" fillId="0" borderId="0" xfId="0" applyAlignment="1">
      <alignment vertical="top"/>
    </xf>
    <xf numFmtId="164" fontId="0" fillId="0" borderId="3" xfId="0" applyNumberFormat="1" applyBorder="1" applyAlignment="1">
      <alignment vertical="top"/>
    </xf>
    <xf numFmtId="165" fontId="2" fillId="5" borderId="5" xfId="5" applyNumberFormat="1" applyFont="1" applyFill="1" applyBorder="1"/>
    <xf numFmtId="0" fontId="3" fillId="0" borderId="4" xfId="2" applyFont="1" applyFill="1" applyBorder="1" applyAlignment="1">
      <alignment horizontal="left"/>
    </xf>
    <xf numFmtId="0" fontId="3" fillId="4" borderId="4" xfId="2" applyFont="1" applyFill="1" applyBorder="1" applyAlignment="1">
      <alignment horizontal="left"/>
    </xf>
    <xf numFmtId="164" fontId="3" fillId="0" borderId="0" xfId="2" applyNumberFormat="1" applyFont="1" applyBorder="1"/>
    <xf numFmtId="164" fontId="2" fillId="0" borderId="10" xfId="2" applyNumberFormat="1" applyBorder="1"/>
    <xf numFmtId="0" fontId="2" fillId="3" borderId="3" xfId="2" applyFill="1" applyBorder="1"/>
    <xf numFmtId="0" fontId="2" fillId="4" borderId="3" xfId="2" applyFill="1" applyBorder="1"/>
    <xf numFmtId="0" fontId="3" fillId="0" borderId="2" xfId="2" applyFont="1" applyFill="1" applyBorder="1" applyAlignment="1">
      <alignment horizontal="left"/>
    </xf>
    <xf numFmtId="0" fontId="3" fillId="0" borderId="3" xfId="2" applyFont="1" applyFill="1" applyBorder="1" applyAlignment="1">
      <alignment horizontal="left"/>
    </xf>
    <xf numFmtId="0" fontId="3" fillId="0" borderId="4" xfId="2" applyFont="1" applyFill="1" applyBorder="1" applyAlignment="1">
      <alignment horizontal="left"/>
    </xf>
    <xf numFmtId="0" fontId="5" fillId="0" borderId="0" xfId="2" applyFont="1" applyAlignment="1">
      <alignment horizontal="center" vertical="top"/>
    </xf>
    <xf numFmtId="0" fontId="3" fillId="4" borderId="2" xfId="2" applyFont="1" applyFill="1" applyBorder="1" applyAlignment="1">
      <alignment horizontal="center"/>
    </xf>
    <xf numFmtId="0" fontId="3" fillId="4" borderId="3" xfId="2" applyFont="1" applyFill="1" applyBorder="1" applyAlignment="1">
      <alignment horizontal="center"/>
    </xf>
    <xf numFmtId="0" fontId="3" fillId="4" borderId="4" xfId="2" applyFont="1" applyFill="1" applyBorder="1" applyAlignment="1">
      <alignment horizontal="center"/>
    </xf>
    <xf numFmtId="0" fontId="3" fillId="4" borderId="2" xfId="2" applyFont="1" applyFill="1" applyBorder="1" applyAlignment="1">
      <alignment horizontal="left"/>
    </xf>
    <xf numFmtId="0" fontId="3" fillId="4" borderId="3" xfId="2" applyFont="1" applyFill="1" applyBorder="1" applyAlignment="1">
      <alignment horizontal="left"/>
    </xf>
    <xf numFmtId="0" fontId="3" fillId="4" borderId="4" xfId="2" applyFont="1" applyFill="1" applyBorder="1" applyAlignment="1">
      <alignment horizontal="left"/>
    </xf>
    <xf numFmtId="0" fontId="3" fillId="3" borderId="2" xfId="2" applyFont="1" applyFill="1" applyBorder="1" applyAlignment="1">
      <alignment horizontal="center"/>
    </xf>
    <xf numFmtId="0" fontId="3" fillId="3" borderId="3" xfId="2" applyFont="1" applyFill="1" applyBorder="1" applyAlignment="1">
      <alignment horizontal="center"/>
    </xf>
    <xf numFmtId="0" fontId="3" fillId="3" borderId="4" xfId="2" applyFont="1" applyFill="1" applyBorder="1" applyAlignment="1">
      <alignment horizontal="center"/>
    </xf>
    <xf numFmtId="0" fontId="2" fillId="4" borderId="0" xfId="2" applyFill="1" applyAlignment="1">
      <alignment horizontal="left" vertical="top" wrapText="1"/>
    </xf>
    <xf numFmtId="0" fontId="2" fillId="4" borderId="0" xfId="2" applyFont="1" applyFill="1" applyAlignment="1">
      <alignment horizontal="left" vertical="top" wrapText="1"/>
    </xf>
    <xf numFmtId="0" fontId="2" fillId="4" borderId="0" xfId="2" applyFill="1" applyAlignment="1">
      <alignment horizontal="left" wrapText="1"/>
    </xf>
    <xf numFmtId="0" fontId="12" fillId="0" borderId="0" xfId="2" applyFont="1" applyAlignment="1">
      <alignment horizontal="center" vertical="top"/>
    </xf>
    <xf numFmtId="0" fontId="12" fillId="4" borderId="0" xfId="2" applyFont="1" applyFill="1" applyAlignment="1">
      <alignment horizontal="center" vertical="top"/>
    </xf>
    <xf numFmtId="0" fontId="5" fillId="4" borderId="0" xfId="2" applyFont="1" applyFill="1" applyAlignment="1">
      <alignment horizontal="center" vertical="top"/>
    </xf>
    <xf numFmtId="0" fontId="2" fillId="0" borderId="0" xfId="2" applyAlignment="1">
      <alignment horizontal="left" wrapText="1"/>
    </xf>
    <xf numFmtId="0" fontId="2" fillId="0" borderId="0" xfId="2" applyAlignment="1">
      <alignment horizontal="left" vertical="top" wrapText="1"/>
    </xf>
    <xf numFmtId="0" fontId="2" fillId="0" borderId="0" xfId="2" applyFont="1" applyAlignment="1">
      <alignment horizontal="left" vertical="top" wrapText="1"/>
    </xf>
  </cellXfs>
  <cellStyles count="6">
    <cellStyle name="Comma" xfId="5" builtinId="3"/>
    <cellStyle name="Currency" xfId="1" builtinId="4"/>
    <cellStyle name="Currency 3" xfId="4"/>
    <cellStyle name="Normal" xfId="0" builtinId="0"/>
    <cellStyle name="Normal 10" xfId="3"/>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lly%20FHI\2015%20COS%20KM%20Local\Technical%20conference%20questoins\FEstival_2015%20COS_Filing_Requirements_Chapter2_Appendices_201405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Secure\IFRS%20Asset%20&amp;%20Depreciation%20Schedules\sdrake\Appendices%20for%20COS%20application\Copy%20of%20Filing_Requirements_Chapter2_Appendices_for%20201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 2014 0073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sheetData sheetId="1" refreshError="1"/>
      <sheetData sheetId="2" refreshError="1"/>
      <sheetData sheetId="3" refreshError="1"/>
      <sheetData sheetId="4" refreshError="1"/>
      <sheetData sheetId="5" refreshError="1"/>
      <sheetData sheetId="6">
        <row r="16">
          <cell r="D16">
            <v>470603.83</v>
          </cell>
        </row>
        <row r="348">
          <cell r="K348">
            <v>0</v>
          </cell>
        </row>
        <row r="349">
          <cell r="E349">
            <v>0</v>
          </cell>
          <cell r="F349">
            <v>0</v>
          </cell>
          <cell r="K349">
            <v>0</v>
          </cell>
        </row>
        <row r="355">
          <cell r="F355">
            <v>0</v>
          </cell>
          <cell r="K355">
            <v>0</v>
          </cell>
        </row>
        <row r="357">
          <cell r="K357">
            <v>0</v>
          </cell>
        </row>
        <row r="362">
          <cell r="F362">
            <v>0</v>
          </cell>
          <cell r="K362">
            <v>0</v>
          </cell>
        </row>
        <row r="365">
          <cell r="F365">
            <v>0</v>
          </cell>
          <cell r="K365">
            <v>0</v>
          </cell>
        </row>
        <row r="368">
          <cell r="F368">
            <v>0</v>
          </cell>
          <cell r="K368">
            <v>0</v>
          </cell>
        </row>
        <row r="370">
          <cell r="F370">
            <v>0</v>
          </cell>
          <cell r="K370">
            <v>0</v>
          </cell>
        </row>
        <row r="373">
          <cell r="F373">
            <v>0</v>
          </cell>
          <cell r="K373">
            <v>0</v>
          </cell>
        </row>
        <row r="375">
          <cell r="F375">
            <v>0</v>
          </cell>
          <cell r="K375">
            <v>0</v>
          </cell>
        </row>
        <row r="380">
          <cell r="K380">
            <v>0</v>
          </cell>
        </row>
        <row r="381">
          <cell r="F381">
            <v>0</v>
          </cell>
          <cell r="K381">
            <v>0</v>
          </cell>
        </row>
        <row r="383">
          <cell r="F383">
            <v>0</v>
          </cell>
          <cell r="K383">
            <v>0</v>
          </cell>
        </row>
        <row r="384">
          <cell r="F384">
            <v>0</v>
          </cell>
          <cell r="K384">
            <v>0</v>
          </cell>
        </row>
        <row r="385">
          <cell r="F385">
            <v>0</v>
          </cell>
          <cell r="K385">
            <v>0</v>
          </cell>
        </row>
        <row r="387">
          <cell r="F387">
            <v>0</v>
          </cell>
          <cell r="K387">
            <v>0</v>
          </cell>
        </row>
        <row r="388">
          <cell r="F388">
            <v>0</v>
          </cell>
          <cell r="K388">
            <v>0</v>
          </cell>
        </row>
        <row r="389">
          <cell r="K389">
            <v>0</v>
          </cell>
        </row>
        <row r="392">
          <cell r="F392">
            <v>0</v>
          </cell>
          <cell r="K392">
            <v>0</v>
          </cell>
        </row>
        <row r="393">
          <cell r="F393">
            <v>0</v>
          </cell>
          <cell r="K393">
            <v>0</v>
          </cell>
        </row>
        <row r="394">
          <cell r="F394">
            <v>0</v>
          </cell>
          <cell r="K394">
            <v>0</v>
          </cell>
        </row>
        <row r="396">
          <cell r="F396">
            <v>0</v>
          </cell>
          <cell r="K396">
            <v>0</v>
          </cell>
        </row>
        <row r="398">
          <cell r="F398">
            <v>0</v>
          </cell>
          <cell r="K398">
            <v>0</v>
          </cell>
        </row>
        <row r="401">
          <cell r="F401">
            <v>0</v>
          </cell>
          <cell r="K401">
            <v>0</v>
          </cell>
        </row>
        <row r="404">
          <cell r="F404">
            <v>0</v>
          </cell>
          <cell r="K404">
            <v>0</v>
          </cell>
        </row>
        <row r="405">
          <cell r="K405">
            <v>0</v>
          </cell>
        </row>
        <row r="406">
          <cell r="E406">
            <v>0</v>
          </cell>
          <cell r="F406">
            <v>0</v>
          </cell>
          <cell r="K406">
            <v>0</v>
          </cell>
        </row>
        <row r="407">
          <cell r="K407">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O635"/>
  <sheetViews>
    <sheetView tabSelected="1" workbookViewId="0">
      <selection activeCell="E340" sqref="E340"/>
    </sheetView>
  </sheetViews>
  <sheetFormatPr defaultRowHeight="12.75" outlineLevelRow="1"/>
  <cols>
    <col min="1" max="1" width="7.7109375" style="1" customWidth="1"/>
    <col min="2" max="2" width="6.42578125" style="1" customWidth="1"/>
    <col min="3" max="3" width="41.7109375" style="2" bestFit="1" customWidth="1"/>
    <col min="4" max="4" width="14.42578125" style="2" customWidth="1"/>
    <col min="5" max="5" width="13" style="2" customWidth="1"/>
    <col min="6" max="6" width="18.85546875" style="2" customWidth="1"/>
    <col min="7" max="7" width="14" style="2" customWidth="1"/>
    <col min="8" max="8" width="1.7109375" style="3" customWidth="1"/>
    <col min="9" max="10" width="14.28515625" style="2" customWidth="1"/>
    <col min="11" max="11" width="13.42578125" style="2" customWidth="1"/>
    <col min="12" max="12" width="12.85546875" style="2" bestFit="1" customWidth="1"/>
    <col min="13" max="13" width="14.5703125" style="2" bestFit="1" customWidth="1"/>
    <col min="14" max="14" width="14.140625" style="2" bestFit="1" customWidth="1"/>
    <col min="15" max="15" width="10.28515625" style="2" bestFit="1" customWidth="1"/>
    <col min="16" max="16384" width="9.140625" style="2"/>
  </cols>
  <sheetData>
    <row r="1" spans="1:14">
      <c r="M1" s="4" t="s">
        <v>0</v>
      </c>
      <c r="N1" s="5" t="str">
        <f>EBNUMBER</f>
        <v>EB 2014 0073</v>
      </c>
    </row>
    <row r="2" spans="1:14">
      <c r="M2" s="4" t="s">
        <v>1</v>
      </c>
      <c r="N2" s="6">
        <v>2</v>
      </c>
    </row>
    <row r="3" spans="1:14">
      <c r="M3" s="4" t="s">
        <v>2</v>
      </c>
      <c r="N3" s="6">
        <v>1</v>
      </c>
    </row>
    <row r="4" spans="1:14">
      <c r="M4" s="4" t="s">
        <v>3</v>
      </c>
      <c r="N4" s="6">
        <v>1</v>
      </c>
    </row>
    <row r="5" spans="1:14">
      <c r="M5" s="4" t="s">
        <v>4</v>
      </c>
      <c r="N5" s="7">
        <v>1</v>
      </c>
    </row>
    <row r="6" spans="1:14">
      <c r="M6" s="4"/>
      <c r="N6" s="8"/>
    </row>
    <row r="7" spans="1:14">
      <c r="M7" s="4" t="s">
        <v>5</v>
      </c>
      <c r="N7" s="9">
        <v>41754</v>
      </c>
    </row>
    <row r="9" spans="1:14" ht="18">
      <c r="A9" s="130" t="s">
        <v>6</v>
      </c>
      <c r="B9" s="130"/>
      <c r="C9" s="130"/>
      <c r="D9" s="130"/>
      <c r="E9" s="130"/>
      <c r="F9" s="130"/>
      <c r="G9" s="130"/>
      <c r="H9" s="130"/>
      <c r="I9" s="130"/>
      <c r="J9" s="130"/>
      <c r="K9" s="130"/>
      <c r="L9" s="130"/>
      <c r="M9" s="130"/>
      <c r="N9" s="130"/>
    </row>
    <row r="10" spans="1:14" ht="18">
      <c r="A10" s="130" t="s">
        <v>7</v>
      </c>
      <c r="B10" s="130"/>
      <c r="C10" s="130"/>
      <c r="D10" s="130"/>
      <c r="E10" s="130"/>
      <c r="F10" s="130"/>
      <c r="G10" s="130"/>
      <c r="H10" s="130"/>
      <c r="I10" s="130"/>
      <c r="J10" s="130"/>
      <c r="K10" s="130"/>
      <c r="L10" s="130"/>
      <c r="M10" s="130"/>
      <c r="N10" s="130"/>
    </row>
    <row r="12" spans="1:14" ht="15">
      <c r="C12" s="10"/>
      <c r="E12" s="11" t="s">
        <v>8</v>
      </c>
      <c r="F12" s="12">
        <v>2010</v>
      </c>
      <c r="G12" s="13"/>
    </row>
    <row r="14" spans="1:14">
      <c r="D14" s="137" t="s">
        <v>9</v>
      </c>
      <c r="E14" s="138"/>
      <c r="F14" s="138"/>
      <c r="G14" s="139"/>
      <c r="I14" s="14"/>
      <c r="J14" s="125"/>
      <c r="K14" s="15" t="s">
        <v>10</v>
      </c>
      <c r="L14" s="15"/>
      <c r="M14" s="16"/>
      <c r="N14" s="3"/>
    </row>
    <row r="15" spans="1:14" ht="25.5">
      <c r="A15" s="17" t="s">
        <v>11</v>
      </c>
      <c r="B15" s="18" t="s">
        <v>12</v>
      </c>
      <c r="C15" s="19" t="s">
        <v>13</v>
      </c>
      <c r="D15" s="17" t="s">
        <v>14</v>
      </c>
      <c r="E15" s="18" t="s">
        <v>15</v>
      </c>
      <c r="F15" s="18" t="s">
        <v>16</v>
      </c>
      <c r="G15" s="17" t="s">
        <v>17</v>
      </c>
      <c r="H15" s="20"/>
      <c r="I15" s="21" t="s">
        <v>14</v>
      </c>
      <c r="J15" s="21"/>
      <c r="K15" s="22" t="s">
        <v>15</v>
      </c>
      <c r="L15" s="22" t="s">
        <v>16</v>
      </c>
      <c r="M15" s="23" t="s">
        <v>17</v>
      </c>
      <c r="N15" s="17" t="s">
        <v>18</v>
      </c>
    </row>
    <row r="16" spans="1:14" ht="25.5">
      <c r="A16" s="24">
        <v>12</v>
      </c>
      <c r="B16" s="24">
        <v>1611</v>
      </c>
      <c r="C16" s="25" t="s">
        <v>19</v>
      </c>
      <c r="D16" s="26">
        <v>470603.83</v>
      </c>
      <c r="E16" s="26">
        <v>46600</v>
      </c>
      <c r="F16" s="26"/>
      <c r="G16" s="27">
        <f>D16+E16+F16</f>
        <v>517203.83</v>
      </c>
      <c r="H16" s="28"/>
      <c r="I16" s="29">
        <v>-435172</v>
      </c>
      <c r="J16" s="29"/>
      <c r="K16" s="26">
        <v>-17465.509999999998</v>
      </c>
      <c r="L16" s="26"/>
      <c r="M16" s="27">
        <f>I16+K16+L16</f>
        <v>-452637.51</v>
      </c>
      <c r="N16" s="30">
        <f>G16+M16</f>
        <v>64566.320000000007</v>
      </c>
    </row>
    <row r="17" spans="1:14" ht="15">
      <c r="A17" s="31" t="s">
        <v>20</v>
      </c>
      <c r="B17" s="31">
        <v>1805</v>
      </c>
      <c r="C17" s="32" t="s">
        <v>21</v>
      </c>
      <c r="D17" s="26">
        <v>339324.38</v>
      </c>
      <c r="E17" s="26">
        <v>878494.3</v>
      </c>
      <c r="F17" s="26"/>
      <c r="G17" s="27">
        <f t="shared" ref="G17:G46" si="0">D17+E17+F17</f>
        <v>1217818.6800000002</v>
      </c>
      <c r="H17" s="28"/>
      <c r="I17" s="29"/>
      <c r="J17" s="29"/>
      <c r="K17" s="26"/>
      <c r="L17" s="26"/>
      <c r="M17" s="27">
        <f t="shared" ref="M17:M46" si="1">I17+K17+L17</f>
        <v>0</v>
      </c>
      <c r="N17" s="30">
        <f t="shared" ref="N17:N46" si="2">G17+M17</f>
        <v>1217818.6800000002</v>
      </c>
    </row>
    <row r="18" spans="1:14" ht="15">
      <c r="A18" s="24">
        <v>47</v>
      </c>
      <c r="B18" s="24">
        <v>1808</v>
      </c>
      <c r="C18" s="33" t="s">
        <v>22</v>
      </c>
      <c r="D18" s="26">
        <f>1598122+98384</f>
        <v>1696506</v>
      </c>
      <c r="E18" s="26"/>
      <c r="F18" s="26"/>
      <c r="G18" s="27">
        <f t="shared" si="0"/>
        <v>1696506</v>
      </c>
      <c r="H18" s="28"/>
      <c r="I18" s="29">
        <f>-925805-63429</f>
        <v>-989234</v>
      </c>
      <c r="J18" s="29"/>
      <c r="K18" s="26">
        <f>-30055.76-3395</f>
        <v>-33450.759999999995</v>
      </c>
      <c r="L18" s="26"/>
      <c r="M18" s="27">
        <f t="shared" si="1"/>
        <v>-1022684.76</v>
      </c>
      <c r="N18" s="30">
        <f t="shared" si="2"/>
        <v>673821.24</v>
      </c>
    </row>
    <row r="19" spans="1:14" ht="15">
      <c r="A19" s="24">
        <v>47</v>
      </c>
      <c r="B19" s="24">
        <v>1815</v>
      </c>
      <c r="C19" s="33" t="s">
        <v>23</v>
      </c>
      <c r="D19" s="26"/>
      <c r="E19" s="26">
        <v>957.48</v>
      </c>
      <c r="F19" s="26"/>
      <c r="G19" s="27">
        <f t="shared" si="0"/>
        <v>957.48</v>
      </c>
      <c r="H19" s="28"/>
      <c r="I19" s="29"/>
      <c r="J19" s="29"/>
      <c r="K19" s="26"/>
      <c r="L19" s="26"/>
      <c r="M19" s="27">
        <f t="shared" si="1"/>
        <v>0</v>
      </c>
      <c r="N19" s="30">
        <f t="shared" si="2"/>
        <v>957.48</v>
      </c>
    </row>
    <row r="20" spans="1:14" ht="15">
      <c r="A20" s="24">
        <v>47</v>
      </c>
      <c r="B20" s="24">
        <v>1820</v>
      </c>
      <c r="C20" s="25" t="s">
        <v>24</v>
      </c>
      <c r="D20" s="26">
        <v>1745895.87</v>
      </c>
      <c r="E20" s="26"/>
      <c r="F20" s="26"/>
      <c r="G20" s="27">
        <f t="shared" si="0"/>
        <v>1745895.87</v>
      </c>
      <c r="H20" s="28"/>
      <c r="I20" s="29">
        <v>-1325666</v>
      </c>
      <c r="J20" s="29"/>
      <c r="K20" s="26">
        <v>-40423.26</v>
      </c>
      <c r="L20" s="26"/>
      <c r="M20" s="27">
        <f t="shared" si="1"/>
        <v>-1366089.26</v>
      </c>
      <c r="N20" s="30">
        <f t="shared" si="2"/>
        <v>379806.6100000001</v>
      </c>
    </row>
    <row r="21" spans="1:14" ht="15">
      <c r="A21" s="24">
        <v>47</v>
      </c>
      <c r="B21" s="24">
        <v>1830</v>
      </c>
      <c r="C21" s="33" t="s">
        <v>25</v>
      </c>
      <c r="D21" s="26">
        <f>9077274.74+852016.95</f>
        <v>9929291.6899999995</v>
      </c>
      <c r="E21" s="26">
        <f>469513+47006+272711</f>
        <v>789230</v>
      </c>
      <c r="F21" s="26"/>
      <c r="G21" s="27">
        <f t="shared" si="0"/>
        <v>10718521.689999999</v>
      </c>
      <c r="H21" s="28"/>
      <c r="I21" s="29">
        <v>-4371395</v>
      </c>
      <c r="J21" s="29"/>
      <c r="K21" s="26">
        <v>-379101.29</v>
      </c>
      <c r="L21" s="26"/>
      <c r="M21" s="27">
        <f t="shared" si="1"/>
        <v>-4750496.29</v>
      </c>
      <c r="N21" s="30">
        <f t="shared" si="2"/>
        <v>5968025.3999999994</v>
      </c>
    </row>
    <row r="22" spans="1:14" ht="15">
      <c r="A22" s="24">
        <v>47</v>
      </c>
      <c r="B22" s="24">
        <v>1835</v>
      </c>
      <c r="C22" s="33" t="s">
        <v>26</v>
      </c>
      <c r="D22" s="26">
        <f>11126829.02+815967.78</f>
        <v>11942796.799999999</v>
      </c>
      <c r="E22" s="26">
        <v>536943.61</v>
      </c>
      <c r="F22" s="26"/>
      <c r="G22" s="27">
        <f t="shared" si="0"/>
        <v>12479740.409999998</v>
      </c>
      <c r="H22" s="28"/>
      <c r="I22" s="29">
        <v>-4924102</v>
      </c>
      <c r="J22" s="29"/>
      <c r="K22" s="26">
        <v>-463587.78</v>
      </c>
      <c r="L22" s="26"/>
      <c r="M22" s="27">
        <f t="shared" si="1"/>
        <v>-5387689.7800000003</v>
      </c>
      <c r="N22" s="30">
        <f t="shared" si="2"/>
        <v>7092050.629999998</v>
      </c>
    </row>
    <row r="23" spans="1:14" ht="15">
      <c r="A23" s="24">
        <v>47</v>
      </c>
      <c r="B23" s="24">
        <v>1840</v>
      </c>
      <c r="C23" s="33" t="s">
        <v>27</v>
      </c>
      <c r="D23" s="26">
        <f>5889801.81+591097.31</f>
        <v>6480899.1199999992</v>
      </c>
      <c r="E23" s="26">
        <v>296434.74</v>
      </c>
      <c r="F23" s="26"/>
      <c r="G23" s="27">
        <f t="shared" si="0"/>
        <v>6777333.8599999994</v>
      </c>
      <c r="H23" s="28"/>
      <c r="I23" s="29">
        <v>-3633073</v>
      </c>
      <c r="J23" s="29"/>
      <c r="K23" s="26">
        <v>-247740.05</v>
      </c>
      <c r="L23" s="26"/>
      <c r="M23" s="27">
        <f t="shared" si="1"/>
        <v>-3880813.05</v>
      </c>
      <c r="N23" s="30">
        <f t="shared" si="2"/>
        <v>2896520.8099999996</v>
      </c>
    </row>
    <row r="24" spans="1:14" ht="15">
      <c r="A24" s="24">
        <v>47</v>
      </c>
      <c r="B24" s="24">
        <v>1845</v>
      </c>
      <c r="C24" s="33" t="s">
        <v>28</v>
      </c>
      <c r="D24" s="26">
        <f>15222993.63+332548.14</f>
        <v>15555541.770000001</v>
      </c>
      <c r="E24" s="26">
        <f>359649+5436</f>
        <v>365085</v>
      </c>
      <c r="F24" s="26"/>
      <c r="G24" s="27">
        <f t="shared" si="0"/>
        <v>15920626.770000001</v>
      </c>
      <c r="H24" s="28"/>
      <c r="I24" s="29">
        <v>-9679965</v>
      </c>
      <c r="J24" s="29"/>
      <c r="K24" s="26">
        <v>-586060.96</v>
      </c>
      <c r="L24" s="26"/>
      <c r="M24" s="27">
        <f t="shared" si="1"/>
        <v>-10266025.960000001</v>
      </c>
      <c r="N24" s="30">
        <f t="shared" si="2"/>
        <v>5654600.8100000005</v>
      </c>
    </row>
    <row r="25" spans="1:14" ht="15">
      <c r="A25" s="24">
        <v>47</v>
      </c>
      <c r="B25" s="24">
        <v>1850</v>
      </c>
      <c r="C25" s="33" t="s">
        <v>29</v>
      </c>
      <c r="D25" s="26">
        <f>13870224.73+506198.92</f>
        <v>14376423.65</v>
      </c>
      <c r="E25" s="26">
        <v>405677.02</v>
      </c>
      <c r="F25" s="26"/>
      <c r="G25" s="27">
        <f t="shared" si="0"/>
        <v>14782100.67</v>
      </c>
      <c r="H25" s="28"/>
      <c r="I25" s="29">
        <v>-8017197</v>
      </c>
      <c r="J25" s="29"/>
      <c r="K25" s="26">
        <v>-510872.73</v>
      </c>
      <c r="L25" s="26"/>
      <c r="M25" s="27">
        <f t="shared" si="1"/>
        <v>-8528069.7300000004</v>
      </c>
      <c r="N25" s="30">
        <f t="shared" si="2"/>
        <v>6254030.9399999995</v>
      </c>
    </row>
    <row r="26" spans="1:14" ht="15">
      <c r="A26" s="24">
        <v>47</v>
      </c>
      <c r="B26" s="24">
        <v>1855</v>
      </c>
      <c r="C26" s="33" t="s">
        <v>30</v>
      </c>
      <c r="D26" s="26">
        <f>4592274.53+144353.79</f>
        <v>4736628.32</v>
      </c>
      <c r="E26" s="26">
        <v>140813.91</v>
      </c>
      <c r="F26" s="26"/>
      <c r="G26" s="27">
        <f t="shared" si="0"/>
        <v>4877442.2300000004</v>
      </c>
      <c r="H26" s="28"/>
      <c r="I26" s="29">
        <v>-2494610</v>
      </c>
      <c r="J26" s="29"/>
      <c r="K26" s="26">
        <v>-179023.51</v>
      </c>
      <c r="L26" s="26"/>
      <c r="M26" s="27">
        <f t="shared" si="1"/>
        <v>-2673633.5099999998</v>
      </c>
      <c r="N26" s="30">
        <f t="shared" si="2"/>
        <v>2203808.7200000007</v>
      </c>
    </row>
    <row r="27" spans="1:14" ht="15">
      <c r="A27" s="24">
        <v>47</v>
      </c>
      <c r="B27" s="24">
        <v>1860</v>
      </c>
      <c r="C27" s="33" t="s">
        <v>31</v>
      </c>
      <c r="D27" s="26">
        <f>3401080.07+122503.71</f>
        <v>3523583.78</v>
      </c>
      <c r="E27" s="26">
        <v>216031.49</v>
      </c>
      <c r="F27" s="26"/>
      <c r="G27" s="27">
        <f t="shared" si="0"/>
        <v>3739615.2699999996</v>
      </c>
      <c r="H27" s="28"/>
      <c r="I27" s="29">
        <v>-2239734</v>
      </c>
      <c r="J27" s="29"/>
      <c r="K27" s="26">
        <v>-118933.75</v>
      </c>
      <c r="L27" s="26"/>
      <c r="M27" s="27">
        <f t="shared" si="1"/>
        <v>-2358667.75</v>
      </c>
      <c r="N27" s="30">
        <f t="shared" si="2"/>
        <v>1380947.5199999996</v>
      </c>
    </row>
    <row r="28" spans="1:14" ht="15">
      <c r="A28" s="31">
        <v>47</v>
      </c>
      <c r="B28" s="31">
        <v>1890</v>
      </c>
      <c r="C28" s="32" t="s">
        <v>32</v>
      </c>
      <c r="D28" s="26">
        <f>648251.66-177021</f>
        <v>471230.66000000003</v>
      </c>
      <c r="E28" s="26">
        <v>41549</v>
      </c>
      <c r="F28" s="26"/>
      <c r="G28" s="27">
        <f t="shared" si="0"/>
        <v>512779.66000000003</v>
      </c>
      <c r="H28" s="28"/>
      <c r="I28" s="29"/>
      <c r="J28" s="29"/>
      <c r="K28" s="26"/>
      <c r="L28" s="26"/>
      <c r="M28" s="27">
        <f t="shared" si="1"/>
        <v>0</v>
      </c>
      <c r="N28" s="30">
        <f t="shared" si="2"/>
        <v>512779.66000000003</v>
      </c>
    </row>
    <row r="29" spans="1:14" ht="15">
      <c r="A29" s="31" t="s">
        <v>20</v>
      </c>
      <c r="B29" s="31">
        <v>1905</v>
      </c>
      <c r="C29" s="32" t="s">
        <v>21</v>
      </c>
      <c r="D29" s="26">
        <v>17041.330000000002</v>
      </c>
      <c r="E29" s="26"/>
      <c r="F29" s="26"/>
      <c r="G29" s="27">
        <f t="shared" si="0"/>
        <v>17041.330000000002</v>
      </c>
      <c r="H29" s="28"/>
      <c r="I29" s="29">
        <v>-17041.330000000002</v>
      </c>
      <c r="J29" s="29"/>
      <c r="K29" s="26"/>
      <c r="L29" s="26"/>
      <c r="M29" s="27">
        <f t="shared" si="1"/>
        <v>-17041.330000000002</v>
      </c>
      <c r="N29" s="30">
        <f t="shared" si="2"/>
        <v>0</v>
      </c>
    </row>
    <row r="30" spans="1:14" ht="15">
      <c r="A30" s="24">
        <v>47</v>
      </c>
      <c r="B30" s="24">
        <v>1908</v>
      </c>
      <c r="C30" s="33" t="s">
        <v>33</v>
      </c>
      <c r="D30" s="26">
        <f>372796.47+73299.61</f>
        <v>446096.07999999996</v>
      </c>
      <c r="E30" s="26"/>
      <c r="F30" s="26"/>
      <c r="G30" s="27">
        <f t="shared" si="0"/>
        <v>446096.07999999996</v>
      </c>
      <c r="H30" s="28"/>
      <c r="I30" s="29">
        <v>-51450.02</v>
      </c>
      <c r="J30" s="29"/>
      <c r="K30" s="26">
        <v>-14869.75</v>
      </c>
      <c r="L30" s="26"/>
      <c r="M30" s="27">
        <f t="shared" si="1"/>
        <v>-66319.76999999999</v>
      </c>
      <c r="N30" s="30">
        <f t="shared" si="2"/>
        <v>379776.30999999994</v>
      </c>
    </row>
    <row r="31" spans="1:14" ht="15">
      <c r="A31" s="24">
        <v>13</v>
      </c>
      <c r="B31" s="24">
        <v>1910</v>
      </c>
      <c r="C31" s="33" t="s">
        <v>34</v>
      </c>
      <c r="D31" s="26">
        <v>21798.12</v>
      </c>
      <c r="E31" s="26"/>
      <c r="F31" s="26"/>
      <c r="G31" s="27">
        <f t="shared" si="0"/>
        <v>21798.12</v>
      </c>
      <c r="H31" s="28"/>
      <c r="I31" s="29">
        <v>-21798.12</v>
      </c>
      <c r="J31" s="29"/>
      <c r="K31" s="26"/>
      <c r="L31" s="26"/>
      <c r="M31" s="27">
        <f t="shared" si="1"/>
        <v>-21798.12</v>
      </c>
      <c r="N31" s="30">
        <f t="shared" si="2"/>
        <v>0</v>
      </c>
    </row>
    <row r="32" spans="1:14" ht="15">
      <c r="A32" s="24">
        <v>8</v>
      </c>
      <c r="B32" s="24">
        <v>1915</v>
      </c>
      <c r="C32" s="33" t="s">
        <v>35</v>
      </c>
      <c r="D32" s="26">
        <f>331792.16+27259.59</f>
        <v>359051.75</v>
      </c>
      <c r="E32" s="26">
        <v>7387</v>
      </c>
      <c r="F32" s="26"/>
      <c r="G32" s="27">
        <f t="shared" si="0"/>
        <v>366438.75</v>
      </c>
      <c r="H32" s="28"/>
      <c r="I32" s="29">
        <v>-325710</v>
      </c>
      <c r="J32" s="29"/>
      <c r="K32" s="26">
        <v>-6955.73</v>
      </c>
      <c r="L32" s="26"/>
      <c r="M32" s="27">
        <f t="shared" si="1"/>
        <v>-332665.73</v>
      </c>
      <c r="N32" s="30">
        <f t="shared" si="2"/>
        <v>33773.020000000019</v>
      </c>
    </row>
    <row r="33" spans="1:14" ht="15">
      <c r="A33" s="24">
        <v>10</v>
      </c>
      <c r="B33" s="24">
        <v>1920</v>
      </c>
      <c r="C33" s="33" t="s">
        <v>36</v>
      </c>
      <c r="D33" s="26">
        <f>883757.31+65742.65-D34-D35</f>
        <v>540191.49000000011</v>
      </c>
      <c r="E33" s="26"/>
      <c r="F33" s="26"/>
      <c r="G33" s="27">
        <f t="shared" si="0"/>
        <v>540191.49000000011</v>
      </c>
      <c r="H33" s="28"/>
      <c r="I33" s="29">
        <f>-837859-I34-I35</f>
        <v>-540191.02</v>
      </c>
      <c r="J33" s="29"/>
      <c r="K33" s="26">
        <f>-42634.78-K34-K35</f>
        <v>-0.47000000000116415</v>
      </c>
      <c r="L33" s="26"/>
      <c r="M33" s="27">
        <f t="shared" si="1"/>
        <v>-540191.49</v>
      </c>
      <c r="N33" s="30">
        <f t="shared" si="2"/>
        <v>0</v>
      </c>
    </row>
    <row r="34" spans="1:14" ht="15">
      <c r="A34" s="24">
        <v>45</v>
      </c>
      <c r="B34" s="34">
        <v>1920</v>
      </c>
      <c r="C34" s="25" t="s">
        <v>37</v>
      </c>
      <c r="D34" s="26">
        <f>27975.49+20443.36+27255</f>
        <v>75673.850000000006</v>
      </c>
      <c r="E34" s="26"/>
      <c r="F34" s="26"/>
      <c r="G34" s="27">
        <f t="shared" si="0"/>
        <v>75673.850000000006</v>
      </c>
      <c r="H34" s="28"/>
      <c r="I34" s="29">
        <v>-70222.850000000006</v>
      </c>
      <c r="J34" s="29"/>
      <c r="K34" s="26">
        <v>-5451</v>
      </c>
      <c r="L34" s="26"/>
      <c r="M34" s="27">
        <f t="shared" si="1"/>
        <v>-75673.850000000006</v>
      </c>
      <c r="N34" s="30">
        <f t="shared" si="2"/>
        <v>0</v>
      </c>
    </row>
    <row r="35" spans="1:14" ht="15">
      <c r="A35" s="24">
        <v>45.1</v>
      </c>
      <c r="B35" s="34">
        <v>1920</v>
      </c>
      <c r="C35" s="25" t="s">
        <v>38</v>
      </c>
      <c r="D35" s="26">
        <f>150868.29+83089.24+33934.44+65742.65</f>
        <v>333634.62</v>
      </c>
      <c r="E35" s="26">
        <v>6310.53</v>
      </c>
      <c r="F35" s="26"/>
      <c r="G35" s="27">
        <f t="shared" si="0"/>
        <v>339945.15</v>
      </c>
      <c r="H35" s="28"/>
      <c r="I35" s="29">
        <f>-227444.13-1</f>
        <v>-227445.13</v>
      </c>
      <c r="J35" s="29"/>
      <c r="K35" s="26">
        <f>-37184.31+1</f>
        <v>-37183.31</v>
      </c>
      <c r="L35" s="26"/>
      <c r="M35" s="27">
        <f t="shared" si="1"/>
        <v>-264628.44</v>
      </c>
      <c r="N35" s="30">
        <f t="shared" si="2"/>
        <v>75316.710000000021</v>
      </c>
    </row>
    <row r="36" spans="1:14" ht="15">
      <c r="A36" s="24">
        <v>10</v>
      </c>
      <c r="B36" s="24">
        <v>1930</v>
      </c>
      <c r="C36" s="33" t="s">
        <v>39</v>
      </c>
      <c r="D36" s="26">
        <f>2316672.74+349911.48</f>
        <v>2666584.2200000002</v>
      </c>
      <c r="E36" s="26">
        <f>226456+57278</f>
        <v>283734</v>
      </c>
      <c r="F36" s="26">
        <v>-57351.38</v>
      </c>
      <c r="G36" s="27">
        <f t="shared" si="0"/>
        <v>2892966.8400000003</v>
      </c>
      <c r="H36" s="28"/>
      <c r="I36" s="29">
        <v>-1642018</v>
      </c>
      <c r="J36" s="29"/>
      <c r="K36" s="26">
        <v>-214009.7</v>
      </c>
      <c r="L36" s="26">
        <v>57351.38</v>
      </c>
      <c r="M36" s="27">
        <f t="shared" si="1"/>
        <v>-1798676.32</v>
      </c>
      <c r="N36" s="30">
        <f t="shared" si="2"/>
        <v>1094290.5200000003</v>
      </c>
    </row>
    <row r="37" spans="1:14" ht="15">
      <c r="A37" s="24">
        <v>8</v>
      </c>
      <c r="B37" s="24">
        <v>1935</v>
      </c>
      <c r="C37" s="33" t="s">
        <v>40</v>
      </c>
      <c r="D37" s="26">
        <v>36199.29</v>
      </c>
      <c r="E37" s="26"/>
      <c r="F37" s="26"/>
      <c r="G37" s="27">
        <f t="shared" si="0"/>
        <v>36199.29</v>
      </c>
      <c r="H37" s="28"/>
      <c r="I37" s="29">
        <v>-36199.29</v>
      </c>
      <c r="J37" s="29"/>
      <c r="K37" s="26"/>
      <c r="L37" s="26"/>
      <c r="M37" s="27">
        <f t="shared" si="1"/>
        <v>-36199.29</v>
      </c>
      <c r="N37" s="30">
        <f t="shared" si="2"/>
        <v>0</v>
      </c>
    </row>
    <row r="38" spans="1:14" ht="15">
      <c r="A38" s="24">
        <v>8</v>
      </c>
      <c r="B38" s="24">
        <v>1940</v>
      </c>
      <c r="C38" s="33" t="s">
        <v>41</v>
      </c>
      <c r="D38" s="26">
        <f>696643.63+44808.59</f>
        <v>741452.22</v>
      </c>
      <c r="E38" s="26">
        <v>15133.51</v>
      </c>
      <c r="F38" s="26"/>
      <c r="G38" s="27">
        <f t="shared" si="0"/>
        <v>756585.73</v>
      </c>
      <c r="H38" s="28"/>
      <c r="I38" s="29">
        <v>-577819</v>
      </c>
      <c r="J38" s="29"/>
      <c r="K38" s="26">
        <v>-27611.13</v>
      </c>
      <c r="L38" s="26"/>
      <c r="M38" s="27">
        <f t="shared" si="1"/>
        <v>-605430.13</v>
      </c>
      <c r="N38" s="30">
        <f t="shared" si="2"/>
        <v>151155.59999999998</v>
      </c>
    </row>
    <row r="39" spans="1:14" ht="15">
      <c r="A39" s="24">
        <v>8</v>
      </c>
      <c r="B39" s="24">
        <v>1945</v>
      </c>
      <c r="C39" s="33" t="s">
        <v>42</v>
      </c>
      <c r="D39" s="26">
        <v>39169.78</v>
      </c>
      <c r="E39" s="26"/>
      <c r="F39" s="26"/>
      <c r="G39" s="27">
        <f t="shared" si="0"/>
        <v>39169.78</v>
      </c>
      <c r="H39" s="28"/>
      <c r="I39" s="29">
        <v>-14504.85</v>
      </c>
      <c r="J39" s="29"/>
      <c r="K39" s="26">
        <v>-5101.24</v>
      </c>
      <c r="L39" s="26"/>
      <c r="M39" s="27">
        <f t="shared" si="1"/>
        <v>-19606.09</v>
      </c>
      <c r="N39" s="30">
        <f t="shared" si="2"/>
        <v>19563.689999999999</v>
      </c>
    </row>
    <row r="40" spans="1:14" ht="15">
      <c r="A40" s="24">
        <v>8</v>
      </c>
      <c r="B40" s="24">
        <v>1955</v>
      </c>
      <c r="C40" s="33" t="s">
        <v>43</v>
      </c>
      <c r="D40" s="26">
        <v>106527.86</v>
      </c>
      <c r="E40" s="26"/>
      <c r="F40" s="26"/>
      <c r="G40" s="27">
        <f t="shared" si="0"/>
        <v>106527.86</v>
      </c>
      <c r="H40" s="28"/>
      <c r="I40" s="29">
        <v>-98317</v>
      </c>
      <c r="J40" s="29"/>
      <c r="K40" s="26">
        <v>-5144.21</v>
      </c>
      <c r="L40" s="26"/>
      <c r="M40" s="27">
        <f t="shared" si="1"/>
        <v>-103461.21</v>
      </c>
      <c r="N40" s="30">
        <f t="shared" si="2"/>
        <v>3066.6499999999942</v>
      </c>
    </row>
    <row r="41" spans="1:14" ht="15">
      <c r="A41" s="34">
        <v>8</v>
      </c>
      <c r="B41" s="34">
        <v>1960</v>
      </c>
      <c r="C41" s="25" t="s">
        <v>44</v>
      </c>
      <c r="D41" s="26">
        <v>7842.42</v>
      </c>
      <c r="E41" s="26"/>
      <c r="F41" s="26"/>
      <c r="G41" s="27">
        <f t="shared" si="0"/>
        <v>7842.42</v>
      </c>
      <c r="H41" s="28"/>
      <c r="I41" s="29">
        <v>-1568</v>
      </c>
      <c r="J41" s="29"/>
      <c r="K41" s="26">
        <v>-784.74</v>
      </c>
      <c r="L41" s="26"/>
      <c r="M41" s="27">
        <f t="shared" si="1"/>
        <v>-2352.7399999999998</v>
      </c>
      <c r="N41" s="30">
        <f t="shared" si="2"/>
        <v>5489.68</v>
      </c>
    </row>
    <row r="42" spans="1:14" ht="15">
      <c r="A42" s="1">
        <v>47</v>
      </c>
      <c r="B42" s="34">
        <v>1970</v>
      </c>
      <c r="C42" s="33" t="s">
        <v>45</v>
      </c>
      <c r="D42" s="26">
        <v>245119.26</v>
      </c>
      <c r="E42" s="26"/>
      <c r="F42" s="26"/>
      <c r="G42" s="27">
        <f t="shared" si="0"/>
        <v>245119.26</v>
      </c>
      <c r="H42" s="28"/>
      <c r="I42" s="29">
        <v>-103136.46</v>
      </c>
      <c r="J42" s="29"/>
      <c r="K42" s="26">
        <v>-24511.84</v>
      </c>
      <c r="L42" s="26"/>
      <c r="M42" s="27">
        <f t="shared" si="1"/>
        <v>-127648.3</v>
      </c>
      <c r="N42" s="30">
        <f t="shared" si="2"/>
        <v>117470.96</v>
      </c>
    </row>
    <row r="43" spans="1:14" ht="15">
      <c r="A43" s="24">
        <v>47</v>
      </c>
      <c r="B43" s="24">
        <v>1980</v>
      </c>
      <c r="C43" s="33" t="s">
        <v>46</v>
      </c>
      <c r="D43" s="26">
        <f>257005.57+28656.21</f>
        <v>285661.78000000003</v>
      </c>
      <c r="E43" s="26">
        <v>30420.29</v>
      </c>
      <c r="F43" s="26"/>
      <c r="G43" s="27">
        <f t="shared" si="0"/>
        <v>316082.07</v>
      </c>
      <c r="H43" s="28"/>
      <c r="I43" s="29">
        <v>-157394.72</v>
      </c>
      <c r="J43" s="29"/>
      <c r="K43" s="26">
        <v>-30087.35</v>
      </c>
      <c r="L43" s="26"/>
      <c r="M43" s="27">
        <f t="shared" si="1"/>
        <v>-187482.07</v>
      </c>
      <c r="N43" s="30">
        <f t="shared" si="2"/>
        <v>128600</v>
      </c>
    </row>
    <row r="44" spans="1:14" ht="15">
      <c r="A44" s="24">
        <v>47</v>
      </c>
      <c r="B44" s="24">
        <v>1995</v>
      </c>
      <c r="C44" s="33" t="s">
        <v>47</v>
      </c>
      <c r="D44" s="26">
        <f>-3578326.2-246205.55</f>
        <v>-3824531.75</v>
      </c>
      <c r="E44" s="26">
        <v>-474049.44</v>
      </c>
      <c r="F44" s="26"/>
      <c r="G44" s="27">
        <f t="shared" si="0"/>
        <v>-4298581.1900000004</v>
      </c>
      <c r="H44" s="28"/>
      <c r="I44" s="29">
        <v>779896</v>
      </c>
      <c r="J44" s="29"/>
      <c r="K44" s="26">
        <v>162462.34</v>
      </c>
      <c r="L44" s="26"/>
      <c r="M44" s="27">
        <f t="shared" si="1"/>
        <v>942358.34</v>
      </c>
      <c r="N44" s="30">
        <f t="shared" si="2"/>
        <v>-3356222.8500000006</v>
      </c>
    </row>
    <row r="45" spans="1:14" ht="15">
      <c r="A45" s="35"/>
      <c r="B45" s="35">
        <v>2075</v>
      </c>
      <c r="C45" s="36" t="s">
        <v>48</v>
      </c>
      <c r="D45" s="26"/>
      <c r="E45" s="26">
        <v>44950.8</v>
      </c>
      <c r="F45" s="26"/>
      <c r="G45" s="27">
        <f t="shared" si="0"/>
        <v>44950.8</v>
      </c>
      <c r="I45" s="26"/>
      <c r="J45" s="26"/>
      <c r="K45" s="26"/>
      <c r="L45" s="26"/>
      <c r="M45" s="27">
        <f t="shared" si="1"/>
        <v>0</v>
      </c>
      <c r="N45" s="30">
        <f t="shared" si="2"/>
        <v>44950.8</v>
      </c>
    </row>
    <row r="46" spans="1:14" ht="15">
      <c r="A46" s="35"/>
      <c r="B46" s="35"/>
      <c r="C46" s="36"/>
      <c r="D46" s="37"/>
      <c r="E46" s="37"/>
      <c r="F46" s="37"/>
      <c r="G46" s="27">
        <f t="shared" si="0"/>
        <v>0</v>
      </c>
      <c r="I46" s="37"/>
      <c r="J46" s="37"/>
      <c r="K46" s="37"/>
      <c r="L46" s="37"/>
      <c r="M46" s="27">
        <f t="shared" si="1"/>
        <v>0</v>
      </c>
      <c r="N46" s="30">
        <f t="shared" si="2"/>
        <v>0</v>
      </c>
    </row>
    <row r="47" spans="1:14">
      <c r="A47" s="35"/>
      <c r="B47" s="35"/>
      <c r="C47" s="38" t="s">
        <v>49</v>
      </c>
      <c r="D47" s="39">
        <f>SUM(D16:D46)</f>
        <v>73366238.190000013</v>
      </c>
      <c r="E47" s="39">
        <f>SUM(E16:E46)</f>
        <v>3631703.2399999993</v>
      </c>
      <c r="F47" s="39">
        <f>SUM(F16:F46)</f>
        <v>-57351.38</v>
      </c>
      <c r="G47" s="39">
        <f>SUM(G16:G46)</f>
        <v>76940590.050000012</v>
      </c>
      <c r="H47" s="39"/>
      <c r="I47" s="39">
        <f>SUM(I16:I46)</f>
        <v>-41215067.790000007</v>
      </c>
      <c r="J47" s="39"/>
      <c r="K47" s="39">
        <f>SUM(K16:K46)</f>
        <v>-2785907.7300000004</v>
      </c>
      <c r="L47" s="39">
        <f>SUM(L16:L46)</f>
        <v>57351.38</v>
      </c>
      <c r="M47" s="39">
        <f>SUM(M16:M46)</f>
        <v>-43943624.140000001</v>
      </c>
      <c r="N47" s="39">
        <f>SUM(N16:N46)</f>
        <v>32996965.91</v>
      </c>
    </row>
    <row r="48" spans="1:14" ht="25.5">
      <c r="A48" s="35"/>
      <c r="B48" s="35"/>
      <c r="C48" s="40" t="s">
        <v>50</v>
      </c>
      <c r="D48" s="37"/>
      <c r="E48" s="37"/>
      <c r="F48" s="37"/>
      <c r="G48" s="27">
        <f>D48+E48+F48</f>
        <v>0</v>
      </c>
      <c r="I48" s="37"/>
      <c r="J48" s="37"/>
      <c r="K48" s="37"/>
      <c r="L48" s="37"/>
      <c r="M48" s="27">
        <f>I48+K48+L48</f>
        <v>0</v>
      </c>
      <c r="N48" s="30">
        <f>G48+M48</f>
        <v>0</v>
      </c>
    </row>
    <row r="49" spans="1:15" ht="24.75">
      <c r="A49" s="35"/>
      <c r="B49" s="35"/>
      <c r="C49" s="41" t="s">
        <v>51</v>
      </c>
      <c r="D49" s="37"/>
      <c r="E49" s="42">
        <f>-E45-E17-E19</f>
        <v>-924402.58000000007</v>
      </c>
      <c r="F49" s="37"/>
      <c r="G49" s="27">
        <f>D49+E49+F49</f>
        <v>-924402.58000000007</v>
      </c>
      <c r="I49" s="37"/>
      <c r="J49" s="37"/>
      <c r="K49" s="37"/>
      <c r="L49" s="37"/>
      <c r="M49" s="27">
        <f>I49+K49+L49</f>
        <v>0</v>
      </c>
      <c r="N49" s="30">
        <f>G49+M49</f>
        <v>-924402.58000000007</v>
      </c>
    </row>
    <row r="50" spans="1:15">
      <c r="A50" s="35"/>
      <c r="B50" s="35"/>
      <c r="C50" s="38" t="s">
        <v>52</v>
      </c>
      <c r="D50" s="39">
        <f>SUM(D47:D49)</f>
        <v>73366238.190000013</v>
      </c>
      <c r="E50" s="39">
        <f>SUM(E47:E49)</f>
        <v>2707300.6599999992</v>
      </c>
      <c r="F50" s="39">
        <f>SUM(F47:F49)</f>
        <v>-57351.38</v>
      </c>
      <c r="G50" s="39">
        <f>SUM(G47:G49)</f>
        <v>76016187.470000014</v>
      </c>
      <c r="H50" s="39"/>
      <c r="I50" s="39">
        <f>SUM(I47:I49)</f>
        <v>-41215067.790000007</v>
      </c>
      <c r="J50" s="39"/>
      <c r="K50" s="39">
        <f>SUM(K47:K49)</f>
        <v>-2785907.7300000004</v>
      </c>
      <c r="L50" s="39">
        <f>SUM(L47:L49)</f>
        <v>57351.38</v>
      </c>
      <c r="M50" s="39">
        <f>SUM(M47:M49)</f>
        <v>-43943624.140000001</v>
      </c>
      <c r="N50" s="39">
        <f>SUM(N47:N49)</f>
        <v>32072563.329999998</v>
      </c>
    </row>
    <row r="52" spans="1:15">
      <c r="I52" s="43" t="s">
        <v>53</v>
      </c>
      <c r="J52" s="43"/>
      <c r="K52" s="44"/>
    </row>
    <row r="53" spans="1:15" ht="15">
      <c r="A53" s="35">
        <v>10</v>
      </c>
      <c r="B53" s="35"/>
      <c r="C53" s="36" t="s">
        <v>54</v>
      </c>
      <c r="I53" s="44" t="s">
        <v>54</v>
      </c>
      <c r="J53" s="44"/>
      <c r="K53" s="44"/>
      <c r="L53" s="45">
        <v>-225118</v>
      </c>
    </row>
    <row r="54" spans="1:15" ht="15">
      <c r="A54" s="35">
        <v>8</v>
      </c>
      <c r="B54" s="35"/>
      <c r="C54" s="36" t="s">
        <v>40</v>
      </c>
      <c r="I54" s="44" t="s">
        <v>40</v>
      </c>
      <c r="J54" s="44"/>
      <c r="K54" s="44"/>
      <c r="L54" s="46"/>
    </row>
    <row r="55" spans="1:15" ht="15">
      <c r="I55" s="47" t="s">
        <v>55</v>
      </c>
      <c r="J55" s="47"/>
      <c r="L55" s="48">
        <f>K50-L53-L54</f>
        <v>-2560789.7300000004</v>
      </c>
    </row>
    <row r="56" spans="1:15">
      <c r="O56" s="49"/>
    </row>
    <row r="57" spans="1:15">
      <c r="A57" s="50" t="s">
        <v>56</v>
      </c>
      <c r="O57" s="49"/>
    </row>
    <row r="58" spans="1:15" outlineLevel="1"/>
    <row r="59" spans="1:15" outlineLevel="1">
      <c r="A59" s="1">
        <v>1</v>
      </c>
      <c r="B59" s="147" t="s">
        <v>57</v>
      </c>
      <c r="C59" s="147"/>
      <c r="D59" s="147"/>
      <c r="E59" s="147"/>
      <c r="F59" s="147"/>
      <c r="G59" s="147"/>
      <c r="H59" s="147"/>
      <c r="I59" s="147"/>
      <c r="J59" s="147"/>
      <c r="K59" s="147"/>
      <c r="L59" s="147"/>
      <c r="M59" s="147"/>
      <c r="N59" s="147"/>
    </row>
    <row r="60" spans="1:15" outlineLevel="1">
      <c r="B60" s="147"/>
      <c r="C60" s="147"/>
      <c r="D60" s="147"/>
      <c r="E60" s="147"/>
      <c r="F60" s="147"/>
      <c r="G60" s="147"/>
      <c r="H60" s="147"/>
      <c r="I60" s="147"/>
      <c r="J60" s="147"/>
      <c r="K60" s="147"/>
      <c r="L60" s="147"/>
      <c r="M60" s="147"/>
      <c r="N60" s="147"/>
    </row>
    <row r="61" spans="1:15" ht="12.75" customHeight="1" outlineLevel="1"/>
    <row r="62" spans="1:15" outlineLevel="1">
      <c r="A62" s="1">
        <v>2</v>
      </c>
      <c r="B62" s="148" t="s">
        <v>58</v>
      </c>
      <c r="C62" s="148"/>
      <c r="D62" s="148"/>
      <c r="E62" s="148"/>
      <c r="F62" s="148"/>
      <c r="G62" s="148"/>
      <c r="H62" s="148"/>
      <c r="I62" s="148"/>
      <c r="J62" s="148"/>
      <c r="K62" s="148"/>
      <c r="L62" s="148"/>
      <c r="M62" s="148"/>
      <c r="N62" s="148"/>
    </row>
    <row r="63" spans="1:15">
      <c r="B63" s="148"/>
      <c r="C63" s="148"/>
      <c r="D63" s="148"/>
      <c r="E63" s="148"/>
      <c r="F63" s="148"/>
      <c r="G63" s="148"/>
      <c r="H63" s="148"/>
      <c r="I63" s="148"/>
      <c r="J63" s="148"/>
      <c r="K63" s="148"/>
      <c r="L63" s="148"/>
      <c r="M63" s="148"/>
      <c r="N63" s="148"/>
    </row>
    <row r="65" spans="1:14">
      <c r="A65" s="1">
        <v>3</v>
      </c>
      <c r="B65" s="146" t="s">
        <v>59</v>
      </c>
      <c r="C65" s="146"/>
      <c r="D65" s="146"/>
      <c r="E65" s="146"/>
      <c r="F65" s="146"/>
      <c r="G65" s="146"/>
      <c r="H65" s="146"/>
      <c r="I65" s="146"/>
      <c r="J65" s="146"/>
      <c r="K65" s="146"/>
      <c r="L65" s="146"/>
      <c r="M65" s="146"/>
      <c r="N65" s="146"/>
    </row>
    <row r="67" spans="1:14">
      <c r="A67" s="1">
        <v>4</v>
      </c>
      <c r="B67" s="51" t="s">
        <v>60</v>
      </c>
      <c r="C67" s="10"/>
    </row>
    <row r="71" spans="1:14" ht="18">
      <c r="A71" s="130" t="s">
        <v>6</v>
      </c>
      <c r="B71" s="130"/>
      <c r="C71" s="130"/>
      <c r="D71" s="130"/>
      <c r="E71" s="130"/>
      <c r="F71" s="130"/>
      <c r="G71" s="130"/>
      <c r="H71" s="130"/>
      <c r="I71" s="130"/>
      <c r="J71" s="130"/>
      <c r="K71" s="130"/>
      <c r="L71" s="130"/>
      <c r="M71" s="130"/>
      <c r="N71" s="130"/>
    </row>
    <row r="72" spans="1:14" ht="18">
      <c r="A72" s="130" t="s">
        <v>7</v>
      </c>
      <c r="B72" s="130"/>
      <c r="C72" s="130"/>
      <c r="D72" s="130"/>
      <c r="E72" s="130"/>
      <c r="F72" s="130"/>
      <c r="G72" s="130"/>
      <c r="H72" s="130"/>
      <c r="I72" s="130"/>
      <c r="J72" s="130"/>
      <c r="K72" s="130"/>
      <c r="L72" s="130"/>
      <c r="M72" s="130"/>
      <c r="N72" s="130"/>
    </row>
    <row r="74" spans="1:14" ht="15">
      <c r="C74" s="10"/>
      <c r="E74" s="11" t="s">
        <v>8</v>
      </c>
      <c r="F74" s="12">
        <v>2011</v>
      </c>
      <c r="G74" s="13"/>
    </row>
    <row r="76" spans="1:14">
      <c r="D76" s="137" t="s">
        <v>9</v>
      </c>
      <c r="E76" s="138"/>
      <c r="F76" s="138"/>
      <c r="G76" s="139"/>
      <c r="I76" s="14"/>
      <c r="J76" s="125"/>
      <c r="K76" s="15" t="s">
        <v>10</v>
      </c>
      <c r="L76" s="15"/>
      <c r="M76" s="16"/>
      <c r="N76" s="3"/>
    </row>
    <row r="77" spans="1:14" ht="25.5">
      <c r="A77" s="17" t="s">
        <v>11</v>
      </c>
      <c r="B77" s="18" t="s">
        <v>12</v>
      </c>
      <c r="C77" s="19" t="s">
        <v>13</v>
      </c>
      <c r="D77" s="17" t="s">
        <v>14</v>
      </c>
      <c r="E77" s="18" t="s">
        <v>15</v>
      </c>
      <c r="F77" s="18" t="s">
        <v>16</v>
      </c>
      <c r="G77" s="17" t="s">
        <v>17</v>
      </c>
      <c r="H77" s="20"/>
      <c r="I77" s="21" t="s">
        <v>14</v>
      </c>
      <c r="J77" s="21"/>
      <c r="K77" s="22" t="s">
        <v>15</v>
      </c>
      <c r="L77" s="22" t="s">
        <v>16</v>
      </c>
      <c r="M77" s="23" t="s">
        <v>17</v>
      </c>
      <c r="N77" s="17" t="s">
        <v>18</v>
      </c>
    </row>
    <row r="78" spans="1:14" ht="25.5">
      <c r="A78" s="24">
        <v>12</v>
      </c>
      <c r="B78" s="24">
        <v>1611</v>
      </c>
      <c r="C78" s="25" t="s">
        <v>19</v>
      </c>
      <c r="D78" s="26">
        <f t="shared" ref="D78:D108" si="3">G16</f>
        <v>517203.83</v>
      </c>
      <c r="E78" s="26">
        <v>36588.44</v>
      </c>
      <c r="F78" s="26"/>
      <c r="G78" s="27">
        <f>D78+E78+F78</f>
        <v>553792.27</v>
      </c>
      <c r="H78" s="28"/>
      <c r="I78" s="29">
        <f t="shared" ref="I78:I108" si="4">M16</f>
        <v>-452637.51</v>
      </c>
      <c r="J78" s="29"/>
      <c r="K78" s="26">
        <v>-23565.37</v>
      </c>
      <c r="L78" s="26"/>
      <c r="M78" s="27">
        <f>I78+K78+L78</f>
        <v>-476202.88</v>
      </c>
      <c r="N78" s="30">
        <f>G78+M78</f>
        <v>77589.390000000014</v>
      </c>
    </row>
    <row r="79" spans="1:14" ht="15">
      <c r="A79" s="31" t="s">
        <v>20</v>
      </c>
      <c r="B79" s="31">
        <v>1805</v>
      </c>
      <c r="C79" s="32" t="s">
        <v>21</v>
      </c>
      <c r="D79" s="26">
        <f t="shared" si="3"/>
        <v>1217818.6800000002</v>
      </c>
      <c r="E79" s="26">
        <v>30602.47</v>
      </c>
      <c r="F79" s="26">
        <v>-8787</v>
      </c>
      <c r="G79" s="27">
        <f t="shared" ref="G79:G108" si="5">D79+E79+F79</f>
        <v>1239634.1500000001</v>
      </c>
      <c r="H79" s="28"/>
      <c r="I79" s="29">
        <f t="shared" si="4"/>
        <v>0</v>
      </c>
      <c r="J79" s="29"/>
      <c r="K79" s="26"/>
      <c r="L79" s="26"/>
      <c r="M79" s="27">
        <f t="shared" ref="M79:M108" si="6">I79+K79+L79</f>
        <v>0</v>
      </c>
      <c r="N79" s="30">
        <f t="shared" ref="N79:N108" si="7">G79+M79</f>
        <v>1239634.1500000001</v>
      </c>
    </row>
    <row r="80" spans="1:14" ht="15">
      <c r="A80" s="24">
        <v>47</v>
      </c>
      <c r="B80" s="24">
        <v>1808</v>
      </c>
      <c r="C80" s="33" t="s">
        <v>22</v>
      </c>
      <c r="D80" s="26">
        <f t="shared" si="3"/>
        <v>1696506</v>
      </c>
      <c r="E80" s="26"/>
      <c r="F80" s="26">
        <v>-17303</v>
      </c>
      <c r="G80" s="27">
        <f t="shared" si="5"/>
        <v>1679203</v>
      </c>
      <c r="H80" s="28"/>
      <c r="I80" s="29">
        <f t="shared" si="4"/>
        <v>-1022684.76</v>
      </c>
      <c r="J80" s="29"/>
      <c r="K80" s="26">
        <f>-30056-2703</f>
        <v>-32759</v>
      </c>
      <c r="L80" s="26">
        <v>11072</v>
      </c>
      <c r="M80" s="27">
        <f t="shared" si="6"/>
        <v>-1044371.76</v>
      </c>
      <c r="N80" s="30">
        <f t="shared" si="7"/>
        <v>634831.24</v>
      </c>
    </row>
    <row r="81" spans="1:14" ht="15">
      <c r="A81" s="24">
        <v>47</v>
      </c>
      <c r="B81" s="24">
        <v>1815</v>
      </c>
      <c r="C81" s="33" t="s">
        <v>23</v>
      </c>
      <c r="D81" s="26">
        <f t="shared" si="3"/>
        <v>957.48</v>
      </c>
      <c r="E81" s="26">
        <v>282127.57</v>
      </c>
      <c r="F81" s="26"/>
      <c r="G81" s="27">
        <f t="shared" si="5"/>
        <v>283085.05</v>
      </c>
      <c r="H81" s="28"/>
      <c r="I81" s="29">
        <f t="shared" si="4"/>
        <v>0</v>
      </c>
      <c r="J81" s="29"/>
      <c r="K81" s="26"/>
      <c r="L81" s="26"/>
      <c r="M81" s="27">
        <f t="shared" si="6"/>
        <v>0</v>
      </c>
      <c r="N81" s="30">
        <f t="shared" si="7"/>
        <v>283085.05</v>
      </c>
    </row>
    <row r="82" spans="1:14" ht="15">
      <c r="A82" s="24">
        <v>47</v>
      </c>
      <c r="B82" s="24">
        <v>1820</v>
      </c>
      <c r="C82" s="25" t="s">
        <v>24</v>
      </c>
      <c r="D82" s="26">
        <f t="shared" si="3"/>
        <v>1745895.87</v>
      </c>
      <c r="E82" s="26"/>
      <c r="F82" s="26"/>
      <c r="G82" s="27">
        <f t="shared" si="5"/>
        <v>1745895.87</v>
      </c>
      <c r="H82" s="28"/>
      <c r="I82" s="29">
        <f t="shared" si="4"/>
        <v>-1366089.26</v>
      </c>
      <c r="J82" s="29"/>
      <c r="K82" s="26">
        <v>-40423.089999999997</v>
      </c>
      <c r="L82" s="26"/>
      <c r="M82" s="27">
        <f t="shared" si="6"/>
        <v>-1406512.35</v>
      </c>
      <c r="N82" s="30">
        <f t="shared" si="7"/>
        <v>339383.52</v>
      </c>
    </row>
    <row r="83" spans="1:14" ht="15">
      <c r="A83" s="24">
        <v>47</v>
      </c>
      <c r="B83" s="24">
        <v>1830</v>
      </c>
      <c r="C83" s="33" t="s">
        <v>25</v>
      </c>
      <c r="D83" s="26">
        <f t="shared" si="3"/>
        <v>10718521.689999999</v>
      </c>
      <c r="E83" s="26">
        <f>321942+112702+334428</f>
        <v>769072</v>
      </c>
      <c r="F83" s="26"/>
      <c r="G83" s="27">
        <f t="shared" si="5"/>
        <v>11487593.689999999</v>
      </c>
      <c r="H83" s="28"/>
      <c r="I83" s="29">
        <f t="shared" si="4"/>
        <v>-4750496.29</v>
      </c>
      <c r="J83" s="29"/>
      <c r="K83" s="26">
        <v>-391955.02</v>
      </c>
      <c r="L83" s="26"/>
      <c r="M83" s="27">
        <f t="shared" si="6"/>
        <v>-5142451.3100000005</v>
      </c>
      <c r="N83" s="30">
        <f t="shared" si="7"/>
        <v>6345142.379999999</v>
      </c>
    </row>
    <row r="84" spans="1:14" ht="15">
      <c r="A84" s="24">
        <v>47</v>
      </c>
      <c r="B84" s="24">
        <v>1835</v>
      </c>
      <c r="C84" s="33" t="s">
        <v>26</v>
      </c>
      <c r="D84" s="26">
        <f t="shared" si="3"/>
        <v>12479740.409999998</v>
      </c>
      <c r="E84" s="26">
        <v>798966.99</v>
      </c>
      <c r="F84" s="26"/>
      <c r="G84" s="27">
        <f t="shared" si="5"/>
        <v>13278707.399999999</v>
      </c>
      <c r="H84" s="28"/>
      <c r="I84" s="29">
        <f t="shared" si="4"/>
        <v>-5387689.7800000003</v>
      </c>
      <c r="J84" s="29"/>
      <c r="K84" s="26">
        <v>-495827.93</v>
      </c>
      <c r="L84" s="26"/>
      <c r="M84" s="27">
        <f t="shared" si="6"/>
        <v>-5883517.71</v>
      </c>
      <c r="N84" s="30">
        <f t="shared" si="7"/>
        <v>7395189.6899999985</v>
      </c>
    </row>
    <row r="85" spans="1:14" ht="15">
      <c r="A85" s="24">
        <v>47</v>
      </c>
      <c r="B85" s="24">
        <v>1840</v>
      </c>
      <c r="C85" s="33" t="s">
        <v>27</v>
      </c>
      <c r="D85" s="26">
        <f t="shared" si="3"/>
        <v>6777333.8599999994</v>
      </c>
      <c r="E85" s="26">
        <v>102318.07</v>
      </c>
      <c r="F85" s="26"/>
      <c r="G85" s="27">
        <f t="shared" si="5"/>
        <v>6879651.9299999997</v>
      </c>
      <c r="H85" s="28"/>
      <c r="I85" s="29">
        <f t="shared" si="4"/>
        <v>-3880813.05</v>
      </c>
      <c r="J85" s="29"/>
      <c r="K85" s="26">
        <v>-229667.97</v>
      </c>
      <c r="L85" s="26"/>
      <c r="M85" s="27">
        <f t="shared" si="6"/>
        <v>-4110481.02</v>
      </c>
      <c r="N85" s="30">
        <f t="shared" si="7"/>
        <v>2769170.9099999997</v>
      </c>
    </row>
    <row r="86" spans="1:14" ht="15">
      <c r="A86" s="24">
        <v>47</v>
      </c>
      <c r="B86" s="24">
        <v>1845</v>
      </c>
      <c r="C86" s="33" t="s">
        <v>28</v>
      </c>
      <c r="D86" s="26">
        <f t="shared" si="3"/>
        <v>15920626.770000001</v>
      </c>
      <c r="E86" s="26">
        <v>554903.42000000004</v>
      </c>
      <c r="F86" s="26"/>
      <c r="G86" s="27">
        <f t="shared" si="5"/>
        <v>16475530.190000001</v>
      </c>
      <c r="H86" s="28"/>
      <c r="I86" s="29">
        <f t="shared" si="4"/>
        <v>-10266025.960000001</v>
      </c>
      <c r="J86" s="29"/>
      <c r="K86" s="26">
        <v>-532081.5</v>
      </c>
      <c r="L86" s="26"/>
      <c r="M86" s="27">
        <f t="shared" si="6"/>
        <v>-10798107.460000001</v>
      </c>
      <c r="N86" s="30">
        <f t="shared" si="7"/>
        <v>5677422.7300000004</v>
      </c>
    </row>
    <row r="87" spans="1:14" ht="15">
      <c r="A87" s="24">
        <v>47</v>
      </c>
      <c r="B87" s="24">
        <v>1850</v>
      </c>
      <c r="C87" s="33" t="s">
        <v>29</v>
      </c>
      <c r="D87" s="26">
        <f t="shared" si="3"/>
        <v>14782100.67</v>
      </c>
      <c r="E87" s="26">
        <v>325759.34000000003</v>
      </c>
      <c r="F87" s="26"/>
      <c r="G87" s="27">
        <f t="shared" si="5"/>
        <v>15107860.01</v>
      </c>
      <c r="H87" s="28"/>
      <c r="I87" s="29">
        <f t="shared" si="4"/>
        <v>-8528069.7300000004</v>
      </c>
      <c r="J87" s="29"/>
      <c r="K87" s="26">
        <v>-513920.83</v>
      </c>
      <c r="L87" s="26"/>
      <c r="M87" s="27">
        <f t="shared" si="6"/>
        <v>-9041990.5600000005</v>
      </c>
      <c r="N87" s="30">
        <f t="shared" si="7"/>
        <v>6065869.4499999993</v>
      </c>
    </row>
    <row r="88" spans="1:14" ht="15">
      <c r="A88" s="24">
        <v>47</v>
      </c>
      <c r="B88" s="24">
        <v>1855</v>
      </c>
      <c r="C88" s="33" t="s">
        <v>30</v>
      </c>
      <c r="D88" s="26">
        <f t="shared" si="3"/>
        <v>4877442.2300000004</v>
      </c>
      <c r="E88" s="26">
        <v>134981.24</v>
      </c>
      <c r="F88" s="26"/>
      <c r="G88" s="27">
        <f t="shared" si="5"/>
        <v>5012423.4700000007</v>
      </c>
      <c r="H88" s="28"/>
      <c r="I88" s="29">
        <f t="shared" si="4"/>
        <v>-2673633.5099999998</v>
      </c>
      <c r="J88" s="29"/>
      <c r="K88" s="26">
        <v>-172332.47</v>
      </c>
      <c r="L88" s="26"/>
      <c r="M88" s="27">
        <f t="shared" si="6"/>
        <v>-2845965.98</v>
      </c>
      <c r="N88" s="30">
        <f t="shared" si="7"/>
        <v>2166457.4900000007</v>
      </c>
    </row>
    <row r="89" spans="1:14" ht="15">
      <c r="A89" s="24">
        <v>47</v>
      </c>
      <c r="B89" s="24">
        <v>1860</v>
      </c>
      <c r="C89" s="33" t="s">
        <v>31</v>
      </c>
      <c r="D89" s="26">
        <f t="shared" si="3"/>
        <v>3739615.2699999996</v>
      </c>
      <c r="E89" s="26">
        <v>146826.16</v>
      </c>
      <c r="F89" s="26"/>
      <c r="G89" s="27">
        <f t="shared" si="5"/>
        <v>3886441.4299999997</v>
      </c>
      <c r="H89" s="28"/>
      <c r="I89" s="29">
        <f t="shared" si="4"/>
        <v>-2358667.75</v>
      </c>
      <c r="J89" s="29"/>
      <c r="K89" s="26">
        <v>-123089.05</v>
      </c>
      <c r="L89" s="26"/>
      <c r="M89" s="27">
        <f t="shared" si="6"/>
        <v>-2481756.7999999998</v>
      </c>
      <c r="N89" s="30">
        <f t="shared" si="7"/>
        <v>1404684.63</v>
      </c>
    </row>
    <row r="90" spans="1:14" ht="15">
      <c r="A90" s="31">
        <v>47</v>
      </c>
      <c r="B90" s="31">
        <v>1890</v>
      </c>
      <c r="C90" s="32" t="s">
        <v>32</v>
      </c>
      <c r="D90" s="26">
        <f t="shared" si="3"/>
        <v>512779.66000000003</v>
      </c>
      <c r="E90" s="26"/>
      <c r="F90" s="26">
        <v>-90433.34</v>
      </c>
      <c r="G90" s="27">
        <f t="shared" si="5"/>
        <v>422346.32000000007</v>
      </c>
      <c r="H90" s="28"/>
      <c r="I90" s="29">
        <f t="shared" si="4"/>
        <v>0</v>
      </c>
      <c r="J90" s="29"/>
      <c r="K90" s="26"/>
      <c r="L90" s="26"/>
      <c r="M90" s="27">
        <f t="shared" si="6"/>
        <v>0</v>
      </c>
      <c r="N90" s="30">
        <f t="shared" si="7"/>
        <v>422346.32000000007</v>
      </c>
    </row>
    <row r="91" spans="1:14" ht="15">
      <c r="A91" s="31" t="s">
        <v>20</v>
      </c>
      <c r="B91" s="31">
        <v>1905</v>
      </c>
      <c r="C91" s="32" t="s">
        <v>21</v>
      </c>
      <c r="D91" s="26">
        <f t="shared" si="3"/>
        <v>17041.330000000002</v>
      </c>
      <c r="E91" s="26"/>
      <c r="F91" s="26"/>
      <c r="G91" s="27">
        <f t="shared" si="5"/>
        <v>17041.330000000002</v>
      </c>
      <c r="H91" s="28"/>
      <c r="I91" s="29">
        <f t="shared" si="4"/>
        <v>-17041.330000000002</v>
      </c>
      <c r="J91" s="29"/>
      <c r="K91" s="26"/>
      <c r="L91" s="26"/>
      <c r="M91" s="27">
        <f t="shared" si="6"/>
        <v>-17041.330000000002</v>
      </c>
      <c r="N91" s="30">
        <f t="shared" si="7"/>
        <v>0</v>
      </c>
    </row>
    <row r="92" spans="1:14" ht="15">
      <c r="A92" s="24">
        <v>47</v>
      </c>
      <c r="B92" s="24">
        <v>1908</v>
      </c>
      <c r="C92" s="33" t="s">
        <v>33</v>
      </c>
      <c r="D92" s="26">
        <f t="shared" si="3"/>
        <v>446096.07999999996</v>
      </c>
      <c r="E92" s="26">
        <f>38836+6795</f>
        <v>45631</v>
      </c>
      <c r="F92" s="26"/>
      <c r="G92" s="27">
        <f t="shared" si="5"/>
        <v>491727.07999999996</v>
      </c>
      <c r="H92" s="28"/>
      <c r="I92" s="29">
        <f t="shared" si="4"/>
        <v>-66319.76999999999</v>
      </c>
      <c r="J92" s="29"/>
      <c r="K92" s="26">
        <f>-15517-340</f>
        <v>-15857</v>
      </c>
      <c r="L92" s="26"/>
      <c r="M92" s="27">
        <f t="shared" si="6"/>
        <v>-82176.76999999999</v>
      </c>
      <c r="N92" s="30">
        <f t="shared" si="7"/>
        <v>409550.30999999994</v>
      </c>
    </row>
    <row r="93" spans="1:14" ht="15">
      <c r="A93" s="24">
        <v>13</v>
      </c>
      <c r="B93" s="24">
        <v>1910</v>
      </c>
      <c r="C93" s="33" t="s">
        <v>34</v>
      </c>
      <c r="D93" s="26">
        <f t="shared" si="3"/>
        <v>21798.12</v>
      </c>
      <c r="E93" s="26"/>
      <c r="F93" s="26"/>
      <c r="G93" s="27">
        <f t="shared" si="5"/>
        <v>21798.12</v>
      </c>
      <c r="H93" s="28"/>
      <c r="I93" s="29">
        <f t="shared" si="4"/>
        <v>-21798.12</v>
      </c>
      <c r="J93" s="29"/>
      <c r="K93" s="26"/>
      <c r="L93" s="26"/>
      <c r="M93" s="27">
        <f t="shared" si="6"/>
        <v>-21798.12</v>
      </c>
      <c r="N93" s="30">
        <f t="shared" si="7"/>
        <v>0</v>
      </c>
    </row>
    <row r="94" spans="1:14" ht="15">
      <c r="A94" s="24">
        <v>8</v>
      </c>
      <c r="B94" s="24">
        <v>1915</v>
      </c>
      <c r="C94" s="33" t="s">
        <v>35</v>
      </c>
      <c r="D94" s="26">
        <f t="shared" si="3"/>
        <v>366438.75</v>
      </c>
      <c r="E94" s="26">
        <v>12585</v>
      </c>
      <c r="F94" s="26"/>
      <c r="G94" s="27">
        <f t="shared" si="5"/>
        <v>379023.75</v>
      </c>
      <c r="H94" s="28"/>
      <c r="I94" s="29">
        <f t="shared" si="4"/>
        <v>-332665.73</v>
      </c>
      <c r="J94" s="29"/>
      <c r="K94" s="26">
        <v>-5117.57</v>
      </c>
      <c r="L94" s="26"/>
      <c r="M94" s="27">
        <f t="shared" si="6"/>
        <v>-337783.3</v>
      </c>
      <c r="N94" s="30">
        <f t="shared" si="7"/>
        <v>41240.450000000012</v>
      </c>
    </row>
    <row r="95" spans="1:14" ht="15">
      <c r="A95" s="24">
        <v>10</v>
      </c>
      <c r="B95" s="24">
        <v>1920</v>
      </c>
      <c r="C95" s="33" t="s">
        <v>36</v>
      </c>
      <c r="D95" s="26">
        <f t="shared" si="3"/>
        <v>540191.49000000011</v>
      </c>
      <c r="E95" s="26"/>
      <c r="F95" s="26"/>
      <c r="G95" s="27">
        <f t="shared" si="5"/>
        <v>540191.49000000011</v>
      </c>
      <c r="H95" s="28"/>
      <c r="I95" s="29">
        <f t="shared" si="4"/>
        <v>-540191.49</v>
      </c>
      <c r="J95" s="29"/>
      <c r="K95" s="26"/>
      <c r="L95" s="26"/>
      <c r="M95" s="27">
        <f t="shared" si="6"/>
        <v>-540191.49</v>
      </c>
      <c r="N95" s="30">
        <f t="shared" si="7"/>
        <v>0</v>
      </c>
    </row>
    <row r="96" spans="1:14" ht="15">
      <c r="A96" s="24">
        <v>45</v>
      </c>
      <c r="B96" s="34">
        <v>1920</v>
      </c>
      <c r="C96" s="25" t="s">
        <v>37</v>
      </c>
      <c r="D96" s="26">
        <f t="shared" si="3"/>
        <v>75673.850000000006</v>
      </c>
      <c r="E96" s="26"/>
      <c r="F96" s="26"/>
      <c r="G96" s="27">
        <f t="shared" si="5"/>
        <v>75673.850000000006</v>
      </c>
      <c r="H96" s="28"/>
      <c r="I96" s="29">
        <f t="shared" si="4"/>
        <v>-75673.850000000006</v>
      </c>
      <c r="J96" s="29"/>
      <c r="K96" s="26"/>
      <c r="L96" s="26"/>
      <c r="M96" s="27">
        <f t="shared" si="6"/>
        <v>-75673.850000000006</v>
      </c>
      <c r="N96" s="30">
        <f t="shared" si="7"/>
        <v>0</v>
      </c>
    </row>
    <row r="97" spans="1:14" ht="15">
      <c r="A97" s="24">
        <v>45.1</v>
      </c>
      <c r="B97" s="34">
        <v>1920</v>
      </c>
      <c r="C97" s="25" t="s">
        <v>38</v>
      </c>
      <c r="D97" s="26">
        <f t="shared" si="3"/>
        <v>339945.15</v>
      </c>
      <c r="E97" s="26">
        <v>18384.400000000001</v>
      </c>
      <c r="F97" s="26"/>
      <c r="G97" s="27">
        <f t="shared" si="5"/>
        <v>358329.55000000005</v>
      </c>
      <c r="H97" s="28"/>
      <c r="I97" s="29">
        <f t="shared" si="4"/>
        <v>-264628.44</v>
      </c>
      <c r="J97" s="29"/>
      <c r="K97" s="26">
        <v>-39653.82</v>
      </c>
      <c r="L97" s="26"/>
      <c r="M97" s="27">
        <f t="shared" si="6"/>
        <v>-304282.26</v>
      </c>
      <c r="N97" s="30">
        <f t="shared" si="7"/>
        <v>54047.290000000037</v>
      </c>
    </row>
    <row r="98" spans="1:14" ht="15">
      <c r="A98" s="24">
        <v>10</v>
      </c>
      <c r="B98" s="24">
        <v>1930</v>
      </c>
      <c r="C98" s="33" t="s">
        <v>39</v>
      </c>
      <c r="D98" s="26">
        <f t="shared" si="3"/>
        <v>2892966.8400000003</v>
      </c>
      <c r="E98" s="26">
        <v>79873</v>
      </c>
      <c r="F98" s="26">
        <v>-138844.43</v>
      </c>
      <c r="G98" s="27">
        <f t="shared" si="5"/>
        <v>2833995.41</v>
      </c>
      <c r="H98" s="28"/>
      <c r="I98" s="29">
        <f t="shared" si="4"/>
        <v>-1798676.32</v>
      </c>
      <c r="J98" s="29"/>
      <c r="K98" s="26">
        <v>-256134.96</v>
      </c>
      <c r="L98" s="26">
        <v>138844.43</v>
      </c>
      <c r="M98" s="27">
        <f t="shared" si="6"/>
        <v>-1915966.85</v>
      </c>
      <c r="N98" s="30">
        <f t="shared" si="7"/>
        <v>918028.56</v>
      </c>
    </row>
    <row r="99" spans="1:14" ht="15">
      <c r="A99" s="24">
        <v>8</v>
      </c>
      <c r="B99" s="24">
        <v>1935</v>
      </c>
      <c r="C99" s="33" t="s">
        <v>40</v>
      </c>
      <c r="D99" s="26">
        <f t="shared" si="3"/>
        <v>36199.29</v>
      </c>
      <c r="E99" s="26"/>
      <c r="F99" s="26"/>
      <c r="G99" s="27">
        <f t="shared" si="5"/>
        <v>36199.29</v>
      </c>
      <c r="H99" s="28"/>
      <c r="I99" s="29">
        <f t="shared" si="4"/>
        <v>-36199.29</v>
      </c>
      <c r="J99" s="29"/>
      <c r="K99" s="26"/>
      <c r="L99" s="26"/>
      <c r="M99" s="27">
        <f t="shared" si="6"/>
        <v>-36199.29</v>
      </c>
      <c r="N99" s="30">
        <f t="shared" si="7"/>
        <v>0</v>
      </c>
    </row>
    <row r="100" spans="1:14" ht="15">
      <c r="A100" s="24">
        <v>8</v>
      </c>
      <c r="B100" s="24">
        <v>1940</v>
      </c>
      <c r="C100" s="33" t="s">
        <v>41</v>
      </c>
      <c r="D100" s="26">
        <f t="shared" si="3"/>
        <v>756585.73</v>
      </c>
      <c r="E100" s="26">
        <v>26344.27</v>
      </c>
      <c r="F100" s="26"/>
      <c r="G100" s="27">
        <f t="shared" si="5"/>
        <v>782930</v>
      </c>
      <c r="H100" s="28"/>
      <c r="I100" s="29">
        <f t="shared" si="4"/>
        <v>-605430.13</v>
      </c>
      <c r="J100" s="29"/>
      <c r="K100" s="26">
        <v>-29465.68</v>
      </c>
      <c r="L100" s="26"/>
      <c r="M100" s="27">
        <f t="shared" si="6"/>
        <v>-634895.81000000006</v>
      </c>
      <c r="N100" s="30">
        <f t="shared" si="7"/>
        <v>148034.18999999994</v>
      </c>
    </row>
    <row r="101" spans="1:14" ht="15">
      <c r="A101" s="24">
        <v>8</v>
      </c>
      <c r="B101" s="24">
        <v>1945</v>
      </c>
      <c r="C101" s="33" t="s">
        <v>42</v>
      </c>
      <c r="D101" s="26">
        <f t="shared" si="3"/>
        <v>39169.78</v>
      </c>
      <c r="E101" s="26"/>
      <c r="F101" s="26"/>
      <c r="G101" s="27">
        <f t="shared" si="5"/>
        <v>39169.78</v>
      </c>
      <c r="H101" s="28"/>
      <c r="I101" s="29">
        <f t="shared" si="4"/>
        <v>-19606.09</v>
      </c>
      <c r="J101" s="29"/>
      <c r="K101" s="26">
        <v>-3465.41</v>
      </c>
      <c r="L101" s="26"/>
      <c r="M101" s="27">
        <f t="shared" si="6"/>
        <v>-23071.5</v>
      </c>
      <c r="N101" s="30">
        <f t="shared" si="7"/>
        <v>16098.279999999999</v>
      </c>
    </row>
    <row r="102" spans="1:14" ht="15">
      <c r="A102" s="24">
        <v>8</v>
      </c>
      <c r="B102" s="24">
        <v>1955</v>
      </c>
      <c r="C102" s="33" t="s">
        <v>43</v>
      </c>
      <c r="D102" s="26">
        <f t="shared" si="3"/>
        <v>106527.86</v>
      </c>
      <c r="E102" s="26"/>
      <c r="F102" s="26"/>
      <c r="G102" s="27">
        <f t="shared" si="5"/>
        <v>106527.86</v>
      </c>
      <c r="H102" s="28"/>
      <c r="I102" s="29">
        <f t="shared" si="4"/>
        <v>-103461.21</v>
      </c>
      <c r="J102" s="29"/>
      <c r="K102" s="26">
        <v>-2036.42</v>
      </c>
      <c r="L102" s="26"/>
      <c r="M102" s="27">
        <f t="shared" si="6"/>
        <v>-105497.63</v>
      </c>
      <c r="N102" s="30">
        <f t="shared" si="7"/>
        <v>1030.2299999999959</v>
      </c>
    </row>
    <row r="103" spans="1:14" ht="15">
      <c r="A103" s="34">
        <v>8</v>
      </c>
      <c r="B103" s="34">
        <v>1960</v>
      </c>
      <c r="C103" s="25" t="s">
        <v>44</v>
      </c>
      <c r="D103" s="26">
        <f t="shared" si="3"/>
        <v>7842.42</v>
      </c>
      <c r="E103" s="26"/>
      <c r="F103" s="26"/>
      <c r="G103" s="27">
        <f t="shared" si="5"/>
        <v>7842.42</v>
      </c>
      <c r="H103" s="28"/>
      <c r="I103" s="29">
        <f t="shared" si="4"/>
        <v>-2352.7399999999998</v>
      </c>
      <c r="J103" s="29"/>
      <c r="K103" s="26">
        <v>-784.24</v>
      </c>
      <c r="L103" s="26"/>
      <c r="M103" s="27">
        <f t="shared" si="6"/>
        <v>-3136.9799999999996</v>
      </c>
      <c r="N103" s="30">
        <f t="shared" si="7"/>
        <v>4705.4400000000005</v>
      </c>
    </row>
    <row r="104" spans="1:14" ht="15">
      <c r="A104" s="1">
        <v>47</v>
      </c>
      <c r="B104" s="34">
        <v>1970</v>
      </c>
      <c r="C104" s="33" t="s">
        <v>45</v>
      </c>
      <c r="D104" s="26">
        <f t="shared" si="3"/>
        <v>245119.26</v>
      </c>
      <c r="E104" s="26"/>
      <c r="F104" s="26"/>
      <c r="G104" s="27">
        <f t="shared" si="5"/>
        <v>245119.26</v>
      </c>
      <c r="H104" s="28"/>
      <c r="I104" s="29">
        <f t="shared" si="4"/>
        <v>-127648.3</v>
      </c>
      <c r="J104" s="29"/>
      <c r="K104" s="26">
        <v>-24511.919999999998</v>
      </c>
      <c r="L104" s="26"/>
      <c r="M104" s="27">
        <f t="shared" si="6"/>
        <v>-152160.22</v>
      </c>
      <c r="N104" s="30">
        <f t="shared" si="7"/>
        <v>92959.040000000008</v>
      </c>
    </row>
    <row r="105" spans="1:14" ht="15">
      <c r="A105" s="24">
        <v>47</v>
      </c>
      <c r="B105" s="24">
        <v>1980</v>
      </c>
      <c r="C105" s="33" t="s">
        <v>46</v>
      </c>
      <c r="D105" s="26">
        <f t="shared" si="3"/>
        <v>316082.07</v>
      </c>
      <c r="E105" s="26">
        <v>6582.38</v>
      </c>
      <c r="F105" s="26"/>
      <c r="G105" s="27">
        <f t="shared" si="5"/>
        <v>322664.45</v>
      </c>
      <c r="H105" s="28"/>
      <c r="I105" s="29">
        <f t="shared" si="4"/>
        <v>-187482.07</v>
      </c>
      <c r="J105" s="29"/>
      <c r="K105" s="26">
        <v>-31937.31</v>
      </c>
      <c r="L105" s="26"/>
      <c r="M105" s="27">
        <f t="shared" si="6"/>
        <v>-219419.38</v>
      </c>
      <c r="N105" s="30">
        <f t="shared" si="7"/>
        <v>103245.07</v>
      </c>
    </row>
    <row r="106" spans="1:14" ht="15">
      <c r="A106" s="24">
        <v>47</v>
      </c>
      <c r="B106" s="24">
        <v>1995</v>
      </c>
      <c r="C106" s="33" t="s">
        <v>47</v>
      </c>
      <c r="D106" s="26">
        <f t="shared" si="3"/>
        <v>-4298581.1900000004</v>
      </c>
      <c r="E106" s="26">
        <v>-106479.94</v>
      </c>
      <c r="F106" s="26"/>
      <c r="G106" s="27">
        <f t="shared" si="5"/>
        <v>-4405061.1300000008</v>
      </c>
      <c r="H106" s="28"/>
      <c r="I106" s="29">
        <f t="shared" si="4"/>
        <v>942358.34</v>
      </c>
      <c r="J106" s="29"/>
      <c r="K106" s="26">
        <v>174072.82</v>
      </c>
      <c r="L106" s="26"/>
      <c r="M106" s="27">
        <f t="shared" si="6"/>
        <v>1116431.1599999999</v>
      </c>
      <c r="N106" s="30">
        <f t="shared" si="7"/>
        <v>-3288629.9700000007</v>
      </c>
    </row>
    <row r="107" spans="1:14" ht="15">
      <c r="A107" s="35"/>
      <c r="B107" s="35">
        <v>2075</v>
      </c>
      <c r="C107" s="36" t="s">
        <v>48</v>
      </c>
      <c r="D107" s="26">
        <f t="shared" si="3"/>
        <v>44950.8</v>
      </c>
      <c r="E107" s="26">
        <v>249737.69</v>
      </c>
      <c r="F107" s="26"/>
      <c r="G107" s="27">
        <f t="shared" si="5"/>
        <v>294688.49</v>
      </c>
      <c r="H107" s="28"/>
      <c r="I107" s="29">
        <f t="shared" si="4"/>
        <v>0</v>
      </c>
      <c r="J107" s="29"/>
      <c r="K107" s="26">
        <v>-7367.21</v>
      </c>
      <c r="L107" s="26"/>
      <c r="M107" s="27">
        <f t="shared" si="6"/>
        <v>-7367.21</v>
      </c>
      <c r="N107" s="30">
        <f t="shared" si="7"/>
        <v>287321.27999999997</v>
      </c>
    </row>
    <row r="108" spans="1:14" ht="15">
      <c r="A108" s="35"/>
      <c r="B108" s="35"/>
      <c r="C108" s="36"/>
      <c r="D108" s="26">
        <f t="shared" si="3"/>
        <v>0</v>
      </c>
      <c r="E108" s="37"/>
      <c r="F108" s="37"/>
      <c r="G108" s="27">
        <f t="shared" si="5"/>
        <v>0</v>
      </c>
      <c r="I108" s="29">
        <f t="shared" si="4"/>
        <v>0</v>
      </c>
      <c r="J108" s="29"/>
      <c r="K108" s="37"/>
      <c r="L108" s="37"/>
      <c r="M108" s="27">
        <f t="shared" si="6"/>
        <v>0</v>
      </c>
      <c r="N108" s="30">
        <f t="shared" si="7"/>
        <v>0</v>
      </c>
    </row>
    <row r="109" spans="1:14">
      <c r="A109" s="35"/>
      <c r="B109" s="35"/>
      <c r="C109" s="38" t="s">
        <v>49</v>
      </c>
      <c r="D109" s="39">
        <f>SUM(D78:D108)</f>
        <v>76940590.050000012</v>
      </c>
      <c r="E109" s="39">
        <f>SUM(E78:E108)</f>
        <v>3514803.5</v>
      </c>
      <c r="F109" s="39">
        <f>SUM(F78:F108)</f>
        <v>-255367.77</v>
      </c>
      <c r="G109" s="39">
        <f>SUM(G78:G108)</f>
        <v>80200025.780000001</v>
      </c>
      <c r="H109" s="39"/>
      <c r="I109" s="39">
        <f>SUM(I78:I108)</f>
        <v>-43943624.140000001</v>
      </c>
      <c r="J109" s="39"/>
      <c r="K109" s="39">
        <f>SUM(K78:K108)</f>
        <v>-2797880.95</v>
      </c>
      <c r="L109" s="39">
        <f>SUM(L78:L108)</f>
        <v>149916.43</v>
      </c>
      <c r="M109" s="39">
        <f>SUM(M78:M108)</f>
        <v>-46591588.660000004</v>
      </c>
      <c r="N109" s="39">
        <f>SUM(N78:N108)</f>
        <v>33608437.120000005</v>
      </c>
    </row>
    <row r="110" spans="1:14" ht="25.5">
      <c r="A110" s="35"/>
      <c r="B110" s="35"/>
      <c r="C110" s="40" t="s">
        <v>50</v>
      </c>
      <c r="D110" s="37"/>
      <c r="E110" s="37"/>
      <c r="F110" s="37"/>
      <c r="G110" s="27">
        <f>D110+E110+F110</f>
        <v>0</v>
      </c>
      <c r="I110" s="37"/>
      <c r="J110" s="37"/>
      <c r="K110" s="37"/>
      <c r="L110" s="37"/>
      <c r="M110" s="27">
        <f>I110+K110+L110</f>
        <v>0</v>
      </c>
      <c r="N110" s="30">
        <f>G110+M110</f>
        <v>0</v>
      </c>
    </row>
    <row r="111" spans="1:14" ht="24.75">
      <c r="A111" s="35"/>
      <c r="B111" s="35"/>
      <c r="C111" s="41" t="s">
        <v>51</v>
      </c>
      <c r="D111" s="42">
        <f>G49</f>
        <v>-924402.58000000007</v>
      </c>
      <c r="E111" s="42">
        <f>-E107-E79-E81</f>
        <v>-562467.73</v>
      </c>
      <c r="F111" s="37"/>
      <c r="G111" s="27">
        <f>D111+E111+F111</f>
        <v>-1486870.31</v>
      </c>
      <c r="I111" s="37"/>
      <c r="J111" s="37"/>
      <c r="K111" s="42">
        <f>-K107</f>
        <v>7367.21</v>
      </c>
      <c r="L111" s="37"/>
      <c r="M111" s="27">
        <f>I111+K111+L111</f>
        <v>7367.21</v>
      </c>
      <c r="N111" s="30">
        <f>G111+M111</f>
        <v>-1479503.1</v>
      </c>
    </row>
    <row r="112" spans="1:14">
      <c r="A112" s="35"/>
      <c r="B112" s="35"/>
      <c r="C112" s="38" t="s">
        <v>52</v>
      </c>
      <c r="D112" s="39">
        <f>SUM(D109:D111)</f>
        <v>76016187.470000014</v>
      </c>
      <c r="E112" s="39">
        <f>SUM(E109:E111)</f>
        <v>2952335.77</v>
      </c>
      <c r="F112" s="39">
        <f>SUM(F109:F111)</f>
        <v>-255367.77</v>
      </c>
      <c r="G112" s="39">
        <f>SUM(G109:G111)</f>
        <v>78713155.469999999</v>
      </c>
      <c r="H112" s="39"/>
      <c r="I112" s="39">
        <f>SUM(I109:I111)</f>
        <v>-43943624.140000001</v>
      </c>
      <c r="J112" s="39"/>
      <c r="K112" s="39">
        <f>SUM(K109:K111)</f>
        <v>-2790513.74</v>
      </c>
      <c r="L112" s="39">
        <f>SUM(L109:L111)</f>
        <v>149916.43</v>
      </c>
      <c r="M112" s="39">
        <f>SUM(M109:M111)</f>
        <v>-46584221.450000003</v>
      </c>
      <c r="N112" s="39">
        <f>SUM(N109:N111)</f>
        <v>32128934.020000003</v>
      </c>
    </row>
    <row r="114" spans="1:15">
      <c r="I114" s="43" t="s">
        <v>53</v>
      </c>
      <c r="J114" s="43"/>
      <c r="K114" s="44"/>
    </row>
    <row r="115" spans="1:15" ht="15">
      <c r="A115" s="35">
        <v>10</v>
      </c>
      <c r="B115" s="35"/>
      <c r="C115" s="36" t="s">
        <v>54</v>
      </c>
      <c r="I115" s="44" t="s">
        <v>54</v>
      </c>
      <c r="J115" s="44"/>
      <c r="K115" s="44"/>
      <c r="L115" s="45">
        <v>-291887</v>
      </c>
    </row>
    <row r="116" spans="1:15" ht="15">
      <c r="A116" s="35">
        <v>8</v>
      </c>
      <c r="B116" s="35"/>
      <c r="C116" s="36" t="s">
        <v>40</v>
      </c>
      <c r="I116" s="44" t="s">
        <v>40</v>
      </c>
      <c r="J116" s="44"/>
      <c r="K116" s="44"/>
      <c r="L116" s="46"/>
    </row>
    <row r="117" spans="1:15" ht="15">
      <c r="I117" s="47" t="s">
        <v>55</v>
      </c>
      <c r="J117" s="47"/>
      <c r="L117" s="48">
        <f>K112-L115-L116</f>
        <v>-2498626.7400000002</v>
      </c>
    </row>
    <row r="118" spans="1:15">
      <c r="O118" s="49"/>
    </row>
    <row r="122" spans="1:15" ht="20.25" customHeight="1">
      <c r="A122" s="130" t="s">
        <v>6</v>
      </c>
      <c r="B122" s="130"/>
      <c r="C122" s="130"/>
      <c r="D122" s="130"/>
      <c r="E122" s="130"/>
      <c r="F122" s="130"/>
      <c r="G122" s="130"/>
      <c r="H122" s="130"/>
      <c r="I122" s="130"/>
      <c r="J122" s="130"/>
      <c r="K122" s="130"/>
      <c r="L122" s="130"/>
      <c r="M122" s="130"/>
      <c r="N122" s="130"/>
    </row>
    <row r="123" spans="1:15" ht="18">
      <c r="A123" s="130" t="s">
        <v>7</v>
      </c>
      <c r="B123" s="130"/>
      <c r="C123" s="130"/>
      <c r="D123" s="130"/>
      <c r="E123" s="130"/>
      <c r="F123" s="130"/>
      <c r="G123" s="130"/>
      <c r="H123" s="130"/>
      <c r="I123" s="130"/>
      <c r="J123" s="130"/>
      <c r="K123" s="130"/>
      <c r="L123" s="130"/>
      <c r="M123" s="130"/>
      <c r="N123" s="130"/>
    </row>
    <row r="125" spans="1:15" ht="15">
      <c r="C125" s="10"/>
      <c r="E125" s="11" t="s">
        <v>8</v>
      </c>
      <c r="F125" s="12">
        <v>2012</v>
      </c>
      <c r="G125" s="13"/>
    </row>
    <row r="127" spans="1:15">
      <c r="D127" s="137" t="s">
        <v>9</v>
      </c>
      <c r="E127" s="138"/>
      <c r="F127" s="138"/>
      <c r="G127" s="139"/>
      <c r="I127" s="14"/>
      <c r="J127" s="125"/>
      <c r="K127" s="15" t="s">
        <v>10</v>
      </c>
      <c r="L127" s="15"/>
      <c r="M127" s="16"/>
      <c r="N127" s="3"/>
    </row>
    <row r="128" spans="1:15" ht="25.5">
      <c r="A128" s="17" t="s">
        <v>11</v>
      </c>
      <c r="B128" s="18" t="s">
        <v>12</v>
      </c>
      <c r="C128" s="19" t="s">
        <v>13</v>
      </c>
      <c r="D128" s="17" t="s">
        <v>14</v>
      </c>
      <c r="E128" s="18" t="s">
        <v>15</v>
      </c>
      <c r="F128" s="18" t="s">
        <v>16</v>
      </c>
      <c r="G128" s="17" t="s">
        <v>17</v>
      </c>
      <c r="H128" s="20"/>
      <c r="I128" s="21" t="s">
        <v>14</v>
      </c>
      <c r="J128" s="21"/>
      <c r="K128" s="22" t="s">
        <v>15</v>
      </c>
      <c r="L128" s="22" t="s">
        <v>16</v>
      </c>
      <c r="M128" s="23" t="s">
        <v>17</v>
      </c>
      <c r="N128" s="17" t="s">
        <v>18</v>
      </c>
    </row>
    <row r="129" spans="1:14" ht="25.5">
      <c r="A129" s="24">
        <v>12</v>
      </c>
      <c r="B129" s="24">
        <v>1611</v>
      </c>
      <c r="C129" s="25" t="s">
        <v>19</v>
      </c>
      <c r="D129" s="26">
        <f>G78</f>
        <v>553792.27</v>
      </c>
      <c r="E129" s="26">
        <v>169876.93</v>
      </c>
      <c r="F129" s="26"/>
      <c r="G129" s="27">
        <f>D129+E129+F129</f>
        <v>723669.2</v>
      </c>
      <c r="H129" s="28"/>
      <c r="I129" s="29">
        <f>M78</f>
        <v>-476202.88</v>
      </c>
      <c r="J129" s="29"/>
      <c r="K129" s="26">
        <f>-25389.07-4870.99-59097.54</f>
        <v>-89357.6</v>
      </c>
      <c r="L129" s="26"/>
      <c r="M129" s="27">
        <f>I129+K129+L129</f>
        <v>-565560.48</v>
      </c>
      <c r="N129" s="30">
        <f>G129+M129</f>
        <v>158108.71999999997</v>
      </c>
    </row>
    <row r="130" spans="1:14" ht="15">
      <c r="A130" s="31" t="s">
        <v>20</v>
      </c>
      <c r="B130" s="31">
        <v>1805</v>
      </c>
      <c r="C130" s="32" t="s">
        <v>21</v>
      </c>
      <c r="D130" s="26">
        <f>G79</f>
        <v>1239634.1500000001</v>
      </c>
      <c r="E130" s="26">
        <v>189</v>
      </c>
      <c r="F130" s="26"/>
      <c r="G130" s="27">
        <f t="shared" ref="G130:G160" si="8">D130+E130+F130</f>
        <v>1239823.1500000001</v>
      </c>
      <c r="H130" s="28"/>
      <c r="I130" s="29">
        <f>M79</f>
        <v>0</v>
      </c>
      <c r="J130" s="29"/>
      <c r="K130" s="26"/>
      <c r="L130" s="26"/>
      <c r="M130" s="27">
        <f t="shared" ref="M130:M160" si="9">I130+K130+L130</f>
        <v>0</v>
      </c>
      <c r="N130" s="30">
        <f t="shared" ref="N130:N160" si="10">G130+M130</f>
        <v>1239823.1500000001</v>
      </c>
    </row>
    <row r="131" spans="1:14" ht="15">
      <c r="A131" s="24">
        <v>47</v>
      </c>
      <c r="B131" s="24">
        <v>1808</v>
      </c>
      <c r="C131" s="33" t="s">
        <v>22</v>
      </c>
      <c r="D131" s="26">
        <f>G80</f>
        <v>1679203</v>
      </c>
      <c r="E131" s="26"/>
      <c r="F131" s="26"/>
      <c r="G131" s="27">
        <f t="shared" si="8"/>
        <v>1679203</v>
      </c>
      <c r="H131" s="28"/>
      <c r="I131" s="29">
        <f>M80</f>
        <v>-1044371.76</v>
      </c>
      <c r="J131" s="29"/>
      <c r="K131" s="26">
        <f>-29089-2703</f>
        <v>-31792</v>
      </c>
      <c r="L131" s="26"/>
      <c r="M131" s="27">
        <f t="shared" si="9"/>
        <v>-1076163.76</v>
      </c>
      <c r="N131" s="30">
        <f t="shared" si="10"/>
        <v>603039.24</v>
      </c>
    </row>
    <row r="132" spans="1:14" ht="15">
      <c r="A132" s="24">
        <v>47</v>
      </c>
      <c r="B132" s="24">
        <v>1815</v>
      </c>
      <c r="C132" s="33" t="s">
        <v>23</v>
      </c>
      <c r="D132" s="26">
        <v>283085</v>
      </c>
      <c r="E132" s="26">
        <v>-283085</v>
      </c>
      <c r="F132" s="26">
        <v>0</v>
      </c>
      <c r="G132" s="27">
        <f t="shared" si="8"/>
        <v>0</v>
      </c>
      <c r="H132" s="28"/>
      <c r="I132" s="29">
        <f>M73</f>
        <v>0</v>
      </c>
      <c r="J132" s="29"/>
      <c r="K132" s="26"/>
      <c r="L132" s="26"/>
      <c r="M132" s="27">
        <f t="shared" si="9"/>
        <v>0</v>
      </c>
      <c r="N132" s="30">
        <f t="shared" si="10"/>
        <v>0</v>
      </c>
    </row>
    <row r="133" spans="1:14" ht="15">
      <c r="A133" s="24">
        <v>47</v>
      </c>
      <c r="B133" s="24">
        <v>1820</v>
      </c>
      <c r="C133" s="25" t="s">
        <v>24</v>
      </c>
      <c r="D133" s="26">
        <f>G82</f>
        <v>1745895.87</v>
      </c>
      <c r="E133" s="26"/>
      <c r="F133" s="26"/>
      <c r="G133" s="27">
        <f t="shared" si="8"/>
        <v>1745895.87</v>
      </c>
      <c r="H133" s="28"/>
      <c r="I133" s="29">
        <f>M82</f>
        <v>-1406512.35</v>
      </c>
      <c r="J133" s="29"/>
      <c r="K133" s="26">
        <v>-40423.089999999997</v>
      </c>
      <c r="L133" s="26"/>
      <c r="M133" s="27">
        <f t="shared" si="9"/>
        <v>-1446935.4400000002</v>
      </c>
      <c r="N133" s="30">
        <f t="shared" si="10"/>
        <v>298960.42999999993</v>
      </c>
    </row>
    <row r="134" spans="1:14" ht="15">
      <c r="A134" s="24">
        <v>47</v>
      </c>
      <c r="B134" s="24">
        <v>1830</v>
      </c>
      <c r="C134" s="33" t="s">
        <v>25</v>
      </c>
      <c r="D134" s="26">
        <f>G83</f>
        <v>11487593.689999999</v>
      </c>
      <c r="E134" s="26">
        <f>269736+123163+471744</f>
        <v>864643</v>
      </c>
      <c r="F134" s="26"/>
      <c r="G134" s="27">
        <f t="shared" si="8"/>
        <v>12352236.689999999</v>
      </c>
      <c r="H134" s="28"/>
      <c r="I134" s="29">
        <f>M83</f>
        <v>-5142451.3100000005</v>
      </c>
      <c r="J134" s="29"/>
      <c r="K134" s="26">
        <v>-401325.4</v>
      </c>
      <c r="L134" s="26"/>
      <c r="M134" s="27">
        <f t="shared" si="9"/>
        <v>-5543776.7100000009</v>
      </c>
      <c r="N134" s="30">
        <f t="shared" si="10"/>
        <v>6808459.9799999986</v>
      </c>
    </row>
    <row r="135" spans="1:14" ht="15">
      <c r="A135" s="24">
        <v>47</v>
      </c>
      <c r="B135" s="24">
        <v>1835</v>
      </c>
      <c r="C135" s="33" t="s">
        <v>26</v>
      </c>
      <c r="D135" s="26">
        <f t="shared" ref="D135:D157" si="11">G84</f>
        <v>13278707.399999999</v>
      </c>
      <c r="E135" s="26">
        <v>676434.92</v>
      </c>
      <c r="F135" s="26"/>
      <c r="G135" s="27">
        <f t="shared" si="8"/>
        <v>13955142.319999998</v>
      </c>
      <c r="H135" s="28"/>
      <c r="I135" s="29">
        <f t="shared" ref="I135:I157" si="12">M84</f>
        <v>-5883517.71</v>
      </c>
      <c r="J135" s="29"/>
      <c r="K135" s="26">
        <v>-533753.69999999995</v>
      </c>
      <c r="L135" s="26"/>
      <c r="M135" s="27">
        <f t="shared" si="9"/>
        <v>-6417271.4100000001</v>
      </c>
      <c r="N135" s="30">
        <f t="shared" si="10"/>
        <v>7537870.9099999983</v>
      </c>
    </row>
    <row r="136" spans="1:14" ht="15">
      <c r="A136" s="24">
        <v>47</v>
      </c>
      <c r="B136" s="24">
        <v>1840</v>
      </c>
      <c r="C136" s="33" t="s">
        <v>27</v>
      </c>
      <c r="D136" s="26">
        <f t="shared" si="11"/>
        <v>6879651.9299999997</v>
      </c>
      <c r="E136" s="26">
        <v>58596.29</v>
      </c>
      <c r="F136" s="26"/>
      <c r="G136" s="27">
        <f t="shared" si="8"/>
        <v>6938248.2199999997</v>
      </c>
      <c r="H136" s="28"/>
      <c r="I136" s="29">
        <f t="shared" si="12"/>
        <v>-4110481.02</v>
      </c>
      <c r="J136" s="29"/>
      <c r="K136" s="26">
        <v>-224665.49</v>
      </c>
      <c r="L136" s="26"/>
      <c r="M136" s="27">
        <f t="shared" si="9"/>
        <v>-4335146.51</v>
      </c>
      <c r="N136" s="30">
        <f t="shared" si="10"/>
        <v>2603101.71</v>
      </c>
    </row>
    <row r="137" spans="1:14" ht="15">
      <c r="A137" s="24">
        <v>47</v>
      </c>
      <c r="B137" s="24">
        <v>1845</v>
      </c>
      <c r="C137" s="33" t="s">
        <v>28</v>
      </c>
      <c r="D137" s="26">
        <f t="shared" si="11"/>
        <v>16475530.190000001</v>
      </c>
      <c r="E137" s="26">
        <f>310539+261484</f>
        <v>572023</v>
      </c>
      <c r="F137" s="26"/>
      <c r="G137" s="27">
        <f t="shared" si="8"/>
        <v>17047553.190000001</v>
      </c>
      <c r="H137" s="28"/>
      <c r="I137" s="29">
        <f t="shared" si="12"/>
        <v>-10798107.460000001</v>
      </c>
      <c r="J137" s="29"/>
      <c r="K137" s="26">
        <v>-532637</v>
      </c>
      <c r="L137" s="26"/>
      <c r="M137" s="27">
        <f t="shared" si="9"/>
        <v>-11330744.460000001</v>
      </c>
      <c r="N137" s="30">
        <f t="shared" si="10"/>
        <v>5716808.7300000004</v>
      </c>
    </row>
    <row r="138" spans="1:14" ht="15">
      <c r="A138" s="24">
        <v>47</v>
      </c>
      <c r="B138" s="24">
        <v>1850</v>
      </c>
      <c r="C138" s="33" t="s">
        <v>29</v>
      </c>
      <c r="D138" s="26">
        <f t="shared" si="11"/>
        <v>15107860.01</v>
      </c>
      <c r="E138" s="26">
        <v>236383.15</v>
      </c>
      <c r="F138" s="26"/>
      <c r="G138" s="27">
        <f t="shared" si="8"/>
        <v>15344243.16</v>
      </c>
      <c r="H138" s="28"/>
      <c r="I138" s="29">
        <f t="shared" si="12"/>
        <v>-9041990.5600000005</v>
      </c>
      <c r="J138" s="29"/>
      <c r="K138" s="26">
        <v>-445471.18</v>
      </c>
      <c r="L138" s="26"/>
      <c r="M138" s="27">
        <f t="shared" si="9"/>
        <v>-9487461.7400000002</v>
      </c>
      <c r="N138" s="30">
        <f t="shared" si="10"/>
        <v>5856781.4199999999</v>
      </c>
    </row>
    <row r="139" spans="1:14" ht="15">
      <c r="A139" s="24">
        <v>47</v>
      </c>
      <c r="B139" s="24">
        <v>1855</v>
      </c>
      <c r="C139" s="33" t="s">
        <v>30</v>
      </c>
      <c r="D139" s="26">
        <f t="shared" si="11"/>
        <v>5012423.4700000007</v>
      </c>
      <c r="E139" s="26">
        <v>201416.84</v>
      </c>
      <c r="F139" s="26"/>
      <c r="G139" s="27">
        <f t="shared" si="8"/>
        <v>5213840.3100000005</v>
      </c>
      <c r="H139" s="28"/>
      <c r="I139" s="29">
        <f t="shared" si="12"/>
        <v>-2845965.98</v>
      </c>
      <c r="J139" s="29"/>
      <c r="K139" s="26">
        <v>-174146.55</v>
      </c>
      <c r="L139" s="26"/>
      <c r="M139" s="27">
        <f t="shared" si="9"/>
        <v>-3020112.53</v>
      </c>
      <c r="N139" s="30">
        <f t="shared" si="10"/>
        <v>2193727.7800000007</v>
      </c>
    </row>
    <row r="140" spans="1:14" ht="15">
      <c r="A140" s="24">
        <v>47</v>
      </c>
      <c r="B140" s="24">
        <v>1860</v>
      </c>
      <c r="C140" s="33" t="s">
        <v>31</v>
      </c>
      <c r="D140" s="26">
        <f t="shared" si="11"/>
        <v>3886441.4299999997</v>
      </c>
      <c r="E140" s="26">
        <f>145790+3488799</f>
        <v>3634589</v>
      </c>
      <c r="F140" s="26"/>
      <c r="G140" s="27">
        <f t="shared" si="8"/>
        <v>7521030.4299999997</v>
      </c>
      <c r="H140" s="28"/>
      <c r="I140" s="29">
        <f t="shared" si="12"/>
        <v>-2481756.7999999998</v>
      </c>
      <c r="J140" s="29"/>
      <c r="K140" s="26">
        <f>-126290-568721</f>
        <v>-695011</v>
      </c>
      <c r="L140" s="26"/>
      <c r="M140" s="27">
        <f t="shared" si="9"/>
        <v>-3176767.8</v>
      </c>
      <c r="N140" s="30">
        <f t="shared" si="10"/>
        <v>4344262.63</v>
      </c>
    </row>
    <row r="141" spans="1:14" ht="15">
      <c r="A141" s="31">
        <v>47</v>
      </c>
      <c r="B141" s="31">
        <v>1890</v>
      </c>
      <c r="C141" s="32" t="s">
        <v>32</v>
      </c>
      <c r="D141" s="26">
        <f t="shared" si="11"/>
        <v>422346.32000000007</v>
      </c>
      <c r="E141" s="26">
        <v>66863</v>
      </c>
      <c r="F141" s="26"/>
      <c r="G141" s="27">
        <f t="shared" si="8"/>
        <v>489209.32000000007</v>
      </c>
      <c r="H141" s="28"/>
      <c r="I141" s="29">
        <f t="shared" si="12"/>
        <v>0</v>
      </c>
      <c r="J141" s="29"/>
      <c r="K141" s="26"/>
      <c r="L141" s="26"/>
      <c r="M141" s="27">
        <f t="shared" si="9"/>
        <v>0</v>
      </c>
      <c r="N141" s="30">
        <f t="shared" si="10"/>
        <v>489209.32000000007</v>
      </c>
    </row>
    <row r="142" spans="1:14" ht="15">
      <c r="A142" s="31" t="s">
        <v>20</v>
      </c>
      <c r="B142" s="31">
        <v>1905</v>
      </c>
      <c r="C142" s="32" t="s">
        <v>21</v>
      </c>
      <c r="D142" s="26">
        <f t="shared" si="11"/>
        <v>17041.330000000002</v>
      </c>
      <c r="E142" s="26"/>
      <c r="F142" s="26"/>
      <c r="G142" s="27">
        <f t="shared" si="8"/>
        <v>17041.330000000002</v>
      </c>
      <c r="H142" s="28"/>
      <c r="I142" s="29">
        <f t="shared" si="12"/>
        <v>-17041.330000000002</v>
      </c>
      <c r="J142" s="29"/>
      <c r="K142" s="26"/>
      <c r="L142" s="26"/>
      <c r="M142" s="27">
        <f t="shared" si="9"/>
        <v>-17041.330000000002</v>
      </c>
      <c r="N142" s="30">
        <f t="shared" si="10"/>
        <v>0</v>
      </c>
    </row>
    <row r="143" spans="1:14" ht="15">
      <c r="A143" s="24">
        <v>47</v>
      </c>
      <c r="B143" s="24">
        <v>1908</v>
      </c>
      <c r="C143" s="33" t="s">
        <v>33</v>
      </c>
      <c r="D143" s="26">
        <f t="shared" si="11"/>
        <v>491727.07999999996</v>
      </c>
      <c r="E143" s="26">
        <f>12886+27578</f>
        <v>40464</v>
      </c>
      <c r="F143" s="26"/>
      <c r="G143" s="27">
        <f t="shared" si="8"/>
        <v>532191.07999999996</v>
      </c>
      <c r="H143" s="28"/>
      <c r="I143" s="29">
        <f t="shared" si="12"/>
        <v>-82176.76999999999</v>
      </c>
      <c r="J143" s="29"/>
      <c r="K143" s="26">
        <f>-16379-2058</f>
        <v>-18437</v>
      </c>
      <c r="L143" s="26"/>
      <c r="M143" s="27">
        <f t="shared" si="9"/>
        <v>-100613.76999999999</v>
      </c>
      <c r="N143" s="30">
        <f t="shared" si="10"/>
        <v>431577.30999999994</v>
      </c>
    </row>
    <row r="144" spans="1:14" ht="15">
      <c r="A144" s="24">
        <v>13</v>
      </c>
      <c r="B144" s="24">
        <v>1910</v>
      </c>
      <c r="C144" s="33" t="s">
        <v>34</v>
      </c>
      <c r="D144" s="26">
        <f t="shared" si="11"/>
        <v>21798.12</v>
      </c>
      <c r="E144" s="26"/>
      <c r="F144" s="26"/>
      <c r="G144" s="27">
        <f t="shared" si="8"/>
        <v>21798.12</v>
      </c>
      <c r="H144" s="28"/>
      <c r="I144" s="29">
        <f t="shared" si="12"/>
        <v>-21798.12</v>
      </c>
      <c r="J144" s="29"/>
      <c r="K144" s="26"/>
      <c r="L144" s="26"/>
      <c r="M144" s="27">
        <f t="shared" si="9"/>
        <v>-21798.12</v>
      </c>
      <c r="N144" s="30">
        <f t="shared" si="10"/>
        <v>0</v>
      </c>
    </row>
    <row r="145" spans="1:14" ht="15">
      <c r="A145" s="24">
        <v>8</v>
      </c>
      <c r="B145" s="24">
        <v>1915</v>
      </c>
      <c r="C145" s="33" t="s">
        <v>35</v>
      </c>
      <c r="D145" s="26">
        <f t="shared" si="11"/>
        <v>379023.75</v>
      </c>
      <c r="E145" s="26">
        <v>2545.4</v>
      </c>
      <c r="F145" s="26"/>
      <c r="G145" s="27">
        <f t="shared" si="8"/>
        <v>381569.15</v>
      </c>
      <c r="H145" s="28"/>
      <c r="I145" s="29">
        <f t="shared" si="12"/>
        <v>-337783.3</v>
      </c>
      <c r="J145" s="29"/>
      <c r="K145" s="26">
        <v>-5516.46</v>
      </c>
      <c r="L145" s="26"/>
      <c r="M145" s="27">
        <f t="shared" si="9"/>
        <v>-343299.76</v>
      </c>
      <c r="N145" s="30">
        <f t="shared" si="10"/>
        <v>38269.390000000014</v>
      </c>
    </row>
    <row r="146" spans="1:14" ht="15">
      <c r="A146" s="24">
        <v>10</v>
      </c>
      <c r="B146" s="24">
        <v>1920</v>
      </c>
      <c r="C146" s="33" t="s">
        <v>36</v>
      </c>
      <c r="D146" s="26">
        <f t="shared" si="11"/>
        <v>540191.49000000011</v>
      </c>
      <c r="E146" s="26"/>
      <c r="F146" s="26"/>
      <c r="G146" s="27">
        <f t="shared" si="8"/>
        <v>540191.49000000011</v>
      </c>
      <c r="H146" s="28"/>
      <c r="I146" s="29">
        <f t="shared" si="12"/>
        <v>-540191.49</v>
      </c>
      <c r="J146" s="29"/>
      <c r="K146" s="26"/>
      <c r="L146" s="26"/>
      <c r="M146" s="27">
        <f t="shared" si="9"/>
        <v>-540191.49</v>
      </c>
      <c r="N146" s="30">
        <f t="shared" si="10"/>
        <v>0</v>
      </c>
    </row>
    <row r="147" spans="1:14" ht="15">
      <c r="A147" s="24">
        <v>45</v>
      </c>
      <c r="B147" s="34">
        <v>1920</v>
      </c>
      <c r="C147" s="25" t="s">
        <v>37</v>
      </c>
      <c r="D147" s="26">
        <f t="shared" si="11"/>
        <v>75673.850000000006</v>
      </c>
      <c r="E147" s="26"/>
      <c r="F147" s="26"/>
      <c r="G147" s="27">
        <f t="shared" si="8"/>
        <v>75673.850000000006</v>
      </c>
      <c r="H147" s="28"/>
      <c r="I147" s="29">
        <f t="shared" si="12"/>
        <v>-75673.850000000006</v>
      </c>
      <c r="J147" s="29"/>
      <c r="K147" s="26"/>
      <c r="L147" s="26"/>
      <c r="M147" s="27">
        <f t="shared" si="9"/>
        <v>-75673.850000000006</v>
      </c>
      <c r="N147" s="30">
        <f t="shared" si="10"/>
        <v>0</v>
      </c>
    </row>
    <row r="148" spans="1:14" ht="15">
      <c r="A148" s="24">
        <v>45.1</v>
      </c>
      <c r="B148" s="34">
        <v>1920</v>
      </c>
      <c r="C148" s="25" t="s">
        <v>38</v>
      </c>
      <c r="D148" s="26">
        <f t="shared" si="11"/>
        <v>358329.55000000005</v>
      </c>
      <c r="E148" s="26">
        <v>125752.45</v>
      </c>
      <c r="F148" s="26"/>
      <c r="G148" s="27">
        <f t="shared" si="8"/>
        <v>484082.00000000006</v>
      </c>
      <c r="H148" s="28"/>
      <c r="I148" s="29">
        <f t="shared" si="12"/>
        <v>-304282.26</v>
      </c>
      <c r="J148" s="29"/>
      <c r="K148" s="26">
        <f>-24874.41-27557.89-4114.15</f>
        <v>-56546.450000000004</v>
      </c>
      <c r="L148" s="26"/>
      <c r="M148" s="27">
        <f t="shared" si="9"/>
        <v>-360828.71</v>
      </c>
      <c r="N148" s="30">
        <f t="shared" si="10"/>
        <v>123253.29000000004</v>
      </c>
    </row>
    <row r="149" spans="1:14" ht="15">
      <c r="A149" s="24">
        <v>10</v>
      </c>
      <c r="B149" s="24">
        <v>1930</v>
      </c>
      <c r="C149" s="33" t="s">
        <v>39</v>
      </c>
      <c r="D149" s="26">
        <f t="shared" si="11"/>
        <v>2833995.41</v>
      </c>
      <c r="E149" s="26">
        <f>323233+26343</f>
        <v>349576</v>
      </c>
      <c r="F149" s="26">
        <v>-127201.2</v>
      </c>
      <c r="G149" s="27">
        <f t="shared" si="8"/>
        <v>3056370.21</v>
      </c>
      <c r="H149" s="28"/>
      <c r="I149" s="29">
        <f t="shared" si="12"/>
        <v>-1915966.85</v>
      </c>
      <c r="J149" s="29"/>
      <c r="K149" s="26">
        <v>-283963.31</v>
      </c>
      <c r="L149" s="26">
        <v>127201.2</v>
      </c>
      <c r="M149" s="27">
        <f t="shared" si="9"/>
        <v>-2072728.9600000002</v>
      </c>
      <c r="N149" s="30">
        <f t="shared" si="10"/>
        <v>983641.24999999977</v>
      </c>
    </row>
    <row r="150" spans="1:14" ht="15">
      <c r="A150" s="24">
        <v>8</v>
      </c>
      <c r="B150" s="24">
        <v>1935</v>
      </c>
      <c r="C150" s="33" t="s">
        <v>40</v>
      </c>
      <c r="D150" s="26">
        <f t="shared" si="11"/>
        <v>36199.29</v>
      </c>
      <c r="E150" s="26"/>
      <c r="F150" s="26"/>
      <c r="G150" s="27">
        <f t="shared" si="8"/>
        <v>36199.29</v>
      </c>
      <c r="H150" s="28"/>
      <c r="I150" s="29">
        <f t="shared" si="12"/>
        <v>-36199.29</v>
      </c>
      <c r="J150" s="29"/>
      <c r="K150" s="26"/>
      <c r="L150" s="26"/>
      <c r="M150" s="27">
        <f t="shared" si="9"/>
        <v>-36199.29</v>
      </c>
      <c r="N150" s="30">
        <f t="shared" si="10"/>
        <v>0</v>
      </c>
    </row>
    <row r="151" spans="1:14" ht="15">
      <c r="A151" s="24">
        <v>8</v>
      </c>
      <c r="B151" s="24">
        <v>1940</v>
      </c>
      <c r="C151" s="33" t="s">
        <v>41</v>
      </c>
      <c r="D151" s="26">
        <f t="shared" si="11"/>
        <v>782930</v>
      </c>
      <c r="E151" s="26">
        <v>22850.91</v>
      </c>
      <c r="F151" s="26"/>
      <c r="G151" s="27">
        <f t="shared" si="8"/>
        <v>805780.91</v>
      </c>
      <c r="H151" s="28"/>
      <c r="I151" s="29">
        <f t="shared" si="12"/>
        <v>-634895.81000000006</v>
      </c>
      <c r="J151" s="29"/>
      <c r="K151" s="26">
        <v>-29605.3</v>
      </c>
      <c r="L151" s="26"/>
      <c r="M151" s="27">
        <f t="shared" si="9"/>
        <v>-664501.1100000001</v>
      </c>
      <c r="N151" s="30">
        <f t="shared" si="10"/>
        <v>141279.79999999993</v>
      </c>
    </row>
    <row r="152" spans="1:14" ht="15">
      <c r="A152" s="24">
        <v>8</v>
      </c>
      <c r="B152" s="24">
        <v>1945</v>
      </c>
      <c r="C152" s="33" t="s">
        <v>42</v>
      </c>
      <c r="D152" s="26">
        <f t="shared" si="11"/>
        <v>39169.78</v>
      </c>
      <c r="E152" s="26"/>
      <c r="F152" s="26"/>
      <c r="G152" s="27">
        <f t="shared" si="8"/>
        <v>39169.78</v>
      </c>
      <c r="H152" s="28"/>
      <c r="I152" s="29">
        <f t="shared" si="12"/>
        <v>-23071.5</v>
      </c>
      <c r="J152" s="29"/>
      <c r="K152" s="26">
        <v>-3219.66</v>
      </c>
      <c r="L152" s="26"/>
      <c r="M152" s="27">
        <f t="shared" si="9"/>
        <v>-26291.16</v>
      </c>
      <c r="N152" s="30">
        <f t="shared" si="10"/>
        <v>12878.619999999999</v>
      </c>
    </row>
    <row r="153" spans="1:14" ht="15">
      <c r="A153" s="24">
        <v>8</v>
      </c>
      <c r="B153" s="24">
        <v>1955</v>
      </c>
      <c r="C153" s="33" t="s">
        <v>43</v>
      </c>
      <c r="D153" s="26">
        <f t="shared" si="11"/>
        <v>106527.86</v>
      </c>
      <c r="E153" s="26"/>
      <c r="F153" s="26"/>
      <c r="G153" s="27">
        <f t="shared" si="8"/>
        <v>106527.86</v>
      </c>
      <c r="H153" s="28"/>
      <c r="I153" s="29">
        <f t="shared" si="12"/>
        <v>-105497.63</v>
      </c>
      <c r="J153" s="29"/>
      <c r="K153" s="26">
        <v>-368.67</v>
      </c>
      <c r="L153" s="26"/>
      <c r="M153" s="27">
        <f t="shared" si="9"/>
        <v>-105866.3</v>
      </c>
      <c r="N153" s="30">
        <f t="shared" si="10"/>
        <v>661.55999999999767</v>
      </c>
    </row>
    <row r="154" spans="1:14" ht="15">
      <c r="A154" s="34">
        <v>8</v>
      </c>
      <c r="B154" s="34">
        <v>1960</v>
      </c>
      <c r="C154" s="25" t="s">
        <v>44</v>
      </c>
      <c r="D154" s="26">
        <f t="shared" si="11"/>
        <v>7842.42</v>
      </c>
      <c r="E154" s="26"/>
      <c r="F154" s="26"/>
      <c r="G154" s="27">
        <f t="shared" si="8"/>
        <v>7842.42</v>
      </c>
      <c r="H154" s="28"/>
      <c r="I154" s="29">
        <f t="shared" si="12"/>
        <v>-3136.9799999999996</v>
      </c>
      <c r="J154" s="29"/>
      <c r="K154" s="26">
        <v>-784.24</v>
      </c>
      <c r="L154" s="26"/>
      <c r="M154" s="27">
        <f t="shared" si="9"/>
        <v>-3921.2199999999993</v>
      </c>
      <c r="N154" s="30">
        <f t="shared" si="10"/>
        <v>3921.2000000000007</v>
      </c>
    </row>
    <row r="155" spans="1:14" ht="15">
      <c r="A155" s="1">
        <v>47</v>
      </c>
      <c r="B155" s="34">
        <v>1970</v>
      </c>
      <c r="C155" s="33" t="s">
        <v>45</v>
      </c>
      <c r="D155" s="26">
        <f t="shared" si="11"/>
        <v>245119.26</v>
      </c>
      <c r="E155" s="26"/>
      <c r="F155" s="26"/>
      <c r="G155" s="27">
        <f t="shared" si="8"/>
        <v>245119.26</v>
      </c>
      <c r="H155" s="28"/>
      <c r="I155" s="29">
        <f t="shared" si="12"/>
        <v>-152160.22</v>
      </c>
      <c r="J155" s="29"/>
      <c r="K155" s="26">
        <v>-24511.919999999998</v>
      </c>
      <c r="L155" s="26"/>
      <c r="M155" s="27">
        <f t="shared" si="9"/>
        <v>-176672.14</v>
      </c>
      <c r="N155" s="30">
        <f t="shared" si="10"/>
        <v>68447.12</v>
      </c>
    </row>
    <row r="156" spans="1:14" ht="15">
      <c r="A156" s="24">
        <v>47</v>
      </c>
      <c r="B156" s="24">
        <v>1980</v>
      </c>
      <c r="C156" s="33" t="s">
        <v>46</v>
      </c>
      <c r="D156" s="26">
        <f t="shared" si="11"/>
        <v>322664.45</v>
      </c>
      <c r="E156" s="26">
        <v>30839.26</v>
      </c>
      <c r="F156" s="26"/>
      <c r="G156" s="27">
        <f t="shared" si="8"/>
        <v>353503.71</v>
      </c>
      <c r="H156" s="28"/>
      <c r="I156" s="29">
        <f t="shared" si="12"/>
        <v>-219419.38</v>
      </c>
      <c r="J156" s="29"/>
      <c r="K156" s="26">
        <v>-33808.33</v>
      </c>
      <c r="L156" s="26"/>
      <c r="M156" s="27">
        <f t="shared" si="9"/>
        <v>-253227.71000000002</v>
      </c>
      <c r="N156" s="30">
        <f t="shared" si="10"/>
        <v>100276</v>
      </c>
    </row>
    <row r="157" spans="1:14" ht="15">
      <c r="A157" s="24">
        <v>47</v>
      </c>
      <c r="B157" s="24">
        <v>1995</v>
      </c>
      <c r="C157" s="33" t="s">
        <v>47</v>
      </c>
      <c r="D157" s="26">
        <f t="shared" si="11"/>
        <v>-4405061.1300000008</v>
      </c>
      <c r="E157" s="26">
        <v>-342653.54</v>
      </c>
      <c r="F157" s="26"/>
      <c r="G157" s="27">
        <f t="shared" si="8"/>
        <v>-4747714.6700000009</v>
      </c>
      <c r="H157" s="28"/>
      <c r="I157" s="29">
        <f t="shared" si="12"/>
        <v>1116431.1599999999</v>
      </c>
      <c r="J157" s="29"/>
      <c r="K157" s="26">
        <v>183055.54</v>
      </c>
      <c r="L157" s="26"/>
      <c r="M157" s="27">
        <f t="shared" si="9"/>
        <v>1299486.7</v>
      </c>
      <c r="N157" s="30">
        <f t="shared" si="10"/>
        <v>-3448227.9700000007</v>
      </c>
    </row>
    <row r="158" spans="1:14" ht="15">
      <c r="A158" s="24">
        <v>14</v>
      </c>
      <c r="B158" s="24">
        <v>1609</v>
      </c>
      <c r="C158" s="33" t="s">
        <v>61</v>
      </c>
      <c r="D158" s="26">
        <v>0</v>
      </c>
      <c r="E158" s="26">
        <v>535630</v>
      </c>
      <c r="F158" s="26"/>
      <c r="G158" s="27">
        <f t="shared" si="8"/>
        <v>535630</v>
      </c>
      <c r="I158" s="29">
        <v>0</v>
      </c>
      <c r="J158" s="29"/>
      <c r="K158" s="26"/>
      <c r="L158" s="26"/>
      <c r="M158" s="27">
        <f>I158+K158+L158</f>
        <v>0</v>
      </c>
      <c r="N158" s="30">
        <f>G158+M158</f>
        <v>535630</v>
      </c>
    </row>
    <row r="159" spans="1:14" ht="15">
      <c r="A159" s="35">
        <v>43.2</v>
      </c>
      <c r="B159" s="35">
        <v>2075</v>
      </c>
      <c r="C159" s="36" t="s">
        <v>48</v>
      </c>
      <c r="D159" s="26">
        <f>G107</f>
        <v>294688.49</v>
      </c>
      <c r="E159" s="26"/>
      <c r="F159" s="26"/>
      <c r="G159" s="27">
        <f t="shared" si="8"/>
        <v>294688.49</v>
      </c>
      <c r="I159" s="29">
        <f>M107</f>
        <v>-7367.21</v>
      </c>
      <c r="J159" s="29"/>
      <c r="K159" s="26">
        <v>-14734.42</v>
      </c>
      <c r="L159" s="26"/>
      <c r="M159" s="27">
        <f t="shared" si="9"/>
        <v>-22101.63</v>
      </c>
      <c r="N159" s="30">
        <f t="shared" si="10"/>
        <v>272586.86</v>
      </c>
    </row>
    <row r="160" spans="1:14" ht="15">
      <c r="A160" s="35">
        <v>47</v>
      </c>
      <c r="B160" s="35">
        <v>2055</v>
      </c>
      <c r="C160" s="36" t="s">
        <v>62</v>
      </c>
      <c r="D160" s="26">
        <f>G108</f>
        <v>0</v>
      </c>
      <c r="E160" s="26">
        <v>8113559</v>
      </c>
      <c r="F160" s="37"/>
      <c r="G160" s="27">
        <f t="shared" si="8"/>
        <v>8113559</v>
      </c>
      <c r="I160" s="29">
        <f>M108</f>
        <v>0</v>
      </c>
      <c r="J160" s="29"/>
      <c r="K160" s="37"/>
      <c r="L160" s="37"/>
      <c r="M160" s="27">
        <f t="shared" si="9"/>
        <v>0</v>
      </c>
      <c r="N160" s="30">
        <f t="shared" si="10"/>
        <v>8113559</v>
      </c>
    </row>
    <row r="161" spans="1:14">
      <c r="A161" s="35"/>
      <c r="B161" s="35"/>
      <c r="C161" s="38" t="s">
        <v>49</v>
      </c>
      <c r="D161" s="39">
        <f>SUM(D129:D160)</f>
        <v>80200025.729999989</v>
      </c>
      <c r="E161" s="39">
        <f>SUM(E129:E160)</f>
        <v>15076493.609999999</v>
      </c>
      <c r="F161" s="39">
        <f>SUM(F129:F160)</f>
        <v>-127201.2</v>
      </c>
      <c r="G161" s="39">
        <f>SUM(G129:G160)</f>
        <v>95149318.139999971</v>
      </c>
      <c r="H161" s="39"/>
      <c r="I161" s="39">
        <f>SUM(I129:I160)</f>
        <v>-46591588.660000004</v>
      </c>
      <c r="J161" s="39"/>
      <c r="K161" s="39">
        <f>SUM(K129:K160)</f>
        <v>-3457023.23</v>
      </c>
      <c r="L161" s="39">
        <f>SUM(L129:L160)</f>
        <v>127201.2</v>
      </c>
      <c r="M161" s="39">
        <f>SUM(M129:M160)</f>
        <v>-49921410.689999998</v>
      </c>
      <c r="N161" s="39">
        <f>SUM(N129:N160)</f>
        <v>45227907.450000003</v>
      </c>
    </row>
    <row r="162" spans="1:14" ht="25.5">
      <c r="A162" s="35"/>
      <c r="B162" s="35"/>
      <c r="C162" s="40" t="s">
        <v>50</v>
      </c>
      <c r="D162" s="37"/>
      <c r="E162" s="37"/>
      <c r="F162" s="37"/>
      <c r="G162" s="27">
        <f>D162+E162+F162</f>
        <v>0</v>
      </c>
      <c r="I162" s="37"/>
      <c r="J162" s="37"/>
      <c r="K162" s="37"/>
      <c r="L162" s="37"/>
      <c r="M162" s="27">
        <f>I162+K162+L162</f>
        <v>0</v>
      </c>
      <c r="N162" s="30">
        <f>G162+M162</f>
        <v>0</v>
      </c>
    </row>
    <row r="163" spans="1:14" ht="24.75">
      <c r="A163" s="35"/>
      <c r="B163" s="35"/>
      <c r="C163" s="41" t="s">
        <v>51</v>
      </c>
      <c r="D163" s="42">
        <f>G111</f>
        <v>-1486870.31</v>
      </c>
      <c r="E163" s="42">
        <f>-E160-E158-E130-E132</f>
        <v>-8366293</v>
      </c>
      <c r="F163" s="37"/>
      <c r="G163" s="27">
        <f>D163+E163+F163</f>
        <v>-9853163.3100000005</v>
      </c>
      <c r="I163" s="42">
        <f>-I159</f>
        <v>7367.21</v>
      </c>
      <c r="J163" s="42"/>
      <c r="K163" s="42">
        <f>-K159</f>
        <v>14734.42</v>
      </c>
      <c r="L163" s="37"/>
      <c r="M163" s="27">
        <f>I163+K163+L163</f>
        <v>22101.63</v>
      </c>
      <c r="N163" s="30">
        <f>G163+M163</f>
        <v>-9831061.6799999997</v>
      </c>
    </row>
    <row r="164" spans="1:14">
      <c r="A164" s="35"/>
      <c r="B164" s="35"/>
      <c r="C164" s="38" t="s">
        <v>52</v>
      </c>
      <c r="D164" s="39">
        <f>SUM(D161:D163)</f>
        <v>78713155.419999987</v>
      </c>
      <c r="E164" s="39">
        <f>SUM(E161:E163)</f>
        <v>6710200.6099999994</v>
      </c>
      <c r="F164" s="39">
        <f>SUM(F161:F163)</f>
        <v>-127201.2</v>
      </c>
      <c r="G164" s="39">
        <f>SUM(G161:G163)</f>
        <v>85296154.829999968</v>
      </c>
      <c r="H164" s="39"/>
      <c r="I164" s="39">
        <f>SUM(I161:I163)</f>
        <v>-46584221.450000003</v>
      </c>
      <c r="J164" s="39"/>
      <c r="K164" s="39">
        <f>SUM(K161:K163)</f>
        <v>-3442288.81</v>
      </c>
      <c r="L164" s="39">
        <f>SUM(L161:L163)</f>
        <v>127201.2</v>
      </c>
      <c r="M164" s="39">
        <f>SUM(M161:M163)</f>
        <v>-49899309.059999995</v>
      </c>
      <c r="N164" s="39">
        <f>SUM(N161:N163)</f>
        <v>35396845.770000003</v>
      </c>
    </row>
    <row r="166" spans="1:14">
      <c r="I166" s="43" t="s">
        <v>53</v>
      </c>
      <c r="J166" s="43"/>
      <c r="K166" s="44"/>
    </row>
    <row r="167" spans="1:14" ht="15">
      <c r="A167" s="35">
        <v>10</v>
      </c>
      <c r="B167" s="35"/>
      <c r="C167" s="36" t="s">
        <v>54</v>
      </c>
      <c r="I167" s="44" t="s">
        <v>54</v>
      </c>
      <c r="J167" s="44"/>
      <c r="K167" s="44"/>
      <c r="L167" s="45">
        <v>-317941</v>
      </c>
    </row>
    <row r="168" spans="1:14" ht="15">
      <c r="A168" s="35">
        <v>8</v>
      </c>
      <c r="B168" s="35"/>
      <c r="C168" s="36" t="s">
        <v>40</v>
      </c>
      <c r="I168" s="44" t="s">
        <v>40</v>
      </c>
      <c r="J168" s="44"/>
      <c r="K168" s="44"/>
      <c r="L168" s="46"/>
    </row>
    <row r="169" spans="1:14" ht="15">
      <c r="I169" s="47" t="s">
        <v>55</v>
      </c>
      <c r="J169" s="47"/>
      <c r="L169" s="48">
        <f>K164-L167-L168</f>
        <v>-3124347.81</v>
      </c>
    </row>
    <row r="170" spans="1:14" ht="18" hidden="1">
      <c r="A170" s="145" t="s">
        <v>6</v>
      </c>
      <c r="B170" s="145"/>
      <c r="C170" s="145"/>
      <c r="D170" s="145"/>
      <c r="E170" s="145"/>
      <c r="F170" s="145"/>
      <c r="G170" s="145"/>
      <c r="H170" s="145"/>
      <c r="I170" s="145"/>
      <c r="J170" s="145"/>
      <c r="K170" s="145"/>
      <c r="L170" s="145"/>
      <c r="M170" s="145"/>
      <c r="N170" s="145"/>
    </row>
    <row r="171" spans="1:14" ht="18" hidden="1">
      <c r="A171" s="145" t="s">
        <v>7</v>
      </c>
      <c r="B171" s="145"/>
      <c r="C171" s="145"/>
      <c r="D171" s="145"/>
      <c r="E171" s="145"/>
      <c r="F171" s="145"/>
      <c r="G171" s="145"/>
      <c r="H171" s="145"/>
      <c r="I171" s="145"/>
      <c r="J171" s="145"/>
      <c r="K171" s="145"/>
      <c r="L171" s="145"/>
      <c r="M171" s="145"/>
      <c r="N171" s="145"/>
    </row>
    <row r="172" spans="1:14" hidden="1">
      <c r="A172" s="52"/>
      <c r="B172" s="52"/>
      <c r="C172" s="53"/>
      <c r="D172" s="53"/>
      <c r="E172" s="53"/>
      <c r="F172" s="53"/>
      <c r="G172" s="53"/>
      <c r="H172" s="54"/>
      <c r="I172" s="53"/>
      <c r="J172" s="53"/>
      <c r="K172" s="53"/>
      <c r="L172" s="53"/>
      <c r="M172" s="53"/>
      <c r="N172" s="53"/>
    </row>
    <row r="173" spans="1:14" ht="15" hidden="1">
      <c r="A173" s="52"/>
      <c r="B173" s="52"/>
      <c r="C173" s="55"/>
      <c r="D173" s="53"/>
      <c r="E173" s="56" t="s">
        <v>8</v>
      </c>
      <c r="F173" s="57">
        <v>2013</v>
      </c>
      <c r="G173" s="58"/>
      <c r="H173" s="54"/>
      <c r="I173" s="53"/>
      <c r="J173" s="53"/>
      <c r="K173" s="53"/>
      <c r="L173" s="53"/>
      <c r="M173" s="53"/>
      <c r="N173" s="53"/>
    </row>
    <row r="174" spans="1:14" hidden="1">
      <c r="A174" s="52"/>
      <c r="B174" s="52"/>
      <c r="C174" s="53"/>
      <c r="D174" s="53"/>
      <c r="E174" s="53"/>
      <c r="F174" s="53"/>
      <c r="G174" s="53"/>
      <c r="H174" s="54"/>
      <c r="I174" s="53"/>
      <c r="J174" s="53"/>
      <c r="K174" s="53"/>
      <c r="L174" s="53"/>
      <c r="M174" s="53"/>
      <c r="N174" s="53"/>
    </row>
    <row r="175" spans="1:14" hidden="1">
      <c r="A175" s="52"/>
      <c r="B175" s="52"/>
      <c r="C175" s="53"/>
      <c r="D175" s="131" t="s">
        <v>9</v>
      </c>
      <c r="E175" s="132"/>
      <c r="F175" s="132"/>
      <c r="G175" s="133"/>
      <c r="H175" s="54"/>
      <c r="I175" s="59"/>
      <c r="J175" s="126"/>
      <c r="K175" s="60" t="s">
        <v>10</v>
      </c>
      <c r="L175" s="60"/>
      <c r="M175" s="61"/>
      <c r="N175" s="54"/>
    </row>
    <row r="176" spans="1:14" ht="25.5" hidden="1">
      <c r="A176" s="62" t="s">
        <v>11</v>
      </c>
      <c r="B176" s="63" t="s">
        <v>12</v>
      </c>
      <c r="C176" s="64" t="s">
        <v>13</v>
      </c>
      <c r="D176" s="62" t="s">
        <v>14</v>
      </c>
      <c r="E176" s="63" t="s">
        <v>15</v>
      </c>
      <c r="F176" s="63" t="s">
        <v>16</v>
      </c>
      <c r="G176" s="62" t="s">
        <v>17</v>
      </c>
      <c r="H176" s="65"/>
      <c r="I176" s="66" t="s">
        <v>14</v>
      </c>
      <c r="J176" s="66"/>
      <c r="K176" s="67" t="s">
        <v>15</v>
      </c>
      <c r="L176" s="67" t="s">
        <v>16</v>
      </c>
      <c r="M176" s="68" t="s">
        <v>17</v>
      </c>
      <c r="N176" s="62" t="s">
        <v>18</v>
      </c>
    </row>
    <row r="177" spans="1:14" ht="25.5" hidden="1">
      <c r="A177" s="69">
        <v>12</v>
      </c>
      <c r="B177" s="69">
        <v>1611</v>
      </c>
      <c r="C177" s="70" t="s">
        <v>19</v>
      </c>
      <c r="D177" s="71">
        <f>G129</f>
        <v>723669.2</v>
      </c>
      <c r="E177" s="71">
        <v>0</v>
      </c>
      <c r="F177" s="71">
        <v>0</v>
      </c>
      <c r="G177" s="71">
        <f>D177+E177+F177</f>
        <v>723669.2</v>
      </c>
      <c r="H177" s="65"/>
      <c r="I177" s="72">
        <f>M129</f>
        <v>-565560.48</v>
      </c>
      <c r="J177" s="72"/>
      <c r="K177" s="71">
        <v>0</v>
      </c>
      <c r="L177" s="71">
        <v>0</v>
      </c>
      <c r="M177" s="71">
        <f>I177+K177+L177</f>
        <v>-565560.48</v>
      </c>
      <c r="N177" s="73">
        <f>G177+M177</f>
        <v>158108.71999999997</v>
      </c>
    </row>
    <row r="178" spans="1:14" ht="15" hidden="1">
      <c r="A178" s="69" t="s">
        <v>63</v>
      </c>
      <c r="B178" s="69">
        <v>1612</v>
      </c>
      <c r="C178" s="70" t="s">
        <v>64</v>
      </c>
      <c r="D178" s="71" t="e">
        <f>#REF!</f>
        <v>#REF!</v>
      </c>
      <c r="E178" s="71">
        <v>0</v>
      </c>
      <c r="F178" s="71">
        <v>0</v>
      </c>
      <c r="G178" s="71" t="e">
        <f t="shared" ref="G178:G237" si="13">D178+E178+F178</f>
        <v>#REF!</v>
      </c>
      <c r="H178" s="65"/>
      <c r="I178" s="72" t="e">
        <f>#REF!</f>
        <v>#REF!</v>
      </c>
      <c r="J178" s="72"/>
      <c r="K178" s="71" t="s">
        <v>10</v>
      </c>
      <c r="L178" s="71">
        <v>0</v>
      </c>
      <c r="M178" s="71" t="e">
        <f t="shared" ref="M178:M237" si="14">I178+K178+L178</f>
        <v>#REF!</v>
      </c>
      <c r="N178" s="73" t="e">
        <f t="shared" ref="N178:N237" si="15">G178+M178</f>
        <v>#REF!</v>
      </c>
    </row>
    <row r="179" spans="1:14" ht="15" hidden="1">
      <c r="A179" s="69" t="s">
        <v>20</v>
      </c>
      <c r="B179" s="69">
        <v>1805</v>
      </c>
      <c r="C179" s="74" t="s">
        <v>21</v>
      </c>
      <c r="D179" s="71">
        <f>G130</f>
        <v>1239823.1500000001</v>
      </c>
      <c r="E179" s="71" t="s">
        <v>15</v>
      </c>
      <c r="F179" s="71" t="s">
        <v>16</v>
      </c>
      <c r="G179" s="71" t="e">
        <f t="shared" si="13"/>
        <v>#VALUE!</v>
      </c>
      <c r="H179" s="65"/>
      <c r="I179" s="72">
        <f>M130</f>
        <v>0</v>
      </c>
      <c r="J179" s="72"/>
      <c r="K179" s="71" t="s">
        <v>15</v>
      </c>
      <c r="L179" s="71" t="s">
        <v>16</v>
      </c>
      <c r="M179" s="71" t="e">
        <f t="shared" si="14"/>
        <v>#VALUE!</v>
      </c>
      <c r="N179" s="73" t="e">
        <f t="shared" si="15"/>
        <v>#VALUE!</v>
      </c>
    </row>
    <row r="180" spans="1:14" ht="15" hidden="1">
      <c r="A180" s="69">
        <v>47</v>
      </c>
      <c r="B180" s="69">
        <v>1808</v>
      </c>
      <c r="C180" s="74" t="s">
        <v>22</v>
      </c>
      <c r="D180" s="71">
        <f>G131</f>
        <v>1679203</v>
      </c>
      <c r="E180" s="71">
        <v>92109.869999999981</v>
      </c>
      <c r="F180" s="71">
        <v>0</v>
      </c>
      <c r="G180" s="71">
        <f t="shared" si="13"/>
        <v>1771312.8699999999</v>
      </c>
      <c r="H180" s="65"/>
      <c r="I180" s="72">
        <f>M131</f>
        <v>-1076163.76</v>
      </c>
      <c r="J180" s="72"/>
      <c r="K180" s="71">
        <v>-63112.478999999992</v>
      </c>
      <c r="L180" s="71">
        <v>0</v>
      </c>
      <c r="M180" s="71">
        <f t="shared" si="14"/>
        <v>-1139276.2390000001</v>
      </c>
      <c r="N180" s="73">
        <f t="shared" si="15"/>
        <v>632036.63099999982</v>
      </c>
    </row>
    <row r="181" spans="1:14" ht="15" hidden="1">
      <c r="A181" s="69">
        <v>47</v>
      </c>
      <c r="B181" s="69">
        <v>1808</v>
      </c>
      <c r="C181" s="74" t="s">
        <v>22</v>
      </c>
      <c r="D181" s="71" t="e">
        <f>#REF!</f>
        <v>#REF!</v>
      </c>
      <c r="E181" s="71">
        <v>0</v>
      </c>
      <c r="F181" s="71">
        <v>0</v>
      </c>
      <c r="G181" s="71" t="e">
        <f t="shared" si="13"/>
        <v>#REF!</v>
      </c>
      <c r="H181" s="65"/>
      <c r="I181" s="72" t="e">
        <f>#REF!</f>
        <v>#REF!</v>
      </c>
      <c r="J181" s="72"/>
      <c r="K181" s="71">
        <v>0</v>
      </c>
      <c r="L181" s="71">
        <v>0</v>
      </c>
      <c r="M181" s="71" t="e">
        <f t="shared" si="14"/>
        <v>#REF!</v>
      </c>
      <c r="N181" s="73" t="e">
        <f t="shared" si="15"/>
        <v>#REF!</v>
      </c>
    </row>
    <row r="182" spans="1:14" ht="15" hidden="1">
      <c r="A182" s="69">
        <v>13</v>
      </c>
      <c r="B182" s="69">
        <v>1810</v>
      </c>
      <c r="C182" s="74" t="s">
        <v>34</v>
      </c>
      <c r="D182" s="71" t="e">
        <f>#REF!</f>
        <v>#REF!</v>
      </c>
      <c r="E182" s="71">
        <v>12378.5</v>
      </c>
      <c r="F182" s="71">
        <v>-913473.27</v>
      </c>
      <c r="G182" s="71" t="e">
        <f t="shared" si="13"/>
        <v>#REF!</v>
      </c>
      <c r="H182" s="65"/>
      <c r="I182" s="72" t="e">
        <f>#REF!</f>
        <v>#REF!</v>
      </c>
      <c r="J182" s="72"/>
      <c r="K182" s="71">
        <v>0</v>
      </c>
      <c r="L182" s="71">
        <v>0</v>
      </c>
      <c r="M182" s="71" t="e">
        <f t="shared" si="14"/>
        <v>#REF!</v>
      </c>
      <c r="N182" s="73" t="e">
        <f t="shared" si="15"/>
        <v>#REF!</v>
      </c>
    </row>
    <row r="183" spans="1:14" ht="15" hidden="1">
      <c r="A183" s="69">
        <v>47</v>
      </c>
      <c r="B183" s="69">
        <v>1815</v>
      </c>
      <c r="C183" s="74" t="s">
        <v>23</v>
      </c>
      <c r="D183" s="71" t="e">
        <f>#REF!</f>
        <v>#REF!</v>
      </c>
      <c r="E183" s="71">
        <v>0</v>
      </c>
      <c r="F183" s="71">
        <v>0</v>
      </c>
      <c r="G183" s="71" t="e">
        <f t="shared" si="13"/>
        <v>#REF!</v>
      </c>
      <c r="H183" s="65"/>
      <c r="I183" s="72" t="e">
        <f>#REF!</f>
        <v>#REF!</v>
      </c>
      <c r="J183" s="72"/>
      <c r="K183" s="71">
        <v>-29089.438866666671</v>
      </c>
      <c r="L183" s="71">
        <v>0</v>
      </c>
      <c r="M183" s="71" t="e">
        <f t="shared" si="14"/>
        <v>#REF!</v>
      </c>
      <c r="N183" s="73" t="e">
        <f t="shared" si="15"/>
        <v>#REF!</v>
      </c>
    </row>
    <row r="184" spans="1:14" ht="15" hidden="1">
      <c r="A184" s="69">
        <v>47</v>
      </c>
      <c r="B184" s="69">
        <v>1815</v>
      </c>
      <c r="C184" s="74" t="s">
        <v>23</v>
      </c>
      <c r="D184" s="71" t="e">
        <f>#REF!</f>
        <v>#REF!</v>
      </c>
      <c r="E184" s="71">
        <v>0</v>
      </c>
      <c r="F184" s="71">
        <v>0</v>
      </c>
      <c r="G184" s="71" t="e">
        <f t="shared" si="13"/>
        <v>#REF!</v>
      </c>
      <c r="H184" s="65"/>
      <c r="I184" s="72" t="e">
        <f>#REF!</f>
        <v>#REF!</v>
      </c>
      <c r="J184" s="72"/>
      <c r="K184" s="71">
        <v>-2466.4499999999998</v>
      </c>
      <c r="L184" s="71">
        <v>0</v>
      </c>
      <c r="M184" s="71" t="e">
        <f t="shared" si="14"/>
        <v>#REF!</v>
      </c>
      <c r="N184" s="73" t="e">
        <f t="shared" si="15"/>
        <v>#REF!</v>
      </c>
    </row>
    <row r="185" spans="1:14" ht="15" hidden="1">
      <c r="A185" s="69">
        <v>47</v>
      </c>
      <c r="B185" s="69">
        <v>1815</v>
      </c>
      <c r="C185" s="74" t="s">
        <v>23</v>
      </c>
      <c r="D185" s="71" t="e">
        <f>#REF!</f>
        <v>#REF!</v>
      </c>
      <c r="E185" s="71">
        <v>0</v>
      </c>
      <c r="F185" s="71">
        <v>0</v>
      </c>
      <c r="G185" s="71" t="e">
        <f t="shared" si="13"/>
        <v>#REF!</v>
      </c>
      <c r="H185" s="65"/>
      <c r="I185" s="72" t="e">
        <f>#REF!</f>
        <v>#REF!</v>
      </c>
      <c r="J185" s="72"/>
      <c r="K185" s="71">
        <v>0</v>
      </c>
      <c r="L185" s="71">
        <v>0</v>
      </c>
      <c r="M185" s="71" t="e">
        <f t="shared" si="14"/>
        <v>#REF!</v>
      </c>
      <c r="N185" s="73" t="e">
        <f t="shared" si="15"/>
        <v>#REF!</v>
      </c>
    </row>
    <row r="186" spans="1:14" ht="15" hidden="1">
      <c r="A186" s="69">
        <v>47</v>
      </c>
      <c r="B186" s="69">
        <v>1820</v>
      </c>
      <c r="C186" s="70" t="s">
        <v>24</v>
      </c>
      <c r="D186" s="71">
        <f>G133</f>
        <v>1745895.87</v>
      </c>
      <c r="E186" s="71">
        <v>0</v>
      </c>
      <c r="F186" s="71">
        <v>0</v>
      </c>
      <c r="G186" s="71">
        <f t="shared" si="13"/>
        <v>1745895.87</v>
      </c>
      <c r="H186" s="65"/>
      <c r="I186" s="72">
        <f>M133</f>
        <v>-1446935.4400000002</v>
      </c>
      <c r="J186" s="72"/>
      <c r="K186" s="71">
        <v>0</v>
      </c>
      <c r="L186" s="71">
        <v>0</v>
      </c>
      <c r="M186" s="71">
        <f t="shared" si="14"/>
        <v>-1446935.4400000002</v>
      </c>
      <c r="N186" s="73">
        <f t="shared" si="15"/>
        <v>298960.42999999993</v>
      </c>
    </row>
    <row r="187" spans="1:14" ht="15" hidden="1">
      <c r="A187" s="69">
        <v>47</v>
      </c>
      <c r="B187" s="69">
        <v>1825</v>
      </c>
      <c r="C187" s="74" t="s">
        <v>65</v>
      </c>
      <c r="D187" s="71" t="e">
        <f>#REF!</f>
        <v>#REF!</v>
      </c>
      <c r="E187" s="71">
        <v>0</v>
      </c>
      <c r="F187" s="71">
        <v>0</v>
      </c>
      <c r="G187" s="71" t="e">
        <f t="shared" si="13"/>
        <v>#REF!</v>
      </c>
      <c r="H187" s="65"/>
      <c r="I187" s="72" t="e">
        <f>#REF!</f>
        <v>#REF!</v>
      </c>
      <c r="J187" s="72"/>
      <c r="K187" s="71">
        <v>0</v>
      </c>
      <c r="L187" s="71">
        <v>0</v>
      </c>
      <c r="M187" s="71" t="e">
        <f t="shared" si="14"/>
        <v>#REF!</v>
      </c>
      <c r="N187" s="73" t="e">
        <f t="shared" si="15"/>
        <v>#REF!</v>
      </c>
    </row>
    <row r="188" spans="1:14" ht="15" hidden="1">
      <c r="A188" s="69">
        <v>47</v>
      </c>
      <c r="B188" s="69">
        <v>1830</v>
      </c>
      <c r="C188" s="74" t="s">
        <v>25</v>
      </c>
      <c r="D188" s="71">
        <f>G134</f>
        <v>12352236.689999999</v>
      </c>
      <c r="E188" s="71">
        <v>0</v>
      </c>
      <c r="F188" s="71">
        <v>0</v>
      </c>
      <c r="G188" s="71">
        <f t="shared" si="13"/>
        <v>12352236.689999999</v>
      </c>
      <c r="H188" s="65"/>
      <c r="I188" s="72">
        <f>M134</f>
        <v>-5543776.7100000009</v>
      </c>
      <c r="J188" s="72"/>
      <c r="K188" s="71">
        <v>0</v>
      </c>
      <c r="L188" s="71">
        <v>0</v>
      </c>
      <c r="M188" s="71">
        <f t="shared" si="14"/>
        <v>-5543776.7100000009</v>
      </c>
      <c r="N188" s="73">
        <f t="shared" si="15"/>
        <v>6808459.9799999986</v>
      </c>
    </row>
    <row r="189" spans="1:14" ht="15" hidden="1">
      <c r="A189" s="69">
        <v>47</v>
      </c>
      <c r="B189" s="69">
        <v>1830</v>
      </c>
      <c r="C189" s="74" t="s">
        <v>25</v>
      </c>
      <c r="D189" s="71" t="e">
        <f>#REF!</f>
        <v>#REF!</v>
      </c>
      <c r="E189" s="71">
        <v>0</v>
      </c>
      <c r="F189" s="71">
        <v>0</v>
      </c>
      <c r="G189" s="71" t="e">
        <f t="shared" si="13"/>
        <v>#REF!</v>
      </c>
      <c r="H189" s="65"/>
      <c r="I189" s="72" t="e">
        <f>#REF!</f>
        <v>#REF!</v>
      </c>
      <c r="J189" s="72"/>
      <c r="K189" s="71">
        <v>-40423.090000000004</v>
      </c>
      <c r="L189" s="71">
        <v>0</v>
      </c>
      <c r="M189" s="71" t="e">
        <f t="shared" si="14"/>
        <v>#REF!</v>
      </c>
      <c r="N189" s="73" t="e">
        <f t="shared" si="15"/>
        <v>#REF!</v>
      </c>
    </row>
    <row r="190" spans="1:14" ht="15" hidden="1">
      <c r="A190" s="69">
        <v>47</v>
      </c>
      <c r="B190" s="69">
        <v>1830</v>
      </c>
      <c r="C190" s="74" t="s">
        <v>25</v>
      </c>
      <c r="D190" s="71" t="e">
        <f>#REF!</f>
        <v>#REF!</v>
      </c>
      <c r="E190" s="71">
        <v>0</v>
      </c>
      <c r="F190" s="71">
        <v>0</v>
      </c>
      <c r="G190" s="71" t="e">
        <f t="shared" si="13"/>
        <v>#REF!</v>
      </c>
      <c r="H190" s="65"/>
      <c r="I190" s="72" t="e">
        <f>#REF!</f>
        <v>#REF!</v>
      </c>
      <c r="J190" s="72"/>
      <c r="K190" s="71">
        <v>0</v>
      </c>
      <c r="L190" s="71">
        <v>0</v>
      </c>
      <c r="M190" s="71" t="e">
        <f t="shared" si="14"/>
        <v>#REF!</v>
      </c>
      <c r="N190" s="73" t="e">
        <f t="shared" si="15"/>
        <v>#REF!</v>
      </c>
    </row>
    <row r="191" spans="1:14" ht="15" hidden="1">
      <c r="A191" s="69">
        <v>47</v>
      </c>
      <c r="B191" s="69">
        <v>1835</v>
      </c>
      <c r="C191" s="74" t="s">
        <v>26</v>
      </c>
      <c r="D191" s="71" t="e">
        <f>#REF!</f>
        <v>#REF!</v>
      </c>
      <c r="E191" s="71">
        <v>328408.66000000038</v>
      </c>
      <c r="F191" s="71">
        <v>0</v>
      </c>
      <c r="G191" s="71" t="e">
        <f t="shared" si="13"/>
        <v>#REF!</v>
      </c>
      <c r="H191" s="65"/>
      <c r="I191" s="72" t="e">
        <f>#REF!</f>
        <v>#REF!</v>
      </c>
      <c r="J191" s="72"/>
      <c r="K191" s="71">
        <v>-239951.84283458753</v>
      </c>
      <c r="L191" s="71">
        <v>0</v>
      </c>
      <c r="M191" s="71" t="e">
        <f t="shared" si="14"/>
        <v>#REF!</v>
      </c>
      <c r="N191" s="73" t="e">
        <f t="shared" si="15"/>
        <v>#REF!</v>
      </c>
    </row>
    <row r="192" spans="1:14" ht="15" hidden="1">
      <c r="A192" s="69">
        <v>47</v>
      </c>
      <c r="B192" s="69">
        <v>1835</v>
      </c>
      <c r="C192" s="74" t="s">
        <v>26</v>
      </c>
      <c r="D192" s="71" t="e">
        <f>#REF!</f>
        <v>#REF!</v>
      </c>
      <c r="E192" s="71">
        <v>137817.85</v>
      </c>
      <c r="F192" s="71">
        <v>0</v>
      </c>
      <c r="G192" s="71" t="e">
        <f t="shared" si="13"/>
        <v>#REF!</v>
      </c>
      <c r="H192" s="65"/>
      <c r="I192" s="72" t="e">
        <f>#REF!</f>
        <v>#REF!</v>
      </c>
      <c r="J192" s="72"/>
      <c r="K192" s="71">
        <v>-61304.275027680007</v>
      </c>
      <c r="L192" s="71">
        <v>0</v>
      </c>
      <c r="M192" s="71" t="e">
        <f t="shared" si="14"/>
        <v>#REF!</v>
      </c>
      <c r="N192" s="73" t="e">
        <f t="shared" si="15"/>
        <v>#REF!</v>
      </c>
    </row>
    <row r="193" spans="1:14" ht="15" hidden="1">
      <c r="A193" s="69">
        <v>47</v>
      </c>
      <c r="B193" s="69">
        <v>1835</v>
      </c>
      <c r="C193" s="74" t="s">
        <v>26</v>
      </c>
      <c r="D193" s="71">
        <f>G135</f>
        <v>13955142.319999998</v>
      </c>
      <c r="E193" s="71">
        <v>368789.00000000163</v>
      </c>
      <c r="F193" s="71">
        <v>0</v>
      </c>
      <c r="G193" s="71">
        <f t="shared" si="13"/>
        <v>14323931.32</v>
      </c>
      <c r="H193" s="65"/>
      <c r="I193" s="72">
        <f>M135</f>
        <v>-6417271.4100000001</v>
      </c>
      <c r="J193" s="72"/>
      <c r="K193" s="71">
        <v>-300774.35326398723</v>
      </c>
      <c r="L193" s="71">
        <v>0</v>
      </c>
      <c r="M193" s="71">
        <f t="shared" si="14"/>
        <v>-6718045.7632639874</v>
      </c>
      <c r="N193" s="73">
        <f t="shared" si="15"/>
        <v>7605885.5567360129</v>
      </c>
    </row>
    <row r="194" spans="1:14" ht="15" hidden="1">
      <c r="A194" s="69">
        <v>47</v>
      </c>
      <c r="B194" s="69">
        <v>1835</v>
      </c>
      <c r="C194" s="74" t="s">
        <v>26</v>
      </c>
      <c r="D194" s="71" t="e">
        <f>#REF!</f>
        <v>#REF!</v>
      </c>
      <c r="E194" s="71">
        <v>95449.980000000025</v>
      </c>
      <c r="F194" s="71">
        <v>0</v>
      </c>
      <c r="G194" s="71" t="e">
        <f t="shared" si="13"/>
        <v>#REF!</v>
      </c>
      <c r="H194" s="65"/>
      <c r="I194" s="72" t="e">
        <f>#REF!</f>
        <v>#REF!</v>
      </c>
      <c r="J194" s="72"/>
      <c r="K194" s="71">
        <v>-59546.523046480012</v>
      </c>
      <c r="L194" s="71">
        <v>0</v>
      </c>
      <c r="M194" s="71" t="e">
        <f t="shared" si="14"/>
        <v>#REF!</v>
      </c>
      <c r="N194" s="73" t="e">
        <f t="shared" si="15"/>
        <v>#REF!</v>
      </c>
    </row>
    <row r="195" spans="1:14" ht="15" hidden="1">
      <c r="A195" s="69">
        <v>47</v>
      </c>
      <c r="B195" s="69">
        <v>1835</v>
      </c>
      <c r="C195" s="74" t="s">
        <v>26</v>
      </c>
      <c r="D195" s="71" t="e">
        <f>#REF!</f>
        <v>#REF!</v>
      </c>
      <c r="E195" s="71">
        <v>0</v>
      </c>
      <c r="F195" s="71">
        <v>0</v>
      </c>
      <c r="G195" s="71" t="e">
        <f t="shared" si="13"/>
        <v>#REF!</v>
      </c>
      <c r="H195" s="65"/>
      <c r="I195" s="72" t="e">
        <f>#REF!</f>
        <v>#REF!</v>
      </c>
      <c r="J195" s="72"/>
      <c r="K195" s="71">
        <v>-19951.011199999997</v>
      </c>
      <c r="L195" s="71">
        <v>0</v>
      </c>
      <c r="M195" s="71" t="e">
        <f t="shared" si="14"/>
        <v>#REF!</v>
      </c>
      <c r="N195" s="73" t="e">
        <f t="shared" si="15"/>
        <v>#REF!</v>
      </c>
    </row>
    <row r="196" spans="1:14" ht="15" hidden="1">
      <c r="A196" s="69">
        <v>47</v>
      </c>
      <c r="B196" s="69">
        <v>1840</v>
      </c>
      <c r="C196" s="74" t="s">
        <v>27</v>
      </c>
      <c r="D196" s="71">
        <f>G136</f>
        <v>6938248.2199999997</v>
      </c>
      <c r="E196" s="71">
        <v>463251.4760000041</v>
      </c>
      <c r="F196" s="71">
        <v>0</v>
      </c>
      <c r="G196" s="71">
        <f t="shared" si="13"/>
        <v>7401499.6960000042</v>
      </c>
      <c r="H196" s="65"/>
      <c r="I196" s="72">
        <f>M136</f>
        <v>-4335146.51</v>
      </c>
      <c r="J196" s="72"/>
      <c r="K196" s="71">
        <v>-293972.94183044613</v>
      </c>
      <c r="L196" s="71">
        <v>0</v>
      </c>
      <c r="M196" s="71">
        <f t="shared" si="14"/>
        <v>-4629119.4518304458</v>
      </c>
      <c r="N196" s="73">
        <f t="shared" si="15"/>
        <v>2772380.2441695584</v>
      </c>
    </row>
    <row r="197" spans="1:14" ht="15" hidden="1">
      <c r="A197" s="69">
        <v>47</v>
      </c>
      <c r="B197" s="69">
        <v>1840</v>
      </c>
      <c r="C197" s="74" t="s">
        <v>27</v>
      </c>
      <c r="D197" s="71" t="e">
        <f>#REF!</f>
        <v>#REF!</v>
      </c>
      <c r="E197" s="71">
        <v>0</v>
      </c>
      <c r="F197" s="71">
        <v>0</v>
      </c>
      <c r="G197" s="71" t="e">
        <f t="shared" si="13"/>
        <v>#REF!</v>
      </c>
      <c r="H197" s="65"/>
      <c r="I197" s="72" t="e">
        <f>#REF!</f>
        <v>#REF!</v>
      </c>
      <c r="J197" s="72"/>
      <c r="K197" s="71">
        <v>-8656.0586103999995</v>
      </c>
      <c r="L197" s="71">
        <v>0</v>
      </c>
      <c r="M197" s="71" t="e">
        <f t="shared" si="14"/>
        <v>#REF!</v>
      </c>
      <c r="N197" s="73" t="e">
        <f t="shared" si="15"/>
        <v>#REF!</v>
      </c>
    </row>
    <row r="198" spans="1:14" ht="15" hidden="1">
      <c r="A198" s="69">
        <v>47</v>
      </c>
      <c r="B198" s="69">
        <v>1845</v>
      </c>
      <c r="C198" s="74" t="s">
        <v>28</v>
      </c>
      <c r="D198" s="71" t="e">
        <f>#REF!</f>
        <v>#REF!</v>
      </c>
      <c r="E198" s="71">
        <v>0</v>
      </c>
      <c r="F198" s="71">
        <v>0</v>
      </c>
      <c r="G198" s="71" t="e">
        <f t="shared" si="13"/>
        <v>#REF!</v>
      </c>
      <c r="H198" s="65"/>
      <c r="I198" s="72" t="e">
        <f>#REF!</f>
        <v>#REF!</v>
      </c>
      <c r="J198" s="72"/>
      <c r="K198" s="71">
        <v>-1871.4079999999999</v>
      </c>
      <c r="L198" s="71">
        <v>0</v>
      </c>
      <c r="M198" s="71" t="e">
        <f t="shared" si="14"/>
        <v>#REF!</v>
      </c>
      <c r="N198" s="73" t="e">
        <f t="shared" si="15"/>
        <v>#REF!</v>
      </c>
    </row>
    <row r="199" spans="1:14" ht="15" hidden="1">
      <c r="A199" s="69">
        <v>47</v>
      </c>
      <c r="B199" s="69">
        <v>1845</v>
      </c>
      <c r="C199" s="74" t="s">
        <v>28</v>
      </c>
      <c r="D199" s="71">
        <f>G137</f>
        <v>17047553.190000001</v>
      </c>
      <c r="E199" s="71">
        <v>154444.13000000003</v>
      </c>
      <c r="F199" s="71">
        <v>0</v>
      </c>
      <c r="G199" s="71">
        <f t="shared" si="13"/>
        <v>17201997.32</v>
      </c>
      <c r="H199" s="65"/>
      <c r="I199" s="72">
        <f>M137</f>
        <v>-11330744.460000001</v>
      </c>
      <c r="J199" s="72"/>
      <c r="K199" s="71">
        <v>-224335.88361390238</v>
      </c>
      <c r="L199" s="71">
        <v>0</v>
      </c>
      <c r="M199" s="71">
        <f t="shared" si="14"/>
        <v>-11555080.343613904</v>
      </c>
      <c r="N199" s="73">
        <f t="shared" si="15"/>
        <v>5646916.9763860963</v>
      </c>
    </row>
    <row r="200" spans="1:14" ht="15" hidden="1">
      <c r="A200" s="69">
        <v>47</v>
      </c>
      <c r="B200" s="69">
        <v>1845</v>
      </c>
      <c r="C200" s="74" t="s">
        <v>28</v>
      </c>
      <c r="D200" s="71" t="e">
        <f>#REF!</f>
        <v>#REF!</v>
      </c>
      <c r="E200" s="71">
        <v>85353.219999999987</v>
      </c>
      <c r="F200" s="71">
        <v>0</v>
      </c>
      <c r="G200" s="71" t="e">
        <f t="shared" si="13"/>
        <v>#REF!</v>
      </c>
      <c r="H200" s="65"/>
      <c r="I200" s="72" t="e">
        <f>#REF!</f>
        <v>#REF!</v>
      </c>
      <c r="J200" s="72"/>
      <c r="K200" s="71">
        <v>-62139.711991178119</v>
      </c>
      <c r="L200" s="71">
        <v>0</v>
      </c>
      <c r="M200" s="71" t="e">
        <f t="shared" si="14"/>
        <v>#REF!</v>
      </c>
      <c r="N200" s="73" t="e">
        <f t="shared" si="15"/>
        <v>#REF!</v>
      </c>
    </row>
    <row r="201" spans="1:14" ht="15" hidden="1">
      <c r="A201" s="69">
        <v>47</v>
      </c>
      <c r="B201" s="69">
        <v>1850</v>
      </c>
      <c r="C201" s="74" t="s">
        <v>29</v>
      </c>
      <c r="D201" s="71">
        <f>G138</f>
        <v>15344243.16</v>
      </c>
      <c r="E201" s="71">
        <v>0</v>
      </c>
      <c r="F201" s="71">
        <v>0</v>
      </c>
      <c r="G201" s="71">
        <f t="shared" si="13"/>
        <v>15344243.16</v>
      </c>
      <c r="H201" s="65"/>
      <c r="I201" s="72">
        <f>M138</f>
        <v>-9487461.7400000002</v>
      </c>
      <c r="J201" s="72"/>
      <c r="K201" s="71">
        <v>-132562.56258</v>
      </c>
      <c r="L201" s="71">
        <v>0</v>
      </c>
      <c r="M201" s="71">
        <f t="shared" si="14"/>
        <v>-9620024.3025800008</v>
      </c>
      <c r="N201" s="73">
        <f t="shared" si="15"/>
        <v>5724218.8574199993</v>
      </c>
    </row>
    <row r="202" spans="1:14" ht="15" hidden="1">
      <c r="A202" s="69">
        <v>47</v>
      </c>
      <c r="B202" s="69">
        <v>1850</v>
      </c>
      <c r="C202" s="74" t="s">
        <v>29</v>
      </c>
      <c r="D202" s="71" t="e">
        <f>#REF!</f>
        <v>#REF!</v>
      </c>
      <c r="E202" s="71">
        <v>939969.93000000028</v>
      </c>
      <c r="F202" s="71">
        <v>0</v>
      </c>
      <c r="G202" s="71" t="e">
        <f t="shared" si="13"/>
        <v>#REF!</v>
      </c>
      <c r="H202" s="65"/>
      <c r="I202" s="72" t="e">
        <f>#REF!</f>
        <v>#REF!</v>
      </c>
      <c r="J202" s="72"/>
      <c r="K202" s="71">
        <v>-358415.08542000008</v>
      </c>
      <c r="L202" s="71">
        <v>0</v>
      </c>
      <c r="M202" s="71" t="e">
        <f t="shared" si="14"/>
        <v>#REF!</v>
      </c>
      <c r="N202" s="73" t="e">
        <f t="shared" si="15"/>
        <v>#REF!</v>
      </c>
    </row>
    <row r="203" spans="1:14" ht="15" hidden="1">
      <c r="A203" s="69">
        <v>47</v>
      </c>
      <c r="B203" s="69">
        <v>1850</v>
      </c>
      <c r="C203" s="74" t="s">
        <v>29</v>
      </c>
      <c r="D203" s="71" t="e">
        <f>#REF!</f>
        <v>#REF!</v>
      </c>
      <c r="E203" s="71">
        <v>113625.88000000002</v>
      </c>
      <c r="F203" s="71">
        <v>0</v>
      </c>
      <c r="G203" s="71" t="e">
        <f t="shared" si="13"/>
        <v>#REF!</v>
      </c>
      <c r="H203" s="65"/>
      <c r="I203" s="72" t="e">
        <f>#REF!</f>
        <v>#REF!</v>
      </c>
      <c r="J203" s="72"/>
      <c r="K203" s="71">
        <v>-39567.578219999981</v>
      </c>
      <c r="L203" s="71">
        <v>0</v>
      </c>
      <c r="M203" s="71" t="e">
        <f t="shared" si="14"/>
        <v>#REF!</v>
      </c>
      <c r="N203" s="73" t="e">
        <f t="shared" si="15"/>
        <v>#REF!</v>
      </c>
    </row>
    <row r="204" spans="1:14" ht="15" hidden="1">
      <c r="A204" s="69">
        <v>47</v>
      </c>
      <c r="B204" s="69">
        <v>1855</v>
      </c>
      <c r="C204" s="74" t="s">
        <v>30</v>
      </c>
      <c r="D204" s="71">
        <f>G139</f>
        <v>5213840.3100000005</v>
      </c>
      <c r="E204" s="71">
        <v>62963.340000000091</v>
      </c>
      <c r="F204" s="71">
        <v>0</v>
      </c>
      <c r="G204" s="71">
        <f t="shared" si="13"/>
        <v>5276803.6500000004</v>
      </c>
      <c r="H204" s="65"/>
      <c r="I204" s="72">
        <f>M139</f>
        <v>-3020112.53</v>
      </c>
      <c r="J204" s="72"/>
      <c r="K204" s="71">
        <v>-196448.74689357265</v>
      </c>
      <c r="L204" s="71">
        <v>0</v>
      </c>
      <c r="M204" s="71">
        <f t="shared" si="14"/>
        <v>-3216561.2768935724</v>
      </c>
      <c r="N204" s="73">
        <f t="shared" si="15"/>
        <v>2060242.373106428</v>
      </c>
    </row>
    <row r="205" spans="1:14" ht="15" hidden="1">
      <c r="A205" s="69">
        <v>47</v>
      </c>
      <c r="B205" s="69">
        <v>1855</v>
      </c>
      <c r="C205" s="74" t="s">
        <v>30</v>
      </c>
      <c r="D205" s="71" t="e">
        <f>#REF!</f>
        <v>#REF!</v>
      </c>
      <c r="E205" s="71">
        <v>253535.29000000012</v>
      </c>
      <c r="F205" s="71">
        <v>0</v>
      </c>
      <c r="G205" s="71" t="e">
        <f t="shared" si="13"/>
        <v>#REF!</v>
      </c>
      <c r="H205" s="65"/>
      <c r="I205" s="72" t="e">
        <f>#REF!</f>
        <v>#REF!</v>
      </c>
      <c r="J205" s="72"/>
      <c r="K205" s="71">
        <v>-238865.28549074774</v>
      </c>
      <c r="L205" s="71">
        <v>0</v>
      </c>
      <c r="M205" s="71" t="e">
        <f t="shared" si="14"/>
        <v>#REF!</v>
      </c>
      <c r="N205" s="73" t="e">
        <f t="shared" si="15"/>
        <v>#REF!</v>
      </c>
    </row>
    <row r="206" spans="1:14" ht="15" hidden="1">
      <c r="A206" s="69">
        <v>47</v>
      </c>
      <c r="B206" s="69">
        <v>1860</v>
      </c>
      <c r="C206" s="74" t="s">
        <v>31</v>
      </c>
      <c r="D206" s="71">
        <f>G140</f>
        <v>7521030.4299999997</v>
      </c>
      <c r="E206" s="71">
        <v>0</v>
      </c>
      <c r="F206" s="71">
        <v>0</v>
      </c>
      <c r="G206" s="71">
        <f t="shared" si="13"/>
        <v>7521030.4299999997</v>
      </c>
      <c r="H206" s="65"/>
      <c r="I206" s="72">
        <f>M140</f>
        <v>-3176767.8</v>
      </c>
      <c r="J206" s="72"/>
      <c r="K206" s="71">
        <v>0</v>
      </c>
      <c r="L206" s="71">
        <v>0</v>
      </c>
      <c r="M206" s="71">
        <f t="shared" si="14"/>
        <v>-3176767.8</v>
      </c>
      <c r="N206" s="73">
        <f t="shared" si="15"/>
        <v>4344262.63</v>
      </c>
    </row>
    <row r="207" spans="1:14" ht="15" hidden="1">
      <c r="A207" s="69">
        <v>47</v>
      </c>
      <c r="B207" s="69">
        <v>1860</v>
      </c>
      <c r="C207" s="74" t="s">
        <v>31</v>
      </c>
      <c r="D207" s="71" t="e">
        <f>#REF!</f>
        <v>#REF!</v>
      </c>
      <c r="E207" s="71">
        <v>99906.850000000093</v>
      </c>
      <c r="F207" s="71">
        <v>0</v>
      </c>
      <c r="G207" s="71" t="e">
        <f t="shared" si="13"/>
        <v>#REF!</v>
      </c>
      <c r="H207" s="65"/>
      <c r="I207" s="72" t="e">
        <f>#REF!</f>
        <v>#REF!</v>
      </c>
      <c r="J207" s="72"/>
      <c r="K207" s="71">
        <v>-130790.85107264006</v>
      </c>
      <c r="L207" s="71">
        <v>0</v>
      </c>
      <c r="M207" s="71" t="e">
        <f t="shared" si="14"/>
        <v>#REF!</v>
      </c>
      <c r="N207" s="73" t="e">
        <f t="shared" si="15"/>
        <v>#REF!</v>
      </c>
    </row>
    <row r="208" spans="1:14" ht="15" hidden="1">
      <c r="A208" s="69">
        <v>47</v>
      </c>
      <c r="B208" s="69">
        <v>1860</v>
      </c>
      <c r="C208" s="74" t="s">
        <v>31</v>
      </c>
      <c r="D208" s="71" t="e">
        <f>#REF!</f>
        <v>#REF!</v>
      </c>
      <c r="E208" s="71">
        <v>14374.499999999985</v>
      </c>
      <c r="F208" s="71">
        <v>0</v>
      </c>
      <c r="G208" s="71" t="e">
        <f t="shared" si="13"/>
        <v>#REF!</v>
      </c>
      <c r="H208" s="65"/>
      <c r="I208" s="72" t="e">
        <f>#REF!</f>
        <v>#REF!</v>
      </c>
      <c r="J208" s="72"/>
      <c r="K208" s="71">
        <v>-24646.770299359996</v>
      </c>
      <c r="L208" s="71">
        <v>0</v>
      </c>
      <c r="M208" s="71" t="e">
        <f t="shared" si="14"/>
        <v>#REF!</v>
      </c>
      <c r="N208" s="73" t="e">
        <f t="shared" si="15"/>
        <v>#REF!</v>
      </c>
    </row>
    <row r="209" spans="1:14" ht="15" hidden="1">
      <c r="A209" s="69">
        <v>47</v>
      </c>
      <c r="B209" s="69">
        <v>1860</v>
      </c>
      <c r="C209" s="74" t="s">
        <v>31</v>
      </c>
      <c r="D209" s="71" t="e">
        <f>#REF!</f>
        <v>#REF!</v>
      </c>
      <c r="E209" s="71">
        <v>36988.150000000016</v>
      </c>
      <c r="F209" s="71">
        <v>0</v>
      </c>
      <c r="G209" s="71" t="e">
        <f t="shared" si="13"/>
        <v>#REF!</v>
      </c>
      <c r="H209" s="65"/>
      <c r="I209" s="72" t="e">
        <f>#REF!</f>
        <v>#REF!</v>
      </c>
      <c r="J209" s="72"/>
      <c r="K209" s="71">
        <v>-58420.09185248</v>
      </c>
      <c r="L209" s="71">
        <v>0</v>
      </c>
      <c r="M209" s="71" t="e">
        <f t="shared" si="14"/>
        <v>#REF!</v>
      </c>
      <c r="N209" s="73" t="e">
        <f t="shared" si="15"/>
        <v>#REF!</v>
      </c>
    </row>
    <row r="210" spans="1:14" ht="15" hidden="1">
      <c r="A210" s="69">
        <v>47</v>
      </c>
      <c r="B210" s="69">
        <v>1860</v>
      </c>
      <c r="C210" s="74" t="s">
        <v>31</v>
      </c>
      <c r="D210" s="71" t="e">
        <f>#REF!</f>
        <v>#REF!</v>
      </c>
      <c r="E210" s="71">
        <v>21062.230000000003</v>
      </c>
      <c r="F210" s="71">
        <v>0</v>
      </c>
      <c r="G210" s="71" t="e">
        <f t="shared" si="13"/>
        <v>#REF!</v>
      </c>
      <c r="H210" s="65"/>
      <c r="I210" s="72" t="e">
        <f>#REF!</f>
        <v>#REF!</v>
      </c>
      <c r="J210" s="72"/>
      <c r="K210" s="71">
        <v>-12833.858321399999</v>
      </c>
      <c r="L210" s="71">
        <v>0</v>
      </c>
      <c r="M210" s="71" t="e">
        <f t="shared" si="14"/>
        <v>#REF!</v>
      </c>
      <c r="N210" s="73" t="e">
        <f t="shared" si="15"/>
        <v>#REF!</v>
      </c>
    </row>
    <row r="211" spans="1:14" ht="15" hidden="1">
      <c r="A211" s="69">
        <v>47</v>
      </c>
      <c r="B211" s="69">
        <v>1890</v>
      </c>
      <c r="C211" s="74" t="s">
        <v>32</v>
      </c>
      <c r="D211" s="71">
        <f>G141</f>
        <v>489209.32000000007</v>
      </c>
      <c r="E211" s="71">
        <v>0</v>
      </c>
      <c r="F211" s="71">
        <v>0</v>
      </c>
      <c r="G211" s="71">
        <f t="shared" si="13"/>
        <v>489209.32000000007</v>
      </c>
      <c r="H211" s="65"/>
      <c r="I211" s="72">
        <f>M141</f>
        <v>0</v>
      </c>
      <c r="J211" s="72"/>
      <c r="K211" s="71">
        <v>-16095.040445599996</v>
      </c>
      <c r="L211" s="71">
        <v>0</v>
      </c>
      <c r="M211" s="71">
        <f t="shared" si="14"/>
        <v>-16095.040445599996</v>
      </c>
      <c r="N211" s="73">
        <f t="shared" si="15"/>
        <v>473114.27955440007</v>
      </c>
    </row>
    <row r="212" spans="1:14" ht="15" hidden="1">
      <c r="A212" s="69" t="s">
        <v>20</v>
      </c>
      <c r="B212" s="69">
        <v>1905</v>
      </c>
      <c r="C212" s="74" t="s">
        <v>21</v>
      </c>
      <c r="D212" s="71">
        <f>G142</f>
        <v>17041.330000000002</v>
      </c>
      <c r="E212" s="71">
        <v>0</v>
      </c>
      <c r="F212" s="71">
        <v>0</v>
      </c>
      <c r="G212" s="71">
        <f t="shared" si="13"/>
        <v>17041.330000000002</v>
      </c>
      <c r="H212" s="65"/>
      <c r="I212" s="72">
        <f>M142</f>
        <v>-17041.330000000002</v>
      </c>
      <c r="J212" s="72"/>
      <c r="K212" s="71">
        <v>-8885.2043200000026</v>
      </c>
      <c r="L212" s="71">
        <v>0</v>
      </c>
      <c r="M212" s="71">
        <f t="shared" si="14"/>
        <v>-25926.534320000006</v>
      </c>
      <c r="N212" s="73">
        <f t="shared" si="15"/>
        <v>-8885.2043200000044</v>
      </c>
    </row>
    <row r="213" spans="1:14" ht="15" hidden="1">
      <c r="A213" s="69">
        <v>47</v>
      </c>
      <c r="B213" s="69">
        <v>1908</v>
      </c>
      <c r="C213" s="74" t="s">
        <v>33</v>
      </c>
      <c r="D213" s="71" t="e">
        <f>#REF!</f>
        <v>#REF!</v>
      </c>
      <c r="E213" s="71">
        <v>34058.559999999998</v>
      </c>
      <c r="F213" s="71">
        <v>0</v>
      </c>
      <c r="G213" s="71" t="e">
        <f t="shared" si="13"/>
        <v>#REF!</v>
      </c>
      <c r="H213" s="65"/>
      <c r="I213" s="72" t="e">
        <f>#REF!</f>
        <v>#REF!</v>
      </c>
      <c r="J213" s="72"/>
      <c r="K213" s="71">
        <v>-239373.43808803867</v>
      </c>
      <c r="L213" s="71">
        <v>0</v>
      </c>
      <c r="M213" s="71" t="e">
        <f t="shared" si="14"/>
        <v>#REF!</v>
      </c>
      <c r="N213" s="73" t="e">
        <f t="shared" si="15"/>
        <v>#REF!</v>
      </c>
    </row>
    <row r="214" spans="1:14" ht="15" hidden="1">
      <c r="A214" s="69">
        <v>47</v>
      </c>
      <c r="B214" s="69">
        <v>1908</v>
      </c>
      <c r="C214" s="74" t="s">
        <v>33</v>
      </c>
      <c r="D214" s="71">
        <f>G143</f>
        <v>532191.07999999996</v>
      </c>
      <c r="E214" s="71">
        <v>0</v>
      </c>
      <c r="F214" s="71">
        <v>-20263</v>
      </c>
      <c r="G214" s="71">
        <f t="shared" si="13"/>
        <v>511928.07999999996</v>
      </c>
      <c r="H214" s="65"/>
      <c r="I214" s="72">
        <f>M143</f>
        <v>-100613.76999999999</v>
      </c>
      <c r="J214" s="72"/>
      <c r="K214" s="71">
        <v>0</v>
      </c>
      <c r="L214" s="71">
        <v>0</v>
      </c>
      <c r="M214" s="71">
        <f t="shared" si="14"/>
        <v>-100613.76999999999</v>
      </c>
      <c r="N214" s="73">
        <f t="shared" si="15"/>
        <v>411314.30999999994</v>
      </c>
    </row>
    <row r="215" spans="1:14" ht="15" hidden="1">
      <c r="A215" s="69">
        <v>13</v>
      </c>
      <c r="B215" s="69">
        <v>1910</v>
      </c>
      <c r="C215" s="74" t="s">
        <v>34</v>
      </c>
      <c r="D215" s="71">
        <f>G144</f>
        <v>21798.12</v>
      </c>
      <c r="E215" s="71">
        <v>0</v>
      </c>
      <c r="F215" s="71">
        <v>0</v>
      </c>
      <c r="G215" s="71">
        <f t="shared" si="13"/>
        <v>21798.12</v>
      </c>
      <c r="H215" s="65"/>
      <c r="I215" s="72">
        <f>M144</f>
        <v>-21798.12</v>
      </c>
      <c r="J215" s="72"/>
      <c r="K215" s="71">
        <v>0</v>
      </c>
      <c r="L215" s="71">
        <v>0</v>
      </c>
      <c r="M215" s="71">
        <f t="shared" si="14"/>
        <v>-21798.12</v>
      </c>
      <c r="N215" s="73">
        <f t="shared" si="15"/>
        <v>0</v>
      </c>
    </row>
    <row r="216" spans="1:14" ht="15" hidden="1">
      <c r="A216" s="69">
        <v>8</v>
      </c>
      <c r="B216" s="69">
        <v>1915</v>
      </c>
      <c r="C216" s="74" t="s">
        <v>35</v>
      </c>
      <c r="D216" s="71">
        <f>G145</f>
        <v>381569.15</v>
      </c>
      <c r="E216" s="71">
        <v>7731.7</v>
      </c>
      <c r="F216" s="71">
        <v>0</v>
      </c>
      <c r="G216" s="71">
        <f t="shared" si="13"/>
        <v>389300.85000000003</v>
      </c>
      <c r="H216" s="65"/>
      <c r="I216" s="72">
        <f>M145</f>
        <v>-343299.76</v>
      </c>
      <c r="J216" s="72"/>
      <c r="K216" s="71">
        <v>-7701.5446666666667</v>
      </c>
      <c r="L216" s="71">
        <v>0</v>
      </c>
      <c r="M216" s="71">
        <f t="shared" si="14"/>
        <v>-351001.30466666666</v>
      </c>
      <c r="N216" s="73">
        <f t="shared" si="15"/>
        <v>38299.545333333372</v>
      </c>
    </row>
    <row r="217" spans="1:14" ht="15" hidden="1">
      <c r="A217" s="69">
        <v>8</v>
      </c>
      <c r="B217" s="69">
        <v>1915</v>
      </c>
      <c r="C217" s="74" t="s">
        <v>66</v>
      </c>
      <c r="D217" s="71" t="e">
        <f>#REF!</f>
        <v>#REF!</v>
      </c>
      <c r="E217" s="71">
        <v>38226.530000000006</v>
      </c>
      <c r="F217" s="71">
        <v>0</v>
      </c>
      <c r="G217" s="71" t="e">
        <f t="shared" si="13"/>
        <v>#REF!</v>
      </c>
      <c r="H217" s="65"/>
      <c r="I217" s="72" t="e">
        <f>#REF!</f>
        <v>#REF!</v>
      </c>
      <c r="J217" s="72"/>
      <c r="K217" s="71">
        <v>-13589.605166666666</v>
      </c>
      <c r="L217" s="71">
        <v>0</v>
      </c>
      <c r="M217" s="71" t="e">
        <f t="shared" si="14"/>
        <v>#REF!</v>
      </c>
      <c r="N217" s="73" t="e">
        <f t="shared" si="15"/>
        <v>#REF!</v>
      </c>
    </row>
    <row r="218" spans="1:14" ht="15" hidden="1">
      <c r="A218" s="69">
        <v>10</v>
      </c>
      <c r="B218" s="69">
        <v>1920</v>
      </c>
      <c r="C218" s="74" t="s">
        <v>36</v>
      </c>
      <c r="D218" s="71">
        <f>G146</f>
        <v>540191.49000000011</v>
      </c>
      <c r="E218" s="71">
        <v>0</v>
      </c>
      <c r="F218" s="71">
        <v>0</v>
      </c>
      <c r="G218" s="71">
        <f t="shared" si="13"/>
        <v>540191.49000000011</v>
      </c>
      <c r="H218" s="65"/>
      <c r="I218" s="72">
        <f>M146</f>
        <v>-540191.49</v>
      </c>
      <c r="J218" s="72"/>
      <c r="K218" s="71">
        <v>0</v>
      </c>
      <c r="L218" s="71">
        <v>0</v>
      </c>
      <c r="M218" s="71">
        <f t="shared" si="14"/>
        <v>-540191.49</v>
      </c>
      <c r="N218" s="73">
        <f t="shared" si="15"/>
        <v>0</v>
      </c>
    </row>
    <row r="219" spans="1:14" ht="15" hidden="1">
      <c r="A219" s="69">
        <v>45</v>
      </c>
      <c r="B219" s="75">
        <v>1920</v>
      </c>
      <c r="C219" s="70" t="s">
        <v>37</v>
      </c>
      <c r="D219" s="71">
        <f>G147</f>
        <v>75673.850000000006</v>
      </c>
      <c r="E219" s="71">
        <v>3684</v>
      </c>
      <c r="F219" s="71">
        <v>0</v>
      </c>
      <c r="G219" s="71">
        <f t="shared" si="13"/>
        <v>79357.850000000006</v>
      </c>
      <c r="H219" s="65"/>
      <c r="I219" s="72">
        <f>M147</f>
        <v>-75673.850000000006</v>
      </c>
      <c r="J219" s="72"/>
      <c r="K219" s="71">
        <v>-5827.9269999999997</v>
      </c>
      <c r="L219" s="71">
        <v>0</v>
      </c>
      <c r="M219" s="71">
        <f t="shared" si="14"/>
        <v>-81501.777000000002</v>
      </c>
      <c r="N219" s="73">
        <f t="shared" si="15"/>
        <v>-2143.926999999996</v>
      </c>
    </row>
    <row r="220" spans="1:14" ht="15" hidden="1">
      <c r="A220" s="69">
        <v>45.1</v>
      </c>
      <c r="B220" s="75">
        <v>1920</v>
      </c>
      <c r="C220" s="70" t="s">
        <v>38</v>
      </c>
      <c r="D220" s="71">
        <f>G148</f>
        <v>484082.00000000006</v>
      </c>
      <c r="E220" s="71">
        <v>0</v>
      </c>
      <c r="F220" s="71">
        <v>0</v>
      </c>
      <c r="G220" s="71">
        <f t="shared" si="13"/>
        <v>484082.00000000006</v>
      </c>
      <c r="H220" s="65"/>
      <c r="I220" s="72">
        <f>M148</f>
        <v>-360828.71</v>
      </c>
      <c r="J220" s="72"/>
      <c r="K220" s="71">
        <v>0</v>
      </c>
      <c r="L220" s="71">
        <v>0</v>
      </c>
      <c r="M220" s="71">
        <f t="shared" si="14"/>
        <v>-360828.71</v>
      </c>
      <c r="N220" s="73">
        <f t="shared" si="15"/>
        <v>123253.29000000004</v>
      </c>
    </row>
    <row r="221" spans="1:14" ht="15" hidden="1">
      <c r="A221" s="69">
        <v>10</v>
      </c>
      <c r="B221" s="69">
        <v>1930</v>
      </c>
      <c r="C221" s="74" t="s">
        <v>39</v>
      </c>
      <c r="D221" s="71">
        <f>G149</f>
        <v>3056370.21</v>
      </c>
      <c r="E221" s="71">
        <v>0</v>
      </c>
      <c r="F221" s="71">
        <v>0</v>
      </c>
      <c r="G221" s="71">
        <f t="shared" si="13"/>
        <v>3056370.21</v>
      </c>
      <c r="H221" s="65"/>
      <c r="I221" s="72">
        <f>M149</f>
        <v>-2072728.9600000002</v>
      </c>
      <c r="J221" s="72"/>
      <c r="K221" s="71">
        <v>0</v>
      </c>
      <c r="L221" s="71">
        <v>0</v>
      </c>
      <c r="M221" s="71">
        <f t="shared" si="14"/>
        <v>-2072728.9600000002</v>
      </c>
      <c r="N221" s="73">
        <f t="shared" si="15"/>
        <v>983641.24999999977</v>
      </c>
    </row>
    <row r="222" spans="1:14" ht="15" hidden="1">
      <c r="A222" s="69">
        <v>10</v>
      </c>
      <c r="B222" s="69">
        <v>1930</v>
      </c>
      <c r="C222" s="74" t="s">
        <v>39</v>
      </c>
      <c r="D222" s="71" t="e">
        <f>#REF!</f>
        <v>#REF!</v>
      </c>
      <c r="E222" s="71">
        <v>0</v>
      </c>
      <c r="F222" s="71">
        <v>0</v>
      </c>
      <c r="G222" s="71" t="e">
        <f t="shared" si="13"/>
        <v>#REF!</v>
      </c>
      <c r="H222" s="65"/>
      <c r="I222" s="72" t="e">
        <f>#REF!</f>
        <v>#REF!</v>
      </c>
      <c r="J222" s="72"/>
      <c r="K222" s="71">
        <v>0</v>
      </c>
      <c r="L222" s="71">
        <v>0</v>
      </c>
      <c r="M222" s="71" t="e">
        <f t="shared" si="14"/>
        <v>#REF!</v>
      </c>
      <c r="N222" s="73" t="e">
        <f t="shared" si="15"/>
        <v>#REF!</v>
      </c>
    </row>
    <row r="223" spans="1:14" ht="15" hidden="1">
      <c r="A223" s="69">
        <v>8</v>
      </c>
      <c r="B223" s="69">
        <v>1935</v>
      </c>
      <c r="C223" s="74" t="s">
        <v>40</v>
      </c>
      <c r="D223" s="71">
        <f>G150</f>
        <v>36199.29</v>
      </c>
      <c r="E223" s="71">
        <v>210755.81999999995</v>
      </c>
      <c r="F223" s="71">
        <v>0</v>
      </c>
      <c r="G223" s="71">
        <f t="shared" si="13"/>
        <v>246955.10999999996</v>
      </c>
      <c r="H223" s="65"/>
      <c r="I223" s="72">
        <f>M150</f>
        <v>-36199.29</v>
      </c>
      <c r="J223" s="72"/>
      <c r="K223" s="71">
        <v>-64313.587999999989</v>
      </c>
      <c r="L223" s="71">
        <v>0</v>
      </c>
      <c r="M223" s="71">
        <f t="shared" si="14"/>
        <v>-100512.878</v>
      </c>
      <c r="N223" s="73">
        <f t="shared" si="15"/>
        <v>146442.23199999996</v>
      </c>
    </row>
    <row r="224" spans="1:14" ht="15" hidden="1">
      <c r="A224" s="69">
        <v>8</v>
      </c>
      <c r="B224" s="69">
        <v>1940</v>
      </c>
      <c r="C224" s="74" t="s">
        <v>41</v>
      </c>
      <c r="D224" s="71">
        <f>G151</f>
        <v>805780.91</v>
      </c>
      <c r="E224" s="71">
        <v>0</v>
      </c>
      <c r="F224" s="71">
        <v>-30930.22</v>
      </c>
      <c r="G224" s="71">
        <f t="shared" si="13"/>
        <v>774850.69000000006</v>
      </c>
      <c r="H224" s="65"/>
      <c r="I224" s="72">
        <f>M151</f>
        <v>-664501.1100000001</v>
      </c>
      <c r="J224" s="72"/>
      <c r="K224" s="71">
        <v>-225592.86299999998</v>
      </c>
      <c r="L224" s="71">
        <v>30930.22</v>
      </c>
      <c r="M224" s="71">
        <f t="shared" si="14"/>
        <v>-859163.75300000014</v>
      </c>
      <c r="N224" s="73">
        <f t="shared" si="15"/>
        <v>-84313.063000000082</v>
      </c>
    </row>
    <row r="225" spans="1:14" ht="15" hidden="1">
      <c r="A225" s="69">
        <v>8</v>
      </c>
      <c r="B225" s="69">
        <v>1945</v>
      </c>
      <c r="C225" s="74" t="s">
        <v>42</v>
      </c>
      <c r="D225" s="71">
        <f>G152</f>
        <v>39169.78</v>
      </c>
      <c r="E225" s="71">
        <v>32153.94</v>
      </c>
      <c r="F225" s="71">
        <v>0</v>
      </c>
      <c r="G225" s="71">
        <f t="shared" si="13"/>
        <v>71323.72</v>
      </c>
      <c r="H225" s="65"/>
      <c r="I225" s="72">
        <f>M152</f>
        <v>-26291.16</v>
      </c>
      <c r="J225" s="72"/>
      <c r="K225" s="71">
        <v>-19939.521999999997</v>
      </c>
      <c r="L225" s="71">
        <v>0</v>
      </c>
      <c r="M225" s="71">
        <f t="shared" si="14"/>
        <v>-46230.682000000001</v>
      </c>
      <c r="N225" s="73">
        <f t="shared" si="15"/>
        <v>25093.038</v>
      </c>
    </row>
    <row r="226" spans="1:14" ht="15" hidden="1">
      <c r="A226" s="69">
        <v>8</v>
      </c>
      <c r="B226" s="69">
        <v>1950</v>
      </c>
      <c r="C226" s="74" t="s">
        <v>67</v>
      </c>
      <c r="D226" s="71" t="e">
        <f>#REF!</f>
        <v>#REF!</v>
      </c>
      <c r="E226" s="71">
        <v>0</v>
      </c>
      <c r="F226" s="71">
        <v>0</v>
      </c>
      <c r="G226" s="71" t="e">
        <f t="shared" si="13"/>
        <v>#REF!</v>
      </c>
      <c r="H226" s="65"/>
      <c r="I226" s="72" t="e">
        <f>#REF!</f>
        <v>#REF!</v>
      </c>
      <c r="J226" s="72"/>
      <c r="K226" s="71">
        <v>0</v>
      </c>
      <c r="L226" s="71">
        <v>0</v>
      </c>
      <c r="M226" s="71" t="e">
        <f t="shared" si="14"/>
        <v>#REF!</v>
      </c>
      <c r="N226" s="73" t="e">
        <f t="shared" si="15"/>
        <v>#REF!</v>
      </c>
    </row>
    <row r="227" spans="1:14" ht="15" hidden="1">
      <c r="A227" s="69">
        <v>8</v>
      </c>
      <c r="B227" s="69">
        <v>1955</v>
      </c>
      <c r="C227" s="74" t="s">
        <v>43</v>
      </c>
      <c r="D227" s="71">
        <f>G153</f>
        <v>106527.86</v>
      </c>
      <c r="E227" s="71">
        <v>20796.91</v>
      </c>
      <c r="F227" s="71">
        <v>0</v>
      </c>
      <c r="G227" s="71">
        <f t="shared" si="13"/>
        <v>127324.77</v>
      </c>
      <c r="H227" s="65"/>
      <c r="I227" s="72">
        <f>M153</f>
        <v>-105866.3</v>
      </c>
      <c r="J227" s="72"/>
      <c r="K227" s="71">
        <v>-29740.3465</v>
      </c>
      <c r="L227" s="71">
        <v>0</v>
      </c>
      <c r="M227" s="71">
        <f t="shared" si="14"/>
        <v>-135606.6465</v>
      </c>
      <c r="N227" s="73">
        <f t="shared" si="15"/>
        <v>-8281.8764999999985</v>
      </c>
    </row>
    <row r="228" spans="1:14" ht="15" hidden="1">
      <c r="A228" s="75">
        <v>8</v>
      </c>
      <c r="B228" s="75">
        <v>1955</v>
      </c>
      <c r="C228" s="70" t="s">
        <v>68</v>
      </c>
      <c r="D228" s="71" t="e">
        <f>#REF!</f>
        <v>#REF!</v>
      </c>
      <c r="E228" s="71">
        <v>0</v>
      </c>
      <c r="F228" s="71">
        <v>0</v>
      </c>
      <c r="G228" s="71" t="e">
        <f t="shared" si="13"/>
        <v>#REF!</v>
      </c>
      <c r="H228" s="65"/>
      <c r="I228" s="72" t="e">
        <f>#REF!</f>
        <v>#REF!</v>
      </c>
      <c r="J228" s="72"/>
      <c r="K228" s="71">
        <v>-3219.6574999999998</v>
      </c>
      <c r="L228" s="71">
        <v>0</v>
      </c>
      <c r="M228" s="71" t="e">
        <f t="shared" si="14"/>
        <v>#REF!</v>
      </c>
      <c r="N228" s="73" t="e">
        <f t="shared" si="15"/>
        <v>#REF!</v>
      </c>
    </row>
    <row r="229" spans="1:14" ht="15" hidden="1">
      <c r="A229" s="75">
        <v>8</v>
      </c>
      <c r="B229" s="75">
        <v>1960</v>
      </c>
      <c r="C229" s="70" t="s">
        <v>44</v>
      </c>
      <c r="D229" s="71">
        <f>G154</f>
        <v>7842.42</v>
      </c>
      <c r="E229" s="71">
        <v>0</v>
      </c>
      <c r="F229" s="71">
        <v>0</v>
      </c>
      <c r="G229" s="71">
        <f t="shared" si="13"/>
        <v>7842.42</v>
      </c>
      <c r="H229" s="65"/>
      <c r="I229" s="72">
        <f>M154</f>
        <v>-3921.2199999999993</v>
      </c>
      <c r="J229" s="72"/>
      <c r="K229" s="71">
        <v>0</v>
      </c>
      <c r="L229" s="71">
        <v>0</v>
      </c>
      <c r="M229" s="71">
        <f t="shared" si="14"/>
        <v>-3921.2199999999993</v>
      </c>
      <c r="N229" s="73">
        <f t="shared" si="15"/>
        <v>3921.2000000000007</v>
      </c>
    </row>
    <row r="230" spans="1:14" ht="15" hidden="1">
      <c r="A230" s="52">
        <v>47</v>
      </c>
      <c r="B230" s="75">
        <v>1970</v>
      </c>
      <c r="C230" s="74" t="s">
        <v>45</v>
      </c>
      <c r="D230" s="71">
        <f>G155</f>
        <v>245119.26</v>
      </c>
      <c r="E230" s="71">
        <v>0</v>
      </c>
      <c r="F230" s="71">
        <v>0</v>
      </c>
      <c r="G230" s="71">
        <f t="shared" si="13"/>
        <v>245119.26</v>
      </c>
      <c r="H230" s="65"/>
      <c r="I230" s="72">
        <f>M155</f>
        <v>-176672.14</v>
      </c>
      <c r="J230" s="72"/>
      <c r="K230" s="71">
        <v>-294.57500000000005</v>
      </c>
      <c r="L230" s="71">
        <v>0</v>
      </c>
      <c r="M230" s="71">
        <f t="shared" si="14"/>
        <v>-176966.71500000003</v>
      </c>
      <c r="N230" s="73">
        <f t="shared" si="15"/>
        <v>68152.544999999984</v>
      </c>
    </row>
    <row r="231" spans="1:14" ht="15" hidden="1">
      <c r="A231" s="69">
        <v>47</v>
      </c>
      <c r="B231" s="69">
        <v>1975</v>
      </c>
      <c r="C231" s="74" t="s">
        <v>69</v>
      </c>
      <c r="D231" s="71" t="e">
        <f>#REF!</f>
        <v>#REF!</v>
      </c>
      <c r="E231" s="71">
        <v>0</v>
      </c>
      <c r="F231" s="71">
        <v>0</v>
      </c>
      <c r="G231" s="71" t="e">
        <f t="shared" si="13"/>
        <v>#REF!</v>
      </c>
      <c r="H231" s="65"/>
      <c r="I231" s="72" t="e">
        <f>#REF!</f>
        <v>#REF!</v>
      </c>
      <c r="J231" s="72"/>
      <c r="K231" s="71">
        <v>0</v>
      </c>
      <c r="L231" s="71">
        <v>0</v>
      </c>
      <c r="M231" s="71" t="e">
        <f t="shared" si="14"/>
        <v>#REF!</v>
      </c>
      <c r="N231" s="73" t="e">
        <f t="shared" si="15"/>
        <v>#REF!</v>
      </c>
    </row>
    <row r="232" spans="1:14" ht="15" hidden="1">
      <c r="A232" s="69">
        <v>47</v>
      </c>
      <c r="B232" s="69">
        <v>1980</v>
      </c>
      <c r="C232" s="74" t="s">
        <v>46</v>
      </c>
      <c r="D232" s="71">
        <f>G156</f>
        <v>353503.71</v>
      </c>
      <c r="E232" s="71">
        <v>0</v>
      </c>
      <c r="F232" s="71">
        <v>0</v>
      </c>
      <c r="G232" s="71">
        <f t="shared" si="13"/>
        <v>353503.71</v>
      </c>
      <c r="H232" s="65"/>
      <c r="I232" s="72">
        <f>M156</f>
        <v>-253227.71000000002</v>
      </c>
      <c r="J232" s="72"/>
      <c r="K232" s="71">
        <v>-784.24199999999996</v>
      </c>
      <c r="L232" s="71">
        <v>0</v>
      </c>
      <c r="M232" s="71">
        <f t="shared" si="14"/>
        <v>-254011.95200000002</v>
      </c>
      <c r="N232" s="73">
        <f t="shared" si="15"/>
        <v>99491.758000000002</v>
      </c>
    </row>
    <row r="233" spans="1:14" ht="15" hidden="1">
      <c r="A233" s="69">
        <v>47</v>
      </c>
      <c r="B233" s="69">
        <v>1985</v>
      </c>
      <c r="C233" s="74" t="s">
        <v>70</v>
      </c>
      <c r="D233" s="71" t="e">
        <f>#REF!</f>
        <v>#REF!</v>
      </c>
      <c r="E233" s="71">
        <v>0</v>
      </c>
      <c r="F233" s="71">
        <v>0</v>
      </c>
      <c r="G233" s="71" t="e">
        <f t="shared" si="13"/>
        <v>#REF!</v>
      </c>
      <c r="H233" s="65"/>
      <c r="I233" s="72" t="e">
        <f>#REF!</f>
        <v>#REF!</v>
      </c>
      <c r="J233" s="72"/>
      <c r="K233" s="71">
        <v>-24511.925999999999</v>
      </c>
      <c r="L233" s="71">
        <v>0</v>
      </c>
      <c r="M233" s="71" t="e">
        <f t="shared" si="14"/>
        <v>#REF!</v>
      </c>
      <c r="N233" s="73" t="e">
        <f t="shared" si="15"/>
        <v>#REF!</v>
      </c>
    </row>
    <row r="234" spans="1:14" ht="15" hidden="1">
      <c r="A234" s="52">
        <v>47</v>
      </c>
      <c r="B234" s="69">
        <v>1990</v>
      </c>
      <c r="C234" s="76" t="s">
        <v>71</v>
      </c>
      <c r="D234" s="71" t="e">
        <f>#REF!</f>
        <v>#REF!</v>
      </c>
      <c r="E234" s="71">
        <v>0</v>
      </c>
      <c r="F234" s="71">
        <v>0</v>
      </c>
      <c r="G234" s="71" t="e">
        <f t="shared" si="13"/>
        <v>#REF!</v>
      </c>
      <c r="H234" s="65"/>
      <c r="I234" s="72" t="e">
        <f>#REF!</f>
        <v>#REF!</v>
      </c>
      <c r="J234" s="72"/>
      <c r="K234" s="71">
        <v>0</v>
      </c>
      <c r="L234" s="71">
        <v>0</v>
      </c>
      <c r="M234" s="71" t="e">
        <f t="shared" si="14"/>
        <v>#REF!</v>
      </c>
      <c r="N234" s="73" t="e">
        <f t="shared" si="15"/>
        <v>#REF!</v>
      </c>
    </row>
    <row r="235" spans="1:14" ht="15" hidden="1">
      <c r="A235" s="69">
        <v>47</v>
      </c>
      <c r="B235" s="69">
        <v>1995</v>
      </c>
      <c r="C235" s="74" t="s">
        <v>47</v>
      </c>
      <c r="D235" s="71">
        <f t="shared" ref="D235" si="16">G157</f>
        <v>-4747714.6700000009</v>
      </c>
      <c r="E235" s="71">
        <v>23847.260000000002</v>
      </c>
      <c r="F235" s="71">
        <v>0</v>
      </c>
      <c r="G235" s="71">
        <f t="shared" si="13"/>
        <v>-4723867.4100000011</v>
      </c>
      <c r="H235" s="65"/>
      <c r="I235" s="72">
        <f t="shared" ref="I235" si="17">M157</f>
        <v>1299486.7</v>
      </c>
      <c r="J235" s="72"/>
      <c r="K235" s="71">
        <v>-17475.639000000003</v>
      </c>
      <c r="L235" s="71">
        <v>0</v>
      </c>
      <c r="M235" s="71">
        <f t="shared" si="14"/>
        <v>1282011.061</v>
      </c>
      <c r="N235" s="73">
        <f t="shared" si="15"/>
        <v>-3441856.3490000013</v>
      </c>
    </row>
    <row r="236" spans="1:14" ht="15" hidden="1">
      <c r="A236" s="77"/>
      <c r="B236" s="77">
        <v>2075</v>
      </c>
      <c r="C236" s="78" t="s">
        <v>48</v>
      </c>
      <c r="D236" s="71">
        <f>G159</f>
        <v>294688.49</v>
      </c>
      <c r="E236" s="71">
        <v>0</v>
      </c>
      <c r="F236" s="71">
        <v>0</v>
      </c>
      <c r="G236" s="71">
        <f t="shared" si="13"/>
        <v>294688.49</v>
      </c>
      <c r="H236" s="54"/>
      <c r="I236" s="72">
        <f>M159</f>
        <v>-22101.63</v>
      </c>
      <c r="J236" s="72"/>
      <c r="K236" s="71">
        <v>0</v>
      </c>
      <c r="L236" s="71">
        <v>0</v>
      </c>
      <c r="M236" s="71">
        <f t="shared" si="14"/>
        <v>-22101.63</v>
      </c>
      <c r="N236" s="73">
        <f t="shared" si="15"/>
        <v>272586.86</v>
      </c>
    </row>
    <row r="237" spans="1:14" ht="15" hidden="1">
      <c r="A237" s="77"/>
      <c r="B237" s="77"/>
      <c r="C237" s="78"/>
      <c r="D237" s="71">
        <f>G160</f>
        <v>8113559</v>
      </c>
      <c r="E237" s="71">
        <v>0</v>
      </c>
      <c r="F237" s="71">
        <v>0</v>
      </c>
      <c r="G237" s="71">
        <f t="shared" si="13"/>
        <v>8113559</v>
      </c>
      <c r="H237" s="54"/>
      <c r="I237" s="72">
        <f>M160</f>
        <v>0</v>
      </c>
      <c r="J237" s="72"/>
      <c r="K237" s="71">
        <v>0</v>
      </c>
      <c r="L237" s="71">
        <v>0</v>
      </c>
      <c r="M237" s="71">
        <f t="shared" si="14"/>
        <v>0</v>
      </c>
      <c r="N237" s="73">
        <f t="shared" si="15"/>
        <v>8113559</v>
      </c>
    </row>
    <row r="238" spans="1:14" hidden="1">
      <c r="A238" s="77"/>
      <c r="B238" s="77"/>
      <c r="C238" s="64" t="s">
        <v>49</v>
      </c>
      <c r="D238" s="79" t="e">
        <f>SUM(D177:D237)</f>
        <v>#REF!</v>
      </c>
      <c r="E238" s="79">
        <f>SUM(E177:E237)</f>
        <v>3651683.5760000064</v>
      </c>
      <c r="F238" s="79">
        <f>SUM(F177:F237)</f>
        <v>-964666.49</v>
      </c>
      <c r="G238" s="79" t="e">
        <f>SUM(G177:G237)</f>
        <v>#REF!</v>
      </c>
      <c r="H238" s="79"/>
      <c r="I238" s="79" t="e">
        <f>SUM(I177:I237)</f>
        <v>#REF!</v>
      </c>
      <c r="J238" s="79"/>
      <c r="K238" s="79">
        <f>SUM(K177:K237)</f>
        <v>-3277491.4161225008</v>
      </c>
      <c r="L238" s="79">
        <f>SUM(L177:L237)</f>
        <v>30930.22</v>
      </c>
      <c r="M238" s="79" t="e">
        <f>SUM(M177:M237)</f>
        <v>#REF!</v>
      </c>
      <c r="N238" s="79" t="e">
        <f>SUM(N177:N237)</f>
        <v>#REF!</v>
      </c>
    </row>
    <row r="239" spans="1:14" ht="25.5" hidden="1">
      <c r="A239" s="77"/>
      <c r="B239" s="77"/>
      <c r="C239" s="80" t="s">
        <v>50</v>
      </c>
      <c r="D239" s="78"/>
      <c r="E239" s="78"/>
      <c r="F239" s="78"/>
      <c r="G239" s="71">
        <f>D239+E239+F239</f>
        <v>0</v>
      </c>
      <c r="H239" s="54"/>
      <c r="I239" s="78"/>
      <c r="J239" s="78"/>
      <c r="K239" s="78"/>
      <c r="L239" s="78"/>
      <c r="M239" s="71">
        <f>I239+K239+L239</f>
        <v>0</v>
      </c>
      <c r="N239" s="73">
        <f>G239+M239</f>
        <v>0</v>
      </c>
    </row>
    <row r="240" spans="1:14" ht="24.75" hidden="1">
      <c r="A240" s="77"/>
      <c r="B240" s="77"/>
      <c r="C240" s="81" t="s">
        <v>51</v>
      </c>
      <c r="D240" s="78"/>
      <c r="E240" s="78"/>
      <c r="F240" s="78"/>
      <c r="G240" s="71">
        <f>D240+E240+F240</f>
        <v>0</v>
      </c>
      <c r="H240" s="54"/>
      <c r="I240" s="78"/>
      <c r="J240" s="78"/>
      <c r="K240" s="78"/>
      <c r="L240" s="78"/>
      <c r="M240" s="71">
        <f>I240+K240+L240</f>
        <v>0</v>
      </c>
      <c r="N240" s="73">
        <f>G240+M240</f>
        <v>0</v>
      </c>
    </row>
    <row r="241" spans="1:15" hidden="1">
      <c r="A241" s="77"/>
      <c r="B241" s="77"/>
      <c r="C241" s="64" t="s">
        <v>52</v>
      </c>
      <c r="D241" s="79" t="e">
        <f>SUM(D238:D240)</f>
        <v>#REF!</v>
      </c>
      <c r="E241" s="79">
        <f>SUM(E238:E240)</f>
        <v>3651683.5760000064</v>
      </c>
      <c r="F241" s="79">
        <f>SUM(F238:F240)</f>
        <v>-964666.49</v>
      </c>
      <c r="G241" s="79" t="e">
        <f>SUM(G238:G240)</f>
        <v>#REF!</v>
      </c>
      <c r="H241" s="79"/>
      <c r="I241" s="79" t="e">
        <f>SUM(I238:I240)</f>
        <v>#REF!</v>
      </c>
      <c r="J241" s="79"/>
      <c r="K241" s="79">
        <f>SUM(K238:K240)</f>
        <v>-3277491.4161225008</v>
      </c>
      <c r="L241" s="79">
        <f>SUM(L238:L240)</f>
        <v>30930.22</v>
      </c>
      <c r="M241" s="79" t="e">
        <f>SUM(M238:M240)</f>
        <v>#REF!</v>
      </c>
      <c r="N241" s="79" t="e">
        <f>SUM(N238:N240)</f>
        <v>#REF!</v>
      </c>
    </row>
    <row r="242" spans="1:15" hidden="1">
      <c r="A242" s="52"/>
      <c r="B242" s="52"/>
      <c r="C242" s="53"/>
      <c r="D242" s="53"/>
      <c r="E242" s="53"/>
      <c r="F242" s="53"/>
      <c r="G242" s="53"/>
      <c r="H242" s="54"/>
      <c r="I242" s="53"/>
      <c r="J242" s="53"/>
      <c r="K242" s="53"/>
      <c r="L242" s="53"/>
      <c r="M242" s="53"/>
      <c r="N242" s="53"/>
    </row>
    <row r="243" spans="1:15" hidden="1">
      <c r="A243" s="52"/>
      <c r="B243" s="52"/>
      <c r="C243" s="53"/>
      <c r="D243" s="53"/>
      <c r="E243" s="53"/>
      <c r="F243" s="53"/>
      <c r="G243" s="53"/>
      <c r="H243" s="54"/>
      <c r="I243" s="82" t="s">
        <v>53</v>
      </c>
      <c r="J243" s="82"/>
      <c r="K243" s="83"/>
      <c r="L243" s="53"/>
      <c r="M243" s="53"/>
      <c r="N243" s="53"/>
    </row>
    <row r="244" spans="1:15" ht="15" hidden="1">
      <c r="A244" s="77">
        <v>10</v>
      </c>
      <c r="B244" s="77"/>
      <c r="C244" s="78" t="s">
        <v>54</v>
      </c>
      <c r="D244" s="53"/>
      <c r="E244" s="53"/>
      <c r="F244" s="53"/>
      <c r="G244" s="53"/>
      <c r="H244" s="54"/>
      <c r="I244" s="83" t="s">
        <v>54</v>
      </c>
      <c r="J244" s="83"/>
      <c r="K244" s="83"/>
      <c r="L244" s="84"/>
      <c r="M244" s="53"/>
      <c r="N244" s="53"/>
    </row>
    <row r="245" spans="1:15" ht="15" hidden="1">
      <c r="A245" s="77">
        <v>8</v>
      </c>
      <c r="B245" s="77"/>
      <c r="C245" s="78" t="s">
        <v>40</v>
      </c>
      <c r="D245" s="53"/>
      <c r="E245" s="53"/>
      <c r="F245" s="53"/>
      <c r="G245" s="53"/>
      <c r="H245" s="54"/>
      <c r="I245" s="83" t="s">
        <v>40</v>
      </c>
      <c r="J245" s="83"/>
      <c r="K245" s="83"/>
      <c r="L245" s="85"/>
      <c r="M245" s="53"/>
      <c r="N245" s="53"/>
    </row>
    <row r="246" spans="1:15" ht="15" hidden="1">
      <c r="A246" s="52"/>
      <c r="B246" s="52"/>
      <c r="C246" s="53"/>
      <c r="D246" s="53"/>
      <c r="E246" s="53"/>
      <c r="F246" s="53"/>
      <c r="G246" s="53"/>
      <c r="H246" s="54"/>
      <c r="I246" s="86" t="s">
        <v>55</v>
      </c>
      <c r="J246" s="86"/>
      <c r="K246" s="53"/>
      <c r="L246" s="87">
        <f>K241-L244-L245</f>
        <v>-3277491.4161225008</v>
      </c>
      <c r="M246" s="53"/>
      <c r="N246" s="53"/>
    </row>
    <row r="247" spans="1:15">
      <c r="O247" s="49"/>
    </row>
    <row r="248" spans="1:15">
      <c r="O248" s="49"/>
    </row>
    <row r="249" spans="1:15">
      <c r="O249" s="49"/>
    </row>
    <row r="250" spans="1:15" s="89" customFormat="1" ht="15.75">
      <c r="A250" s="143" t="s">
        <v>6</v>
      </c>
      <c r="B250" s="143"/>
      <c r="C250" s="143"/>
      <c r="D250" s="143"/>
      <c r="E250" s="143"/>
      <c r="F250" s="143"/>
      <c r="G250" s="143"/>
      <c r="H250" s="143"/>
      <c r="I250" s="143"/>
      <c r="J250" s="143"/>
      <c r="K250" s="143"/>
      <c r="L250" s="143"/>
      <c r="M250" s="143"/>
      <c r="N250" s="143"/>
    </row>
    <row r="251" spans="1:15" s="89" customFormat="1" ht="15.75">
      <c r="A251" s="143" t="s">
        <v>7</v>
      </c>
      <c r="B251" s="143"/>
      <c r="C251" s="143"/>
      <c r="D251" s="143"/>
      <c r="E251" s="143"/>
      <c r="F251" s="143"/>
      <c r="G251" s="143"/>
      <c r="H251" s="143"/>
      <c r="I251" s="143"/>
      <c r="J251" s="143"/>
      <c r="K251" s="143"/>
      <c r="L251" s="143"/>
      <c r="M251" s="143"/>
      <c r="N251" s="143"/>
    </row>
    <row r="252" spans="1:15" ht="3" customHeight="1"/>
    <row r="253" spans="1:15" ht="13.5" customHeight="1">
      <c r="C253" s="10"/>
      <c r="E253" s="11" t="s">
        <v>8</v>
      </c>
      <c r="F253" s="12" t="s">
        <v>74</v>
      </c>
      <c r="G253" s="13"/>
    </row>
    <row r="254" spans="1:15" ht="3" customHeight="1"/>
    <row r="255" spans="1:15">
      <c r="D255" s="137" t="s">
        <v>9</v>
      </c>
      <c r="E255" s="138"/>
      <c r="F255" s="138"/>
      <c r="G255" s="139"/>
      <c r="I255" s="14"/>
      <c r="J255" s="125"/>
      <c r="K255" s="15" t="s">
        <v>10</v>
      </c>
      <c r="L255" s="15"/>
      <c r="M255" s="16"/>
      <c r="N255" s="3"/>
    </row>
    <row r="256" spans="1:15" ht="25.5">
      <c r="A256" s="17" t="s">
        <v>11</v>
      </c>
      <c r="B256" s="18" t="s">
        <v>12</v>
      </c>
      <c r="C256" s="19" t="s">
        <v>13</v>
      </c>
      <c r="D256" s="17" t="s">
        <v>14</v>
      </c>
      <c r="E256" s="18" t="s">
        <v>15</v>
      </c>
      <c r="F256" s="18" t="s">
        <v>16</v>
      </c>
      <c r="G256" s="17" t="s">
        <v>17</v>
      </c>
      <c r="H256" s="20"/>
      <c r="I256" s="21" t="s">
        <v>14</v>
      </c>
      <c r="J256" s="21"/>
      <c r="K256" s="22" t="s">
        <v>15</v>
      </c>
      <c r="L256" s="22" t="s">
        <v>16</v>
      </c>
      <c r="M256" s="23" t="s">
        <v>17</v>
      </c>
      <c r="N256" s="17" t="s">
        <v>18</v>
      </c>
    </row>
    <row r="257" spans="1:14" ht="25.5">
      <c r="A257" s="24">
        <v>12</v>
      </c>
      <c r="B257" s="24">
        <v>1611</v>
      </c>
      <c r="C257" s="25" t="s">
        <v>19</v>
      </c>
      <c r="D257" s="26">
        <f>G129</f>
        <v>723669.2</v>
      </c>
      <c r="E257" s="26">
        <v>92110</v>
      </c>
      <c r="F257" s="26">
        <v>0</v>
      </c>
      <c r="G257" s="27">
        <f t="shared" ref="G257:G286" si="18">D257+E257+F257</f>
        <v>815779.2</v>
      </c>
      <c r="H257" s="28"/>
      <c r="I257" s="29">
        <f>M129</f>
        <v>-565560.48</v>
      </c>
      <c r="J257" s="29"/>
      <c r="K257" s="26">
        <v>-63112</v>
      </c>
      <c r="L257" s="26">
        <v>0</v>
      </c>
      <c r="M257" s="27">
        <f>I257+K257+L257</f>
        <v>-628672.48</v>
      </c>
      <c r="N257" s="30">
        <f>G257+M257</f>
        <v>187106.71999999997</v>
      </c>
    </row>
    <row r="258" spans="1:14" ht="15">
      <c r="A258" s="31" t="s">
        <v>20</v>
      </c>
      <c r="B258" s="31">
        <v>1805</v>
      </c>
      <c r="C258" s="32" t="s">
        <v>21</v>
      </c>
      <c r="D258" s="26">
        <f>G130</f>
        <v>1239823.1500000001</v>
      </c>
      <c r="E258" s="26">
        <v>12379</v>
      </c>
      <c r="F258" s="26">
        <v>-913474</v>
      </c>
      <c r="G258" s="27">
        <f t="shared" si="18"/>
        <v>338728.15000000014</v>
      </c>
      <c r="H258" s="28"/>
      <c r="I258" s="29">
        <f>M130</f>
        <v>0</v>
      </c>
      <c r="J258" s="29"/>
      <c r="K258" s="26">
        <v>0</v>
      </c>
      <c r="L258" s="26">
        <v>0</v>
      </c>
      <c r="M258" s="27">
        <f t="shared" ref="M258:M288" si="19">I258+K258+L258</f>
        <v>0</v>
      </c>
      <c r="N258" s="30">
        <f t="shared" ref="N258:N288" si="20">G258+M258</f>
        <v>338728.15000000014</v>
      </c>
    </row>
    <row r="259" spans="1:14" ht="15">
      <c r="A259" s="24">
        <v>47</v>
      </c>
      <c r="B259" s="24">
        <v>1808</v>
      </c>
      <c r="C259" s="33" t="s">
        <v>22</v>
      </c>
      <c r="D259" s="26">
        <v>1672115</v>
      </c>
      <c r="E259" s="26">
        <v>0</v>
      </c>
      <c r="F259" s="26">
        <v>0</v>
      </c>
      <c r="G259" s="27">
        <f t="shared" si="18"/>
        <v>1672115</v>
      </c>
      <c r="H259" s="28"/>
      <c r="I259" s="29">
        <v>-1074568</v>
      </c>
      <c r="J259" s="29"/>
      <c r="K259" s="26">
        <f>-23703-3656</f>
        <v>-27359</v>
      </c>
      <c r="L259" s="26">
        <v>0</v>
      </c>
      <c r="M259" s="27">
        <f t="shared" si="19"/>
        <v>-1101927</v>
      </c>
      <c r="N259" s="30">
        <f t="shared" si="20"/>
        <v>570188</v>
      </c>
    </row>
    <row r="260" spans="1:14" ht="15">
      <c r="A260" s="24">
        <v>47</v>
      </c>
      <c r="B260" s="24">
        <v>1820</v>
      </c>
      <c r="C260" s="25" t="s">
        <v>24</v>
      </c>
      <c r="D260" s="26">
        <f>G133</f>
        <v>1745895.87</v>
      </c>
      <c r="E260" s="26">
        <v>0</v>
      </c>
      <c r="F260" s="26">
        <v>0</v>
      </c>
      <c r="G260" s="27">
        <f t="shared" si="18"/>
        <v>1745895.87</v>
      </c>
      <c r="H260" s="28"/>
      <c r="I260" s="29">
        <f>M133</f>
        <v>-1446935.4400000002</v>
      </c>
      <c r="J260" s="29"/>
      <c r="K260" s="26">
        <v>-44163</v>
      </c>
      <c r="L260" s="26">
        <v>0</v>
      </c>
      <c r="M260" s="27">
        <f t="shared" si="19"/>
        <v>-1491098.4400000002</v>
      </c>
      <c r="N260" s="30">
        <f t="shared" si="20"/>
        <v>254797.42999999993</v>
      </c>
    </row>
    <row r="261" spans="1:14" ht="15">
      <c r="A261" s="24">
        <v>47</v>
      </c>
      <c r="B261" s="24">
        <v>1830</v>
      </c>
      <c r="C261" s="33" t="s">
        <v>25</v>
      </c>
      <c r="D261" s="26">
        <f>6638565+1508015+8178710</f>
        <v>16325290</v>
      </c>
      <c r="E261" s="26">
        <f>298416+126983+339580</f>
        <v>764979</v>
      </c>
      <c r="F261" s="26">
        <v>0</v>
      </c>
      <c r="G261" s="27">
        <f t="shared" si="18"/>
        <v>17090269</v>
      </c>
      <c r="H261" s="28"/>
      <c r="I261" s="29">
        <f>-3064152-981987-3472937</f>
        <v>-7519076</v>
      </c>
      <c r="J261" s="29"/>
      <c r="K261" s="26">
        <f>-70708-13486-148281</f>
        <v>-232475</v>
      </c>
      <c r="L261" s="26">
        <v>0</v>
      </c>
      <c r="M261" s="27">
        <f t="shared" si="19"/>
        <v>-7751551</v>
      </c>
      <c r="N261" s="30">
        <f t="shared" si="20"/>
        <v>9338718</v>
      </c>
    </row>
    <row r="262" spans="1:14" ht="15">
      <c r="A262" s="24">
        <v>47</v>
      </c>
      <c r="B262" s="24">
        <v>1835</v>
      </c>
      <c r="C262" s="33" t="s">
        <v>26</v>
      </c>
      <c r="D262" s="26">
        <v>10097497</v>
      </c>
      <c r="E262" s="26">
        <f>89730+419022</f>
        <v>508752</v>
      </c>
      <c r="F262" s="26">
        <v>0</v>
      </c>
      <c r="G262" s="27">
        <f t="shared" si="18"/>
        <v>10606249</v>
      </c>
      <c r="H262" s="28"/>
      <c r="I262" s="29">
        <f>-658846-104332-3670853-33327-7486</f>
        <v>-4474844</v>
      </c>
      <c r="J262" s="29"/>
      <c r="K262" s="26">
        <f>-7082-9911-79139-5058-1512</f>
        <v>-102702</v>
      </c>
      <c r="L262" s="26">
        <v>0</v>
      </c>
      <c r="M262" s="27">
        <f t="shared" si="19"/>
        <v>-4577546</v>
      </c>
      <c r="N262" s="30">
        <f t="shared" si="20"/>
        <v>6028703</v>
      </c>
    </row>
    <row r="263" spans="1:14" ht="15">
      <c r="A263" s="24">
        <v>47</v>
      </c>
      <c r="B263" s="24">
        <v>1840</v>
      </c>
      <c r="C263" s="33" t="s">
        <v>27</v>
      </c>
      <c r="D263" s="26">
        <f>7026175+1971228</f>
        <v>8997403</v>
      </c>
      <c r="E263" s="26">
        <f>151996+82217</f>
        <v>234213</v>
      </c>
      <c r="F263" s="26">
        <v>0</v>
      </c>
      <c r="G263" s="27">
        <f t="shared" si="18"/>
        <v>9231616</v>
      </c>
      <c r="H263" s="28"/>
      <c r="I263" s="29">
        <f>-4324339-1116639</f>
        <v>-5440978</v>
      </c>
      <c r="J263" s="29"/>
      <c r="K263" s="26">
        <f>-69173-19192</f>
        <v>-88365</v>
      </c>
      <c r="L263" s="26">
        <v>0</v>
      </c>
      <c r="M263" s="27">
        <f t="shared" si="19"/>
        <v>-5529343</v>
      </c>
      <c r="N263" s="30">
        <f t="shared" si="20"/>
        <v>3702273</v>
      </c>
    </row>
    <row r="264" spans="1:14" ht="15">
      <c r="A264" s="24">
        <v>47</v>
      </c>
      <c r="B264" s="24">
        <v>1845</v>
      </c>
      <c r="C264" s="33" t="s">
        <v>28</v>
      </c>
      <c r="D264" s="26">
        <f>7090020+8490392+1143051</f>
        <v>16723463</v>
      </c>
      <c r="E264" s="26">
        <f>837215+111980</f>
        <v>949195</v>
      </c>
      <c r="F264" s="26">
        <v>0</v>
      </c>
      <c r="G264" s="27">
        <f t="shared" si="18"/>
        <v>17672658</v>
      </c>
      <c r="H264" s="28"/>
      <c r="I264" s="29">
        <f>-6625393-4066909-571478</f>
        <v>-11263780</v>
      </c>
      <c r="J264" s="29"/>
      <c r="K264" s="26">
        <f>-286810-157198-44596</f>
        <v>-488604</v>
      </c>
      <c r="L264" s="26">
        <v>0</v>
      </c>
      <c r="M264" s="27">
        <f t="shared" si="19"/>
        <v>-11752384</v>
      </c>
      <c r="N264" s="30">
        <f t="shared" si="20"/>
        <v>5920274</v>
      </c>
    </row>
    <row r="265" spans="1:14" ht="15">
      <c r="A265" s="24">
        <v>47</v>
      </c>
      <c r="B265" s="24">
        <v>1850</v>
      </c>
      <c r="C265" s="33" t="s">
        <v>29</v>
      </c>
      <c r="D265" s="26">
        <f>8007191+6090308+32638</f>
        <v>14130137</v>
      </c>
      <c r="E265" s="26">
        <f>55484+251255</f>
        <v>306739</v>
      </c>
      <c r="F265" s="26">
        <v>0</v>
      </c>
      <c r="G265" s="27">
        <f t="shared" si="18"/>
        <v>14436876</v>
      </c>
      <c r="H265" s="28"/>
      <c r="I265" s="29">
        <f>-5689262-3042345-32638</f>
        <v>-8764245</v>
      </c>
      <c r="J265" s="29"/>
      <c r="K265" s="26">
        <f>-106676-86055</f>
        <v>-192731</v>
      </c>
      <c r="L265" s="26">
        <v>0</v>
      </c>
      <c r="M265" s="27">
        <f t="shared" si="19"/>
        <v>-8956976</v>
      </c>
      <c r="N265" s="30">
        <f t="shared" si="20"/>
        <v>5479900</v>
      </c>
    </row>
    <row r="266" spans="1:14" ht="15">
      <c r="A266" s="24">
        <v>47</v>
      </c>
      <c r="B266" s="24">
        <v>1855</v>
      </c>
      <c r="C266" s="33" t="s">
        <v>75</v>
      </c>
      <c r="D266" s="26">
        <f>3490761+1086713</f>
        <v>4577474</v>
      </c>
      <c r="E266" s="26">
        <f>90478+13102</f>
        <v>103580</v>
      </c>
      <c r="F266" s="26">
        <v>0</v>
      </c>
      <c r="G266" s="27">
        <f t="shared" si="18"/>
        <v>4681054</v>
      </c>
      <c r="H266" s="28"/>
      <c r="I266" s="29">
        <f>-1786011-885576</f>
        <v>-2671587</v>
      </c>
      <c r="J266" s="29"/>
      <c r="K266" s="26">
        <f>-59563-4186</f>
        <v>-63749</v>
      </c>
      <c r="L266" s="26">
        <v>0</v>
      </c>
      <c r="M266" s="27">
        <f t="shared" si="19"/>
        <v>-2735336</v>
      </c>
      <c r="N266" s="30">
        <f t="shared" si="20"/>
        <v>1945718</v>
      </c>
    </row>
    <row r="267" spans="1:14" ht="15">
      <c r="A267" s="24">
        <v>47</v>
      </c>
      <c r="B267" s="24">
        <v>1860</v>
      </c>
      <c r="C267" s="33" t="s">
        <v>31</v>
      </c>
      <c r="D267" s="26">
        <f>2873553+392884+402376+222130+3630088</f>
        <v>7521031</v>
      </c>
      <c r="E267" s="26">
        <f>36713+20788+33773</f>
        <v>91274</v>
      </c>
      <c r="F267" s="26">
        <v>0</v>
      </c>
      <c r="G267" s="27">
        <f t="shared" si="18"/>
        <v>7612305</v>
      </c>
      <c r="H267" s="28"/>
      <c r="I267" s="29">
        <f>-2198167-191138-140906-68303-578254</f>
        <v>-3176768</v>
      </c>
      <c r="J267" s="29"/>
      <c r="K267" s="26">
        <f>-122732-6311-23488-12540-404591</f>
        <v>-569662</v>
      </c>
      <c r="L267" s="26">
        <v>0</v>
      </c>
      <c r="M267" s="27">
        <f t="shared" si="19"/>
        <v>-3746430</v>
      </c>
      <c r="N267" s="30">
        <f t="shared" si="20"/>
        <v>3865875</v>
      </c>
    </row>
    <row r="268" spans="1:14" ht="15">
      <c r="A268" s="31"/>
      <c r="B268" s="31">
        <v>1890</v>
      </c>
      <c r="C268" s="32" t="s">
        <v>32</v>
      </c>
      <c r="D268" s="26">
        <f>G141</f>
        <v>489209.32000000007</v>
      </c>
      <c r="E268" s="26">
        <v>0</v>
      </c>
      <c r="F268" s="26">
        <v>-20263</v>
      </c>
      <c r="G268" s="27">
        <f t="shared" si="18"/>
        <v>468946.32000000007</v>
      </c>
      <c r="H268" s="28"/>
      <c r="I268" s="29">
        <f>M141</f>
        <v>0</v>
      </c>
      <c r="J268" s="29"/>
      <c r="K268" s="26">
        <v>0</v>
      </c>
      <c r="L268" s="26">
        <v>0</v>
      </c>
      <c r="M268" s="27">
        <f t="shared" si="19"/>
        <v>0</v>
      </c>
      <c r="N268" s="30">
        <f t="shared" si="20"/>
        <v>468946.32000000007</v>
      </c>
    </row>
    <row r="269" spans="1:14" ht="15">
      <c r="A269" s="31"/>
      <c r="B269" s="31">
        <v>1905</v>
      </c>
      <c r="C269" s="32" t="s">
        <v>21</v>
      </c>
      <c r="D269" s="26">
        <f>G142</f>
        <v>17041.330000000002</v>
      </c>
      <c r="E269" s="26">
        <v>0</v>
      </c>
      <c r="F269" s="26">
        <v>0</v>
      </c>
      <c r="G269" s="27">
        <f t="shared" si="18"/>
        <v>17041.330000000002</v>
      </c>
      <c r="H269" s="28"/>
      <c r="I269" s="29">
        <f>M142</f>
        <v>-17041.330000000002</v>
      </c>
      <c r="J269" s="29"/>
      <c r="K269" s="26">
        <v>0</v>
      </c>
      <c r="L269" s="26">
        <v>0</v>
      </c>
      <c r="M269" s="27">
        <f t="shared" si="19"/>
        <v>-17041.330000000002</v>
      </c>
      <c r="N269" s="30">
        <f t="shared" si="20"/>
        <v>0</v>
      </c>
    </row>
    <row r="270" spans="1:14" ht="15">
      <c r="A270" s="24">
        <v>47</v>
      </c>
      <c r="B270" s="24">
        <v>1908</v>
      </c>
      <c r="C270" s="33" t="s">
        <v>33</v>
      </c>
      <c r="D270" s="26">
        <f>150703+388575</f>
        <v>539278</v>
      </c>
      <c r="E270" s="26">
        <f>7732+37976</f>
        <v>45708</v>
      </c>
      <c r="F270" s="26">
        <v>0</v>
      </c>
      <c r="G270" s="27">
        <f t="shared" si="18"/>
        <v>584986</v>
      </c>
      <c r="H270" s="28"/>
      <c r="I270" s="29">
        <f>-30391-71818</f>
        <v>-102209</v>
      </c>
      <c r="J270" s="29"/>
      <c r="K270" s="26">
        <f>-51228-16825</f>
        <v>-68053</v>
      </c>
      <c r="L270" s="26">
        <v>0</v>
      </c>
      <c r="M270" s="27">
        <f t="shared" si="19"/>
        <v>-170262</v>
      </c>
      <c r="N270" s="30">
        <f t="shared" si="20"/>
        <v>414724</v>
      </c>
    </row>
    <row r="271" spans="1:14" ht="15">
      <c r="A271" s="24">
        <v>13</v>
      </c>
      <c r="B271" s="24">
        <v>1910</v>
      </c>
      <c r="C271" s="33" t="s">
        <v>34</v>
      </c>
      <c r="D271" s="26">
        <f t="shared" ref="D271:D284" si="21">G144</f>
        <v>21798.12</v>
      </c>
      <c r="E271" s="26">
        <v>0</v>
      </c>
      <c r="F271" s="26"/>
      <c r="G271" s="27">
        <f t="shared" si="18"/>
        <v>21798.12</v>
      </c>
      <c r="H271" s="28"/>
      <c r="I271" s="29">
        <f>M144</f>
        <v>-21798.12</v>
      </c>
      <c r="J271" s="29"/>
      <c r="K271" s="26">
        <v>0</v>
      </c>
      <c r="L271" s="26">
        <v>0</v>
      </c>
      <c r="M271" s="27">
        <f t="shared" si="19"/>
        <v>-21798.12</v>
      </c>
      <c r="N271" s="30">
        <f t="shared" si="20"/>
        <v>0</v>
      </c>
    </row>
    <row r="272" spans="1:14" ht="15">
      <c r="A272" s="24">
        <v>8</v>
      </c>
      <c r="B272" s="24">
        <v>1915</v>
      </c>
      <c r="C272" s="33" t="s">
        <v>35</v>
      </c>
      <c r="D272" s="26">
        <f t="shared" si="21"/>
        <v>381569.15</v>
      </c>
      <c r="E272" s="26">
        <v>3684</v>
      </c>
      <c r="F272" s="26">
        <v>0</v>
      </c>
      <c r="G272" s="27">
        <f t="shared" si="18"/>
        <v>385253.15</v>
      </c>
      <c r="H272" s="28"/>
      <c r="I272" s="29">
        <f>M145</f>
        <v>-343299.76</v>
      </c>
      <c r="J272" s="29"/>
      <c r="K272" s="26">
        <v>-7866</v>
      </c>
      <c r="L272" s="26">
        <v>0</v>
      </c>
      <c r="M272" s="27">
        <f t="shared" si="19"/>
        <v>-351165.76</v>
      </c>
      <c r="N272" s="30">
        <f t="shared" si="20"/>
        <v>34087.390000000014</v>
      </c>
    </row>
    <row r="273" spans="1:14" ht="15">
      <c r="A273" s="24">
        <v>10</v>
      </c>
      <c r="B273" s="24">
        <v>1920</v>
      </c>
      <c r="C273" s="33" t="s">
        <v>36</v>
      </c>
      <c r="D273" s="26">
        <f t="shared" si="21"/>
        <v>540191.49000000011</v>
      </c>
      <c r="E273" s="26">
        <v>0</v>
      </c>
      <c r="F273" s="26">
        <v>0</v>
      </c>
      <c r="G273" s="27">
        <f t="shared" si="18"/>
        <v>540191.49000000011</v>
      </c>
      <c r="H273" s="28"/>
      <c r="I273" s="29">
        <f t="shared" ref="I273:I275" si="22">M146</f>
        <v>-540191.49</v>
      </c>
      <c r="J273" s="29"/>
      <c r="K273" s="26">
        <v>0</v>
      </c>
      <c r="L273" s="26">
        <v>0</v>
      </c>
      <c r="M273" s="27">
        <f t="shared" si="19"/>
        <v>-540191.49</v>
      </c>
      <c r="N273" s="30">
        <f t="shared" si="20"/>
        <v>0</v>
      </c>
    </row>
    <row r="274" spans="1:14" ht="15">
      <c r="A274" s="24">
        <v>45</v>
      </c>
      <c r="B274" s="34">
        <v>1920</v>
      </c>
      <c r="C274" s="25" t="s">
        <v>37</v>
      </c>
      <c r="D274" s="26">
        <f t="shared" si="21"/>
        <v>75673.850000000006</v>
      </c>
      <c r="E274" s="26">
        <v>0</v>
      </c>
      <c r="F274" s="26">
        <v>0</v>
      </c>
      <c r="G274" s="27">
        <f t="shared" si="18"/>
        <v>75673.850000000006</v>
      </c>
      <c r="H274" s="28"/>
      <c r="I274" s="29">
        <f t="shared" si="22"/>
        <v>-75673.850000000006</v>
      </c>
      <c r="J274" s="29"/>
      <c r="K274" s="26">
        <v>0</v>
      </c>
      <c r="L274" s="26">
        <v>0</v>
      </c>
      <c r="M274" s="27">
        <f t="shared" si="19"/>
        <v>-75673.850000000006</v>
      </c>
      <c r="N274" s="30">
        <f t="shared" si="20"/>
        <v>0</v>
      </c>
    </row>
    <row r="275" spans="1:14" ht="15">
      <c r="A275" s="24">
        <v>45.1</v>
      </c>
      <c r="B275" s="34">
        <v>1920</v>
      </c>
      <c r="C275" s="25" t="s">
        <v>38</v>
      </c>
      <c r="D275" s="26">
        <f t="shared" si="21"/>
        <v>484082.00000000006</v>
      </c>
      <c r="E275" s="26">
        <v>210755.81999999995</v>
      </c>
      <c r="F275" s="26">
        <v>0</v>
      </c>
      <c r="G275" s="27">
        <f t="shared" si="18"/>
        <v>694837.82000000007</v>
      </c>
      <c r="H275" s="28"/>
      <c r="I275" s="29">
        <f t="shared" si="22"/>
        <v>-360828.71</v>
      </c>
      <c r="J275" s="29"/>
      <c r="K275" s="26">
        <v>-64302</v>
      </c>
      <c r="L275" s="26">
        <v>0</v>
      </c>
      <c r="M275" s="27">
        <f t="shared" si="19"/>
        <v>-425130.71</v>
      </c>
      <c r="N275" s="30">
        <f t="shared" si="20"/>
        <v>269707.11000000004</v>
      </c>
    </row>
    <row r="276" spans="1:14" ht="15">
      <c r="A276" s="24">
        <v>10</v>
      </c>
      <c r="B276" s="24">
        <v>1930</v>
      </c>
      <c r="C276" s="33" t="s">
        <v>39</v>
      </c>
      <c r="D276" s="26">
        <f t="shared" si="21"/>
        <v>3056370.21</v>
      </c>
      <c r="E276" s="26">
        <v>32154</v>
      </c>
      <c r="F276" s="26">
        <v>-30930</v>
      </c>
      <c r="G276" s="27">
        <f t="shared" si="18"/>
        <v>3057594.21</v>
      </c>
      <c r="H276" s="28"/>
      <c r="I276" s="29">
        <f>-2041456-31273</f>
        <v>-2072729</v>
      </c>
      <c r="J276" s="29"/>
      <c r="K276" s="26">
        <f>-104308-7922</f>
        <v>-112230</v>
      </c>
      <c r="L276" s="26">
        <v>30930</v>
      </c>
      <c r="M276" s="27">
        <f t="shared" si="19"/>
        <v>-2154029</v>
      </c>
      <c r="N276" s="30">
        <f t="shared" si="20"/>
        <v>903565.21</v>
      </c>
    </row>
    <row r="277" spans="1:14" ht="15">
      <c r="A277" s="24">
        <v>8</v>
      </c>
      <c r="B277" s="24">
        <v>1935</v>
      </c>
      <c r="C277" s="33" t="s">
        <v>40</v>
      </c>
      <c r="D277" s="26">
        <f t="shared" si="21"/>
        <v>36199.29</v>
      </c>
      <c r="E277" s="26">
        <v>0</v>
      </c>
      <c r="F277" s="26">
        <v>0</v>
      </c>
      <c r="G277" s="27">
        <f t="shared" si="18"/>
        <v>36199.29</v>
      </c>
      <c r="H277" s="28"/>
      <c r="I277" s="29">
        <f t="shared" ref="I277:I284" si="23">M150</f>
        <v>-36199.29</v>
      </c>
      <c r="J277" s="29"/>
      <c r="K277" s="26">
        <v>0</v>
      </c>
      <c r="L277" s="26">
        <v>0</v>
      </c>
      <c r="M277" s="27">
        <f t="shared" si="19"/>
        <v>-36199.29</v>
      </c>
      <c r="N277" s="30">
        <f t="shared" si="20"/>
        <v>0</v>
      </c>
    </row>
    <row r="278" spans="1:14" ht="15">
      <c r="A278" s="24">
        <v>8</v>
      </c>
      <c r="B278" s="24">
        <v>1940</v>
      </c>
      <c r="C278" s="33" t="s">
        <v>41</v>
      </c>
      <c r="D278" s="26">
        <f t="shared" si="21"/>
        <v>805780.91</v>
      </c>
      <c r="E278" s="26">
        <v>20796.91</v>
      </c>
      <c r="F278" s="26">
        <v>0</v>
      </c>
      <c r="G278" s="27">
        <f t="shared" si="18"/>
        <v>826577.82000000007</v>
      </c>
      <c r="H278" s="28"/>
      <c r="I278" s="29">
        <f t="shared" si="23"/>
        <v>-664501.1100000001</v>
      </c>
      <c r="J278" s="29"/>
      <c r="K278" s="26">
        <v>-29740</v>
      </c>
      <c r="L278" s="26">
        <v>0</v>
      </c>
      <c r="M278" s="27">
        <f t="shared" si="19"/>
        <v>-694241.1100000001</v>
      </c>
      <c r="N278" s="30">
        <f t="shared" si="20"/>
        <v>132336.70999999996</v>
      </c>
    </row>
    <row r="279" spans="1:14" ht="15">
      <c r="A279" s="24">
        <v>8</v>
      </c>
      <c r="B279" s="24">
        <v>1945</v>
      </c>
      <c r="C279" s="33" t="s">
        <v>42</v>
      </c>
      <c r="D279" s="26">
        <f t="shared" si="21"/>
        <v>39169.78</v>
      </c>
      <c r="E279" s="26">
        <v>0</v>
      </c>
      <c r="F279" s="26"/>
      <c r="G279" s="27">
        <f t="shared" si="18"/>
        <v>39169.78</v>
      </c>
      <c r="H279" s="28"/>
      <c r="I279" s="29">
        <f t="shared" si="23"/>
        <v>-26291.16</v>
      </c>
      <c r="J279" s="29"/>
      <c r="K279" s="26">
        <v>-3220</v>
      </c>
      <c r="L279" s="26">
        <v>0</v>
      </c>
      <c r="M279" s="27">
        <f t="shared" si="19"/>
        <v>-29511.16</v>
      </c>
      <c r="N279" s="30">
        <f t="shared" si="20"/>
        <v>9658.619999999999</v>
      </c>
    </row>
    <row r="280" spans="1:14" ht="15">
      <c r="A280" s="24">
        <v>8</v>
      </c>
      <c r="B280" s="24">
        <v>1955</v>
      </c>
      <c r="C280" s="33" t="s">
        <v>43</v>
      </c>
      <c r="D280" s="26">
        <f t="shared" si="21"/>
        <v>106527.86</v>
      </c>
      <c r="E280" s="26">
        <v>0</v>
      </c>
      <c r="F280" s="26">
        <v>0</v>
      </c>
      <c r="G280" s="27">
        <f t="shared" si="18"/>
        <v>106527.86</v>
      </c>
      <c r="H280" s="28"/>
      <c r="I280" s="29">
        <f t="shared" si="23"/>
        <v>-105866.3</v>
      </c>
      <c r="J280" s="29"/>
      <c r="K280" s="26">
        <v>-295</v>
      </c>
      <c r="L280" s="26">
        <v>0</v>
      </c>
      <c r="M280" s="27">
        <f t="shared" si="19"/>
        <v>-106161.3</v>
      </c>
      <c r="N280" s="30">
        <f t="shared" si="20"/>
        <v>366.55999999999767</v>
      </c>
    </row>
    <row r="281" spans="1:14" ht="15">
      <c r="A281" s="34">
        <v>8</v>
      </c>
      <c r="B281" s="34">
        <v>1960</v>
      </c>
      <c r="C281" s="25" t="s">
        <v>44</v>
      </c>
      <c r="D281" s="26">
        <f t="shared" si="21"/>
        <v>7842.42</v>
      </c>
      <c r="E281" s="26">
        <v>0</v>
      </c>
      <c r="F281" s="26">
        <v>0</v>
      </c>
      <c r="G281" s="27">
        <f t="shared" si="18"/>
        <v>7842.42</v>
      </c>
      <c r="H281" s="28"/>
      <c r="I281" s="29">
        <f t="shared" si="23"/>
        <v>-3921.2199999999993</v>
      </c>
      <c r="J281" s="29"/>
      <c r="K281" s="26">
        <v>-784</v>
      </c>
      <c r="L281" s="26">
        <v>0</v>
      </c>
      <c r="M281" s="27">
        <f t="shared" si="19"/>
        <v>-4705.2199999999993</v>
      </c>
      <c r="N281" s="30">
        <f t="shared" si="20"/>
        <v>3137.2000000000007</v>
      </c>
    </row>
    <row r="282" spans="1:14" ht="15">
      <c r="A282" s="1">
        <v>47</v>
      </c>
      <c r="B282" s="34">
        <v>1970</v>
      </c>
      <c r="C282" s="33" t="s">
        <v>45</v>
      </c>
      <c r="D282" s="26">
        <f t="shared" si="21"/>
        <v>245119.26</v>
      </c>
      <c r="E282" s="26">
        <v>0</v>
      </c>
      <c r="F282" s="26">
        <v>0</v>
      </c>
      <c r="G282" s="27">
        <f t="shared" si="18"/>
        <v>245119.26</v>
      </c>
      <c r="H282" s="28"/>
      <c r="I282" s="29">
        <f t="shared" si="23"/>
        <v>-176672.14</v>
      </c>
      <c r="J282" s="29"/>
      <c r="K282" s="26">
        <v>-24698</v>
      </c>
      <c r="L282" s="26">
        <v>0</v>
      </c>
      <c r="M282" s="27">
        <f t="shared" si="19"/>
        <v>-201370.14</v>
      </c>
      <c r="N282" s="30">
        <f t="shared" si="20"/>
        <v>43749.119999999995</v>
      </c>
    </row>
    <row r="283" spans="1:14" ht="15">
      <c r="A283" s="24">
        <v>47</v>
      </c>
      <c r="B283" s="24">
        <v>1980</v>
      </c>
      <c r="C283" s="33" t="s">
        <v>46</v>
      </c>
      <c r="D283" s="26">
        <f t="shared" si="21"/>
        <v>353503.71</v>
      </c>
      <c r="E283" s="26">
        <v>23847</v>
      </c>
      <c r="F283" s="26">
        <v>0</v>
      </c>
      <c r="G283" s="27">
        <f t="shared" si="18"/>
        <v>377350.71</v>
      </c>
      <c r="H283" s="28"/>
      <c r="I283" s="29">
        <f t="shared" si="23"/>
        <v>-253227.71000000002</v>
      </c>
      <c r="J283" s="29"/>
      <c r="K283" s="26">
        <v>-9356</v>
      </c>
      <c r="L283" s="26">
        <v>0</v>
      </c>
      <c r="M283" s="27">
        <f t="shared" si="19"/>
        <v>-262583.71000000002</v>
      </c>
      <c r="N283" s="30">
        <f t="shared" si="20"/>
        <v>114767</v>
      </c>
    </row>
    <row r="284" spans="1:14" ht="15">
      <c r="A284" s="24">
        <v>47</v>
      </c>
      <c r="B284" s="24">
        <v>1995</v>
      </c>
      <c r="C284" s="33" t="s">
        <v>47</v>
      </c>
      <c r="D284" s="26">
        <f t="shared" si="21"/>
        <v>-4747714.6700000009</v>
      </c>
      <c r="E284" s="26">
        <v>-148758</v>
      </c>
      <c r="F284" s="26">
        <v>0</v>
      </c>
      <c r="G284" s="27">
        <f t="shared" si="18"/>
        <v>-4896472.6700000009</v>
      </c>
      <c r="H284" s="28"/>
      <c r="I284" s="29">
        <f t="shared" si="23"/>
        <v>1299486.7</v>
      </c>
      <c r="J284" s="29"/>
      <c r="K284" s="26">
        <v>97408</v>
      </c>
      <c r="L284" s="26">
        <v>0</v>
      </c>
      <c r="M284" s="27">
        <f t="shared" si="19"/>
        <v>1396894.7</v>
      </c>
      <c r="N284" s="30">
        <f t="shared" si="20"/>
        <v>-3499577.9700000007</v>
      </c>
    </row>
    <row r="285" spans="1:14" ht="15">
      <c r="A285" s="24">
        <v>14</v>
      </c>
      <c r="B285" s="24">
        <v>1609</v>
      </c>
      <c r="C285" s="33" t="s">
        <v>61</v>
      </c>
      <c r="D285" s="26">
        <v>535630</v>
      </c>
      <c r="E285" s="26"/>
      <c r="F285" s="26">
        <v>-535630</v>
      </c>
      <c r="G285" s="27">
        <f t="shared" si="18"/>
        <v>0</v>
      </c>
      <c r="I285" s="26">
        <v>0</v>
      </c>
      <c r="J285" s="26"/>
      <c r="K285" s="26"/>
      <c r="L285" s="26"/>
      <c r="M285" s="27">
        <f>I285+K285+L285</f>
        <v>0</v>
      </c>
      <c r="N285" s="30">
        <f>G285+M285</f>
        <v>0</v>
      </c>
    </row>
    <row r="286" spans="1:14" ht="15">
      <c r="A286" s="24">
        <v>14</v>
      </c>
      <c r="B286" s="24">
        <v>1609</v>
      </c>
      <c r="C286" s="33" t="s">
        <v>61</v>
      </c>
      <c r="D286" s="26">
        <v>0</v>
      </c>
      <c r="E286" s="26">
        <f>480000+1230026</f>
        <v>1710026</v>
      </c>
      <c r="F286" s="26"/>
      <c r="G286" s="27">
        <f t="shared" si="18"/>
        <v>1710026</v>
      </c>
      <c r="I286" s="26">
        <v>0</v>
      </c>
      <c r="J286" s="26"/>
      <c r="K286" s="26">
        <f>-16000-2278</f>
        <v>-18278</v>
      </c>
      <c r="L286" s="26"/>
      <c r="M286" s="27">
        <f>I286+K286+L286</f>
        <v>-18278</v>
      </c>
      <c r="N286" s="30">
        <f>G286+M286</f>
        <v>1691748</v>
      </c>
    </row>
    <row r="287" spans="1:14" ht="15">
      <c r="A287" s="35">
        <v>43.2</v>
      </c>
      <c r="B287" s="35">
        <v>2075</v>
      </c>
      <c r="C287" s="36" t="s">
        <v>48</v>
      </c>
      <c r="D287" s="26">
        <f>G159</f>
        <v>294688.49</v>
      </c>
      <c r="E287" s="26"/>
      <c r="F287" s="26">
        <v>0</v>
      </c>
      <c r="G287" s="27">
        <f>D287+E287+F287</f>
        <v>294688.49</v>
      </c>
      <c r="I287" s="29">
        <f>M159</f>
        <v>-22101.63</v>
      </c>
      <c r="J287" s="29"/>
      <c r="K287" s="26">
        <v>-14863</v>
      </c>
      <c r="L287" s="26">
        <v>0</v>
      </c>
      <c r="M287" s="27">
        <f t="shared" si="19"/>
        <v>-36964.630000000005</v>
      </c>
      <c r="N287" s="30">
        <f t="shared" si="20"/>
        <v>257723.86</v>
      </c>
    </row>
    <row r="288" spans="1:14" ht="15">
      <c r="A288" s="35">
        <v>47</v>
      </c>
      <c r="B288" s="35">
        <v>2055</v>
      </c>
      <c r="C288" s="36" t="s">
        <v>76</v>
      </c>
      <c r="D288" s="26">
        <f>G160</f>
        <v>8113559</v>
      </c>
      <c r="E288" s="26">
        <v>0</v>
      </c>
      <c r="F288" s="26">
        <v>-8113559</v>
      </c>
      <c r="G288" s="27">
        <f>D288+E288+F288</f>
        <v>0</v>
      </c>
      <c r="I288" s="29">
        <f>M160</f>
        <v>0</v>
      </c>
      <c r="J288" s="29"/>
      <c r="K288" s="26">
        <v>0</v>
      </c>
      <c r="L288" s="26">
        <v>0</v>
      </c>
      <c r="M288" s="27">
        <f t="shared" si="19"/>
        <v>0</v>
      </c>
      <c r="N288" s="30">
        <f t="shared" si="20"/>
        <v>0</v>
      </c>
    </row>
    <row r="289" spans="1:14">
      <c r="A289" s="35"/>
      <c r="B289" s="35"/>
      <c r="C289" s="38" t="s">
        <v>49</v>
      </c>
      <c r="D289" s="39">
        <f>SUM(D257:D288)</f>
        <v>95149317.73999998</v>
      </c>
      <c r="E289" s="39">
        <f>SUM(E257:E288)</f>
        <v>4961434.7300000004</v>
      </c>
      <c r="F289" s="39">
        <f>SUM(F257:F288)</f>
        <v>-9613856</v>
      </c>
      <c r="G289" s="39">
        <f>SUM(G257:G288)</f>
        <v>90496896.469999969</v>
      </c>
      <c r="H289" s="39"/>
      <c r="I289" s="39">
        <f>SUM(I257:I288)</f>
        <v>-49921407.039999992</v>
      </c>
      <c r="J289" s="39"/>
      <c r="K289" s="39">
        <f>SUM(K257:K288)</f>
        <v>-2129199</v>
      </c>
      <c r="L289" s="39">
        <f>SUM(L257:L288)</f>
        <v>30930</v>
      </c>
      <c r="M289" s="39">
        <f>SUM(M257:M288)</f>
        <v>-52019676.039999992</v>
      </c>
      <c r="N289" s="39">
        <f>SUM(N257:N288)</f>
        <v>38477220.43</v>
      </c>
    </row>
    <row r="290" spans="1:14" ht="25.5">
      <c r="A290" s="35"/>
      <c r="B290" s="35"/>
      <c r="C290" s="40" t="s">
        <v>50</v>
      </c>
      <c r="D290" s="37"/>
      <c r="E290" s="37"/>
      <c r="F290" s="37"/>
      <c r="G290" s="27">
        <f>D290+E290+F290</f>
        <v>0</v>
      </c>
      <c r="I290" s="37"/>
      <c r="J290" s="37"/>
      <c r="K290" s="37"/>
      <c r="L290" s="37"/>
      <c r="M290" s="27">
        <f>I290+K290+L290</f>
        <v>0</v>
      </c>
      <c r="N290" s="30">
        <f>G290+M290</f>
        <v>0</v>
      </c>
    </row>
    <row r="291" spans="1:14" ht="24.75">
      <c r="A291" s="35"/>
      <c r="B291" s="35"/>
      <c r="C291" s="41" t="s">
        <v>51</v>
      </c>
      <c r="D291" s="42">
        <f>G163</f>
        <v>-9853163.3100000005</v>
      </c>
      <c r="E291" s="37">
        <v>-4188</v>
      </c>
      <c r="F291" s="42">
        <f>-F288-F285-F258</f>
        <v>9562663</v>
      </c>
      <c r="G291" s="27">
        <f>D291+E291+F291</f>
        <v>-294688.31000000052</v>
      </c>
      <c r="I291" s="42">
        <f>-I287</f>
        <v>22101.63</v>
      </c>
      <c r="J291" s="42"/>
      <c r="K291" s="42">
        <f>-K287</f>
        <v>14863</v>
      </c>
      <c r="L291" s="37"/>
      <c r="M291" s="27">
        <f>I291+K291+L291</f>
        <v>36964.630000000005</v>
      </c>
      <c r="N291" s="30">
        <f>G291+M291</f>
        <v>-257723.68000000052</v>
      </c>
    </row>
    <row r="292" spans="1:14">
      <c r="A292" s="35"/>
      <c r="B292" s="35"/>
      <c r="C292" s="38" t="s">
        <v>52</v>
      </c>
      <c r="D292" s="39">
        <f>SUM(D289:D291)</f>
        <v>85296154.429999977</v>
      </c>
      <c r="E292" s="39">
        <f>SUM(E289:E291)</f>
        <v>4957246.7300000004</v>
      </c>
      <c r="F292" s="39">
        <f>SUM(F289:F291)</f>
        <v>-51193</v>
      </c>
      <c r="G292" s="39">
        <f>SUM(G289:G291)</f>
        <v>90202208.159999967</v>
      </c>
      <c r="H292" s="39"/>
      <c r="I292" s="39">
        <f>SUM(I289:I291)</f>
        <v>-49899305.409999989</v>
      </c>
      <c r="J292" s="39"/>
      <c r="K292" s="39">
        <f>SUM(K289:K291)</f>
        <v>-2114336</v>
      </c>
      <c r="L292" s="39">
        <f>SUM(L289:L291)</f>
        <v>30930</v>
      </c>
      <c r="M292" s="39">
        <f>SUM(M289:M291)</f>
        <v>-51982711.409999989</v>
      </c>
      <c r="N292" s="39">
        <f>SUM(N289:N291)</f>
        <v>38219496.75</v>
      </c>
    </row>
    <row r="294" spans="1:14">
      <c r="I294" s="43" t="s">
        <v>53</v>
      </c>
      <c r="J294" s="43"/>
      <c r="K294" s="44"/>
    </row>
    <row r="295" spans="1:14" ht="15">
      <c r="A295" s="35">
        <v>10</v>
      </c>
      <c r="B295" s="35"/>
      <c r="C295" s="36" t="s">
        <v>54</v>
      </c>
      <c r="I295" s="44" t="s">
        <v>54</v>
      </c>
      <c r="J295" s="44"/>
      <c r="K295" s="44"/>
      <c r="L295" s="45">
        <v>-146269</v>
      </c>
    </row>
    <row r="296" spans="1:14" ht="15">
      <c r="A296" s="35">
        <v>8</v>
      </c>
      <c r="B296" s="35"/>
      <c r="C296" s="36" t="s">
        <v>40</v>
      </c>
      <c r="I296" s="44" t="s">
        <v>40</v>
      </c>
      <c r="J296" s="44"/>
      <c r="K296" s="44"/>
      <c r="L296" s="46"/>
    </row>
    <row r="297" spans="1:14" ht="15">
      <c r="I297" s="47" t="s">
        <v>55</v>
      </c>
      <c r="J297" s="47"/>
      <c r="L297" s="48">
        <f>K292-L295-L296</f>
        <v>-1968067</v>
      </c>
    </row>
    <row r="298" spans="1:14" ht="15">
      <c r="I298" s="47"/>
      <c r="J298" s="47"/>
      <c r="L298" s="90"/>
    </row>
    <row r="299" spans="1:14" ht="15">
      <c r="I299" s="47"/>
      <c r="J299" s="47"/>
      <c r="L299" s="90"/>
    </row>
    <row r="301" spans="1:14" s="89" customFormat="1" ht="15.75">
      <c r="A301" s="143" t="s">
        <v>6</v>
      </c>
      <c r="B301" s="143"/>
      <c r="C301" s="143"/>
      <c r="D301" s="143"/>
      <c r="E301" s="143"/>
      <c r="F301" s="143"/>
      <c r="G301" s="143"/>
      <c r="H301" s="143"/>
      <c r="I301" s="143"/>
      <c r="J301" s="143"/>
      <c r="K301" s="143"/>
      <c r="L301" s="143"/>
      <c r="M301" s="143"/>
      <c r="N301" s="143"/>
    </row>
    <row r="302" spans="1:14" s="89" customFormat="1" ht="15.75">
      <c r="A302" s="143" t="s">
        <v>7</v>
      </c>
      <c r="B302" s="143"/>
      <c r="C302" s="143"/>
      <c r="D302" s="143"/>
      <c r="E302" s="143"/>
      <c r="F302" s="143"/>
      <c r="G302" s="143"/>
      <c r="H302" s="143"/>
      <c r="I302" s="143"/>
      <c r="J302" s="143"/>
      <c r="K302" s="143"/>
      <c r="L302" s="143"/>
      <c r="M302" s="143"/>
      <c r="N302" s="143"/>
    </row>
    <row r="304" spans="1:14" ht="15">
      <c r="C304" s="10"/>
      <c r="E304" s="11" t="s">
        <v>8</v>
      </c>
      <c r="F304" s="12">
        <v>2014</v>
      </c>
      <c r="G304" s="13" t="s">
        <v>77</v>
      </c>
    </row>
    <row r="306" spans="1:14">
      <c r="D306" s="137" t="s">
        <v>9</v>
      </c>
      <c r="E306" s="138"/>
      <c r="F306" s="138"/>
      <c r="G306" s="139"/>
      <c r="I306" s="14"/>
      <c r="J306" s="125"/>
      <c r="K306" s="15" t="s">
        <v>10</v>
      </c>
      <c r="L306" s="15"/>
      <c r="M306" s="16"/>
      <c r="N306" s="3"/>
    </row>
    <row r="307" spans="1:14" ht="25.5">
      <c r="A307" s="17" t="s">
        <v>11</v>
      </c>
      <c r="B307" s="18" t="s">
        <v>12</v>
      </c>
      <c r="C307" s="19" t="s">
        <v>13</v>
      </c>
      <c r="D307" s="17" t="s">
        <v>14</v>
      </c>
      <c r="E307" s="18" t="s">
        <v>15</v>
      </c>
      <c r="F307" s="18" t="s">
        <v>16</v>
      </c>
      <c r="G307" s="17" t="s">
        <v>17</v>
      </c>
      <c r="H307" s="20"/>
      <c r="I307" s="21" t="s">
        <v>14</v>
      </c>
      <c r="J307" s="21"/>
      <c r="K307" s="22" t="s">
        <v>15</v>
      </c>
      <c r="L307" s="22" t="s">
        <v>16</v>
      </c>
      <c r="M307" s="23" t="s">
        <v>17</v>
      </c>
      <c r="N307" s="17" t="s">
        <v>18</v>
      </c>
    </row>
    <row r="308" spans="1:14" ht="25.5">
      <c r="A308" s="24">
        <v>12</v>
      </c>
      <c r="B308" s="24">
        <v>1611</v>
      </c>
      <c r="C308" s="25" t="s">
        <v>19</v>
      </c>
      <c r="D308" s="26">
        <v>815779.2</v>
      </c>
      <c r="E308" s="26">
        <v>252000</v>
      </c>
      <c r="F308" s="26">
        <v>-270770</v>
      </c>
      <c r="G308" s="27">
        <f>D308+E308+F308</f>
        <v>797009.2</v>
      </c>
      <c r="H308" s="28"/>
      <c r="I308" s="29">
        <v>-628672.48</v>
      </c>
      <c r="J308" s="29"/>
      <c r="K308" s="26">
        <v>-94235</v>
      </c>
      <c r="L308" s="26">
        <v>270770</v>
      </c>
      <c r="M308" s="27">
        <f>I308+K308+L308</f>
        <v>-452137.48</v>
      </c>
      <c r="N308" s="30">
        <f>G308+M308</f>
        <v>344871.72</v>
      </c>
    </row>
    <row r="309" spans="1:14" ht="15">
      <c r="A309" s="31" t="s">
        <v>20</v>
      </c>
      <c r="B309" s="31">
        <v>1805</v>
      </c>
      <c r="C309" s="32" t="s">
        <v>21</v>
      </c>
      <c r="D309" s="26">
        <v>338728.15000000014</v>
      </c>
      <c r="E309" s="26"/>
      <c r="F309" s="26">
        <v>0</v>
      </c>
      <c r="G309" s="27">
        <f t="shared" ref="G309:G337" si="24">D309+E309+F309</f>
        <v>338728.15000000014</v>
      </c>
      <c r="H309" s="28"/>
      <c r="I309" s="29">
        <v>0</v>
      </c>
      <c r="J309" s="29"/>
      <c r="K309" s="26">
        <v>0</v>
      </c>
      <c r="L309" s="26">
        <v>0</v>
      </c>
      <c r="M309" s="27">
        <f t="shared" ref="M309:M337" si="25">I309+K309+L309</f>
        <v>0</v>
      </c>
      <c r="N309" s="30">
        <f t="shared" ref="N309:N336" si="26">G309+M309</f>
        <v>338728.15000000014</v>
      </c>
    </row>
    <row r="310" spans="1:14" ht="15">
      <c r="A310" s="24">
        <v>47</v>
      </c>
      <c r="B310" s="24">
        <v>1808</v>
      </c>
      <c r="C310" s="33" t="s">
        <v>22</v>
      </c>
      <c r="D310" s="26">
        <f>1598122+73993</f>
        <v>1672115</v>
      </c>
      <c r="E310" s="26"/>
      <c r="F310" s="26">
        <v>-200763</v>
      </c>
      <c r="G310" s="27">
        <f t="shared" si="24"/>
        <v>1471352</v>
      </c>
      <c r="H310" s="28"/>
      <c r="I310" s="29">
        <f>-1038709-63218</f>
        <v>-1101927</v>
      </c>
      <c r="J310" s="29"/>
      <c r="K310" s="26">
        <f>-35767-3656</f>
        <v>-39423</v>
      </c>
      <c r="L310" s="26">
        <v>125146</v>
      </c>
      <c r="M310" s="27">
        <f t="shared" si="25"/>
        <v>-1016204</v>
      </c>
      <c r="N310" s="30">
        <f t="shared" si="26"/>
        <v>455148</v>
      </c>
    </row>
    <row r="311" spans="1:14" ht="15">
      <c r="A311" s="24">
        <v>47</v>
      </c>
      <c r="B311" s="24">
        <v>1820</v>
      </c>
      <c r="C311" s="25" t="s">
        <v>24</v>
      </c>
      <c r="D311" s="26">
        <v>1745895.87</v>
      </c>
      <c r="E311" s="26"/>
      <c r="F311" s="26">
        <v>-685562</v>
      </c>
      <c r="G311" s="27">
        <f t="shared" si="24"/>
        <v>1060333.8700000001</v>
      </c>
      <c r="H311" s="28"/>
      <c r="I311" s="29">
        <v>-1491098.4400000002</v>
      </c>
      <c r="J311" s="29"/>
      <c r="K311" s="26">
        <v>-27834.886493055561</v>
      </c>
      <c r="L311" s="26">
        <v>685562</v>
      </c>
      <c r="M311" s="27">
        <f t="shared" si="25"/>
        <v>-833371.32649305579</v>
      </c>
      <c r="N311" s="30">
        <f t="shared" si="26"/>
        <v>226962.54350694432</v>
      </c>
    </row>
    <row r="312" spans="1:14" ht="15">
      <c r="A312" s="24">
        <v>47</v>
      </c>
      <c r="B312" s="24">
        <v>1830</v>
      </c>
      <c r="C312" s="33" t="s">
        <v>25</v>
      </c>
      <c r="D312" s="26">
        <f>6936982+1634997+8518290</f>
        <v>17090269</v>
      </c>
      <c r="E312" s="26">
        <f>254611+61874+437619</f>
        <v>754104</v>
      </c>
      <c r="F312" s="26">
        <f>-733013-508434-874965-137597</f>
        <v>-2254009</v>
      </c>
      <c r="G312" s="27">
        <f t="shared" si="24"/>
        <v>15590364</v>
      </c>
      <c r="H312" s="28"/>
      <c r="I312" s="29">
        <f>-3134860-995473-3621218</f>
        <v>-7751551</v>
      </c>
      <c r="J312" s="29"/>
      <c r="K312" s="26">
        <f>-74989-15886-157478</f>
        <v>-248353</v>
      </c>
      <c r="L312" s="26">
        <f>683980+474626+829204+131161</f>
        <v>2118971</v>
      </c>
      <c r="M312" s="27">
        <f t="shared" si="25"/>
        <v>-5880933</v>
      </c>
      <c r="N312" s="30">
        <f t="shared" si="26"/>
        <v>9709431</v>
      </c>
    </row>
    <row r="313" spans="1:14" ht="15">
      <c r="A313" s="24">
        <v>47</v>
      </c>
      <c r="B313" s="24">
        <v>1835</v>
      </c>
      <c r="C313" s="33" t="s">
        <v>26</v>
      </c>
      <c r="D313" s="26">
        <f>1653924+498775+8190364+216401+46785</f>
        <v>10606249</v>
      </c>
      <c r="E313" s="26">
        <f>58557+280339</f>
        <v>338896</v>
      </c>
      <c r="F313" s="26">
        <v>-1350308</v>
      </c>
      <c r="G313" s="27">
        <f t="shared" si="24"/>
        <v>9594837</v>
      </c>
      <c r="H313" s="28"/>
      <c r="I313" s="29">
        <f>-665928-114243-3749992-38385-8998</f>
        <v>-4577546</v>
      </c>
      <c r="J313" s="29"/>
      <c r="K313" s="26">
        <f>-27393-9911-85753-5058-1512</f>
        <v>-129627</v>
      </c>
      <c r="L313" s="26">
        <f>1277148</f>
        <v>1277148</v>
      </c>
      <c r="M313" s="27">
        <f t="shared" si="25"/>
        <v>-3430025</v>
      </c>
      <c r="N313" s="30">
        <f t="shared" si="26"/>
        <v>6164812</v>
      </c>
    </row>
    <row r="314" spans="1:14" ht="15">
      <c r="A314" s="24">
        <v>47</v>
      </c>
      <c r="B314" s="24">
        <v>1840</v>
      </c>
      <c r="C314" s="33" t="s">
        <v>27</v>
      </c>
      <c r="D314" s="26">
        <f>7178171+2053445</f>
        <v>9231616</v>
      </c>
      <c r="E314" s="26">
        <f>187241+53489</f>
        <v>240730</v>
      </c>
      <c r="F314" s="26">
        <f>-52043-3783166</f>
        <v>-3835209</v>
      </c>
      <c r="G314" s="27">
        <f t="shared" si="24"/>
        <v>5637137</v>
      </c>
      <c r="H314" s="28"/>
      <c r="I314" s="29">
        <f>-4393512-1135831</f>
        <v>-5529343</v>
      </c>
      <c r="J314" s="29"/>
      <c r="K314" s="26">
        <f>-73526-20426-7335</f>
        <v>-101287</v>
      </c>
      <c r="L314" s="26">
        <f>52043+3731935</f>
        <v>3783978</v>
      </c>
      <c r="M314" s="27">
        <f t="shared" si="25"/>
        <v>-1846652</v>
      </c>
      <c r="N314" s="30">
        <f t="shared" si="26"/>
        <v>3790485</v>
      </c>
    </row>
    <row r="315" spans="1:14" ht="15">
      <c r="A315" s="24">
        <v>47</v>
      </c>
      <c r="B315" s="24">
        <v>1845</v>
      </c>
      <c r="C315" s="33" t="s">
        <v>28</v>
      </c>
      <c r="D315" s="26">
        <f>7090020+9327607+1255031</f>
        <v>17672658</v>
      </c>
      <c r="E315" s="26">
        <f>164000+110000</f>
        <v>274000</v>
      </c>
      <c r="F315" s="26">
        <f>-122927-221699</f>
        <v>-344626</v>
      </c>
      <c r="G315" s="27">
        <f t="shared" si="24"/>
        <v>17602032</v>
      </c>
      <c r="H315" s="28"/>
      <c r="I315" s="29">
        <f>-6912203-4224107-616074</f>
        <v>-11752384</v>
      </c>
      <c r="J315" s="29"/>
      <c r="K315" s="26">
        <f>-168839-31649</f>
        <v>-200488</v>
      </c>
      <c r="L315" s="26">
        <f>107482+221122</f>
        <v>328604</v>
      </c>
      <c r="M315" s="27">
        <f t="shared" si="25"/>
        <v>-11624268</v>
      </c>
      <c r="N315" s="30">
        <f t="shared" si="26"/>
        <v>5977764</v>
      </c>
    </row>
    <row r="316" spans="1:14" ht="15">
      <c r="A316" s="24">
        <v>47</v>
      </c>
      <c r="B316" s="24">
        <v>1850</v>
      </c>
      <c r="C316" s="33" t="s">
        <v>29</v>
      </c>
      <c r="D316" s="26">
        <f>8062675+6341563+32638</f>
        <v>14436876</v>
      </c>
      <c r="E316" s="26">
        <f>138256+138256</f>
        <v>276512</v>
      </c>
      <c r="F316" s="26">
        <f>-2278275-355315</f>
        <v>-2633590</v>
      </c>
      <c r="G316" s="27">
        <f t="shared" si="24"/>
        <v>12079798</v>
      </c>
      <c r="H316" s="28"/>
      <c r="I316" s="29">
        <f>-5795938-3128400-32638</f>
        <v>-8956976</v>
      </c>
      <c r="J316" s="29"/>
      <c r="K316" s="26">
        <f>-75544-107333</f>
        <v>-182877</v>
      </c>
      <c r="L316" s="26">
        <f>2243499+286648</f>
        <v>2530147</v>
      </c>
      <c r="M316" s="27">
        <f t="shared" si="25"/>
        <v>-6609706</v>
      </c>
      <c r="N316" s="30">
        <f t="shared" si="26"/>
        <v>5470092</v>
      </c>
    </row>
    <row r="317" spans="1:14" ht="15">
      <c r="A317" s="24">
        <v>47</v>
      </c>
      <c r="B317" s="24">
        <v>1855</v>
      </c>
      <c r="C317" s="33" t="s">
        <v>75</v>
      </c>
      <c r="D317" s="26">
        <f>3581240+1099815</f>
        <v>4681055</v>
      </c>
      <c r="E317" s="26">
        <f>143946+44813</f>
        <v>188759</v>
      </c>
      <c r="F317" s="26">
        <v>0</v>
      </c>
      <c r="G317" s="27">
        <f t="shared" si="24"/>
        <v>4869814</v>
      </c>
      <c r="H317" s="28"/>
      <c r="I317" s="29">
        <f>-1845574-889762</f>
        <v>-2735336</v>
      </c>
      <c r="J317" s="29"/>
      <c r="K317" s="26">
        <f>-63257-4669</f>
        <v>-67926</v>
      </c>
      <c r="L317" s="26">
        <v>0</v>
      </c>
      <c r="M317" s="27">
        <f t="shared" si="25"/>
        <v>-2803262</v>
      </c>
      <c r="N317" s="30">
        <f t="shared" si="26"/>
        <v>2066552</v>
      </c>
    </row>
    <row r="318" spans="1:14" ht="15">
      <c r="A318" s="24">
        <v>47</v>
      </c>
      <c r="B318" s="24">
        <v>1860</v>
      </c>
      <c r="C318" s="33" t="s">
        <v>31</v>
      </c>
      <c r="D318" s="26">
        <f>2910266+413672+402376+222130+3663861</f>
        <v>7612305</v>
      </c>
      <c r="E318" s="26">
        <f>123500+9500+57000</f>
        <v>190000</v>
      </c>
      <c r="F318" s="26">
        <v>-2551947</v>
      </c>
      <c r="G318" s="27">
        <f t="shared" si="24"/>
        <v>5250358</v>
      </c>
      <c r="H318" s="28"/>
      <c r="I318" s="29">
        <f>-2320899-197449-164394-80843-982845</f>
        <v>-3746430</v>
      </c>
      <c r="J318" s="29"/>
      <c r="K318" s="26">
        <f>-29719-6689-23488-12540-409129</f>
        <v>-481565</v>
      </c>
      <c r="L318" s="26">
        <v>2317410</v>
      </c>
      <c r="M318" s="27">
        <f t="shared" si="25"/>
        <v>-1910585</v>
      </c>
      <c r="N318" s="30">
        <f t="shared" si="26"/>
        <v>3339773</v>
      </c>
    </row>
    <row r="319" spans="1:14" ht="15">
      <c r="A319" s="31"/>
      <c r="B319" s="31">
        <v>1890</v>
      </c>
      <c r="C319" s="32" t="s">
        <v>32</v>
      </c>
      <c r="D319" s="26">
        <v>468946</v>
      </c>
      <c r="E319" s="26"/>
      <c r="F319" s="26">
        <v>0</v>
      </c>
      <c r="G319" s="27">
        <f t="shared" si="24"/>
        <v>468946</v>
      </c>
      <c r="H319" s="28"/>
      <c r="I319" s="29">
        <v>0</v>
      </c>
      <c r="J319" s="29"/>
      <c r="K319" s="26">
        <v>0</v>
      </c>
      <c r="L319" s="26">
        <v>0</v>
      </c>
      <c r="M319" s="27">
        <f t="shared" si="25"/>
        <v>0</v>
      </c>
      <c r="N319" s="30">
        <f t="shared" si="26"/>
        <v>468946</v>
      </c>
    </row>
    <row r="320" spans="1:14" ht="15">
      <c r="A320" s="31"/>
      <c r="B320" s="31">
        <v>1905</v>
      </c>
      <c r="C320" s="32" t="s">
        <v>21</v>
      </c>
      <c r="D320" s="26">
        <v>17041.330000000002</v>
      </c>
      <c r="E320" s="26"/>
      <c r="F320" s="26">
        <v>0</v>
      </c>
      <c r="G320" s="27">
        <f t="shared" si="24"/>
        <v>17041.330000000002</v>
      </c>
      <c r="H320" s="28"/>
      <c r="I320" s="29">
        <v>-17041.330000000002</v>
      </c>
      <c r="J320" s="29"/>
      <c r="K320" s="26">
        <v>0</v>
      </c>
      <c r="L320" s="26">
        <v>0</v>
      </c>
      <c r="M320" s="27">
        <f t="shared" si="25"/>
        <v>-17041.330000000002</v>
      </c>
      <c r="N320" s="30">
        <f t="shared" si="26"/>
        <v>0</v>
      </c>
    </row>
    <row r="321" spans="1:14" ht="15">
      <c r="A321" s="24">
        <v>47</v>
      </c>
      <c r="B321" s="24">
        <v>1908</v>
      </c>
      <c r="C321" s="33" t="s">
        <v>33</v>
      </c>
      <c r="D321" s="26">
        <f>158434+426551</f>
        <v>584985</v>
      </c>
      <c r="E321" s="26">
        <v>80000</v>
      </c>
      <c r="F321" s="26">
        <v>-63830</v>
      </c>
      <c r="G321" s="27">
        <f t="shared" si="24"/>
        <v>601155</v>
      </c>
      <c r="H321" s="28"/>
      <c r="I321" s="29">
        <f>-81619.116-88643</f>
        <v>-170262.11599999998</v>
      </c>
      <c r="J321" s="29"/>
      <c r="K321" s="26">
        <f>-15278-18477</f>
        <v>-33755</v>
      </c>
      <c r="L321" s="26">
        <v>56052</v>
      </c>
      <c r="M321" s="27">
        <f t="shared" si="25"/>
        <v>-147965.11599999998</v>
      </c>
      <c r="N321" s="30">
        <f t="shared" si="26"/>
        <v>453189.88400000002</v>
      </c>
    </row>
    <row r="322" spans="1:14" ht="15">
      <c r="A322" s="24">
        <v>13</v>
      </c>
      <c r="B322" s="24">
        <v>1910</v>
      </c>
      <c r="C322" s="33" t="s">
        <v>34</v>
      </c>
      <c r="D322" s="26">
        <v>21798</v>
      </c>
      <c r="E322" s="26"/>
      <c r="F322" s="26">
        <v>0</v>
      </c>
      <c r="G322" s="27">
        <f t="shared" si="24"/>
        <v>21798</v>
      </c>
      <c r="H322" s="28"/>
      <c r="I322" s="29">
        <v>-21798.12</v>
      </c>
      <c r="J322" s="29"/>
      <c r="K322" s="26">
        <v>0</v>
      </c>
      <c r="L322" s="26">
        <v>0</v>
      </c>
      <c r="M322" s="27">
        <f t="shared" si="25"/>
        <v>-21798.12</v>
      </c>
      <c r="N322" s="30">
        <f t="shared" si="26"/>
        <v>-0.11999999999898137</v>
      </c>
    </row>
    <row r="323" spans="1:14" ht="15">
      <c r="A323" s="24">
        <v>8</v>
      </c>
      <c r="B323" s="24">
        <v>1915</v>
      </c>
      <c r="C323" s="33" t="s">
        <v>35</v>
      </c>
      <c r="D323" s="26">
        <v>385253.15</v>
      </c>
      <c r="E323" s="26"/>
      <c r="F323" s="26">
        <v>-257192</v>
      </c>
      <c r="G323" s="27">
        <f t="shared" si="24"/>
        <v>128061.15000000002</v>
      </c>
      <c r="H323" s="28"/>
      <c r="I323" s="29">
        <v>-351165.76</v>
      </c>
      <c r="J323" s="29"/>
      <c r="K323" s="26">
        <v>-5732.9499999999989</v>
      </c>
      <c r="L323" s="26">
        <v>257192</v>
      </c>
      <c r="M323" s="27">
        <f t="shared" si="25"/>
        <v>-99706.710000000021</v>
      </c>
      <c r="N323" s="30">
        <f t="shared" si="26"/>
        <v>28354.440000000002</v>
      </c>
    </row>
    <row r="324" spans="1:14" ht="15">
      <c r="A324" s="24">
        <v>10</v>
      </c>
      <c r="B324" s="24">
        <v>1920</v>
      </c>
      <c r="C324" s="33" t="s">
        <v>36</v>
      </c>
      <c r="D324" s="26">
        <v>540191.49000000011</v>
      </c>
      <c r="E324" s="26"/>
      <c r="F324" s="26">
        <v>-540191</v>
      </c>
      <c r="G324" s="27">
        <f t="shared" si="24"/>
        <v>0.4900000001071021</v>
      </c>
      <c r="H324" s="28"/>
      <c r="I324" s="29">
        <v>-540191.49</v>
      </c>
      <c r="J324" s="29"/>
      <c r="K324" s="26">
        <v>0</v>
      </c>
      <c r="L324" s="26">
        <v>540191</v>
      </c>
      <c r="M324" s="27">
        <f t="shared" si="25"/>
        <v>-0.48999999999068677</v>
      </c>
      <c r="N324" s="30">
        <f t="shared" si="26"/>
        <v>1.1641532182693481E-10</v>
      </c>
    </row>
    <row r="325" spans="1:14" ht="15">
      <c r="A325" s="24">
        <v>45</v>
      </c>
      <c r="B325" s="34">
        <v>1920</v>
      </c>
      <c r="C325" s="25" t="s">
        <v>37</v>
      </c>
      <c r="D325" s="26">
        <v>75673.850000000006</v>
      </c>
      <c r="E325" s="26"/>
      <c r="F325" s="26">
        <v>-75674</v>
      </c>
      <c r="G325" s="27">
        <f t="shared" si="24"/>
        <v>-0.14999999999417923</v>
      </c>
      <c r="H325" s="28"/>
      <c r="I325" s="29">
        <v>-75673.850000000006</v>
      </c>
      <c r="J325" s="29"/>
      <c r="K325" s="26">
        <v>0</v>
      </c>
      <c r="L325" s="26">
        <v>75674</v>
      </c>
      <c r="M325" s="27">
        <f t="shared" si="25"/>
        <v>0.14999999999417923</v>
      </c>
      <c r="N325" s="30">
        <f t="shared" si="26"/>
        <v>0</v>
      </c>
    </row>
    <row r="326" spans="1:14" ht="15">
      <c r="A326" s="24">
        <v>45.1</v>
      </c>
      <c r="B326" s="34">
        <v>1920</v>
      </c>
      <c r="C326" s="25" t="s">
        <v>38</v>
      </c>
      <c r="D326" s="26">
        <v>694837.82000000007</v>
      </c>
      <c r="E326" s="26">
        <v>38000</v>
      </c>
      <c r="F326" s="26">
        <v>-215019</v>
      </c>
      <c r="G326" s="27">
        <f t="shared" si="24"/>
        <v>517818.82000000007</v>
      </c>
      <c r="H326" s="28"/>
      <c r="I326" s="29">
        <v>-425130.71</v>
      </c>
      <c r="J326" s="29"/>
      <c r="K326" s="26">
        <v>-76029.147428571421</v>
      </c>
      <c r="L326" s="26">
        <v>215019</v>
      </c>
      <c r="M326" s="27">
        <f t="shared" si="25"/>
        <v>-286140.85742857144</v>
      </c>
      <c r="N326" s="30">
        <f t="shared" si="26"/>
        <v>231677.96257142862</v>
      </c>
    </row>
    <row r="327" spans="1:14" ht="15">
      <c r="A327" s="24">
        <v>10</v>
      </c>
      <c r="B327" s="24">
        <v>1930</v>
      </c>
      <c r="C327" s="33" t="s">
        <v>39</v>
      </c>
      <c r="D327" s="26">
        <f>2941819+115775</f>
        <v>3057594</v>
      </c>
      <c r="E327" s="26">
        <v>60000</v>
      </c>
      <c r="F327" s="26">
        <v>-34489</v>
      </c>
      <c r="G327" s="27">
        <f t="shared" si="24"/>
        <v>3083105</v>
      </c>
      <c r="H327" s="28"/>
      <c r="I327" s="29">
        <f>-2114834-39195</f>
        <v>-2154029</v>
      </c>
      <c r="J327" s="29"/>
      <c r="K327" s="26">
        <f>-105058-11030</f>
        <v>-116088</v>
      </c>
      <c r="L327" s="26">
        <v>34489</v>
      </c>
      <c r="M327" s="27">
        <f t="shared" si="25"/>
        <v>-2235628</v>
      </c>
      <c r="N327" s="30">
        <f t="shared" si="26"/>
        <v>847477</v>
      </c>
    </row>
    <row r="328" spans="1:14" ht="15">
      <c r="A328" s="24">
        <v>8</v>
      </c>
      <c r="B328" s="24">
        <v>1935</v>
      </c>
      <c r="C328" s="33" t="s">
        <v>40</v>
      </c>
      <c r="D328" s="26">
        <v>36199.29</v>
      </c>
      <c r="E328" s="26"/>
      <c r="F328" s="26">
        <v>0</v>
      </c>
      <c r="G328" s="27">
        <f t="shared" si="24"/>
        <v>36199.29</v>
      </c>
      <c r="H328" s="28"/>
      <c r="I328" s="29">
        <v>-36199.29</v>
      </c>
      <c r="J328" s="29"/>
      <c r="K328" s="26">
        <v>0</v>
      </c>
      <c r="L328" s="26">
        <v>0</v>
      </c>
      <c r="M328" s="27">
        <f t="shared" si="25"/>
        <v>-36199.29</v>
      </c>
      <c r="N328" s="30">
        <f t="shared" si="26"/>
        <v>0</v>
      </c>
    </row>
    <row r="329" spans="1:14" ht="15">
      <c r="A329" s="24">
        <v>8</v>
      </c>
      <c r="B329" s="24">
        <v>1940</v>
      </c>
      <c r="C329" s="33" t="s">
        <v>41</v>
      </c>
      <c r="D329" s="26">
        <v>826577.82000000007</v>
      </c>
      <c r="E329" s="26">
        <v>30000</v>
      </c>
      <c r="F329" s="26">
        <v>-349037</v>
      </c>
      <c r="G329" s="27">
        <f t="shared" si="24"/>
        <v>507540.82000000007</v>
      </c>
      <c r="H329" s="28"/>
      <c r="I329" s="29">
        <v>-694241.1100000001</v>
      </c>
      <c r="J329" s="29"/>
      <c r="K329" s="26">
        <v>-29790</v>
      </c>
      <c r="L329" s="26">
        <v>349037</v>
      </c>
      <c r="M329" s="27">
        <f t="shared" si="25"/>
        <v>-374994.1100000001</v>
      </c>
      <c r="N329" s="30">
        <f t="shared" si="26"/>
        <v>132546.70999999996</v>
      </c>
    </row>
    <row r="330" spans="1:14" ht="15">
      <c r="A330" s="24">
        <v>8</v>
      </c>
      <c r="B330" s="24">
        <v>1945</v>
      </c>
      <c r="C330" s="33" t="s">
        <v>42</v>
      </c>
      <c r="D330" s="26">
        <v>39170</v>
      </c>
      <c r="E330" s="26"/>
      <c r="F330" s="26">
        <v>0</v>
      </c>
      <c r="G330" s="27">
        <f t="shared" si="24"/>
        <v>39170</v>
      </c>
      <c r="H330" s="28"/>
      <c r="I330" s="29">
        <v>-29511.16</v>
      </c>
      <c r="J330" s="29"/>
      <c r="K330" s="26">
        <v>-3220</v>
      </c>
      <c r="L330" s="26">
        <v>0</v>
      </c>
      <c r="M330" s="27">
        <f t="shared" si="25"/>
        <v>-32731.16</v>
      </c>
      <c r="N330" s="30">
        <f t="shared" si="26"/>
        <v>6438.84</v>
      </c>
    </row>
    <row r="331" spans="1:14" ht="15">
      <c r="A331" s="24">
        <v>8</v>
      </c>
      <c r="B331" s="24">
        <v>1955</v>
      </c>
      <c r="C331" s="33" t="s">
        <v>43</v>
      </c>
      <c r="D331" s="26">
        <v>106528</v>
      </c>
      <c r="E331" s="26"/>
      <c r="F331" s="26">
        <v>-60668</v>
      </c>
      <c r="G331" s="27">
        <f t="shared" si="24"/>
        <v>45860</v>
      </c>
      <c r="H331" s="28"/>
      <c r="I331" s="29">
        <v>-106161.3</v>
      </c>
      <c r="J331" s="29"/>
      <c r="K331" s="29">
        <v>-295</v>
      </c>
      <c r="L331" s="26">
        <v>60668</v>
      </c>
      <c r="M331" s="27">
        <f t="shared" si="25"/>
        <v>-45788.3</v>
      </c>
      <c r="N331" s="30">
        <f t="shared" si="26"/>
        <v>71.69999999999709</v>
      </c>
    </row>
    <row r="332" spans="1:14" ht="15">
      <c r="A332" s="34">
        <v>8</v>
      </c>
      <c r="B332" s="34">
        <v>1960</v>
      </c>
      <c r="C332" s="25" t="s">
        <v>44</v>
      </c>
      <c r="D332" s="26">
        <v>7842</v>
      </c>
      <c r="E332" s="26"/>
      <c r="F332" s="26">
        <v>0</v>
      </c>
      <c r="G332" s="27">
        <f t="shared" si="24"/>
        <v>7842</v>
      </c>
      <c r="H332" s="28"/>
      <c r="I332" s="29">
        <v>-4705.2199999999993</v>
      </c>
      <c r="J332" s="29"/>
      <c r="K332" s="29">
        <v>-784</v>
      </c>
      <c r="L332" s="26">
        <v>0</v>
      </c>
      <c r="M332" s="27">
        <f t="shared" si="25"/>
        <v>-5489.2199999999993</v>
      </c>
      <c r="N332" s="30">
        <f t="shared" si="26"/>
        <v>2352.7800000000007</v>
      </c>
    </row>
    <row r="333" spans="1:14" ht="15">
      <c r="A333" s="1">
        <v>47</v>
      </c>
      <c r="B333" s="34">
        <v>1970</v>
      </c>
      <c r="C333" s="33" t="s">
        <v>45</v>
      </c>
      <c r="D333" s="26">
        <v>245119</v>
      </c>
      <c r="E333" s="26"/>
      <c r="F333" s="26">
        <v>0</v>
      </c>
      <c r="G333" s="27">
        <f t="shared" si="24"/>
        <v>245119</v>
      </c>
      <c r="H333" s="28"/>
      <c r="I333" s="29">
        <v>-201370.14</v>
      </c>
      <c r="J333" s="29"/>
      <c r="K333" s="29">
        <v>-24698</v>
      </c>
      <c r="L333" s="26">
        <v>0</v>
      </c>
      <c r="M333" s="27">
        <f t="shared" si="25"/>
        <v>-226068.14</v>
      </c>
      <c r="N333" s="30">
        <f t="shared" si="26"/>
        <v>19050.859999999986</v>
      </c>
    </row>
    <row r="334" spans="1:14" ht="15">
      <c r="A334" s="24">
        <v>47</v>
      </c>
      <c r="B334" s="24">
        <v>1980</v>
      </c>
      <c r="C334" s="33" t="s">
        <v>46</v>
      </c>
      <c r="D334" s="26">
        <v>377351</v>
      </c>
      <c r="E334" s="26">
        <v>50000</v>
      </c>
      <c r="F334" s="26">
        <v>0</v>
      </c>
      <c r="G334" s="27">
        <f t="shared" si="24"/>
        <v>427351</v>
      </c>
      <c r="H334" s="28"/>
      <c r="I334" s="29">
        <v>-262583.71000000002</v>
      </c>
      <c r="J334" s="29"/>
      <c r="K334" s="26">
        <v>-11817</v>
      </c>
      <c r="L334" s="26">
        <v>0</v>
      </c>
      <c r="M334" s="27">
        <f t="shared" si="25"/>
        <v>-274400.71000000002</v>
      </c>
      <c r="N334" s="30">
        <f t="shared" si="26"/>
        <v>152950.28999999998</v>
      </c>
    </row>
    <row r="335" spans="1:14" ht="15">
      <c r="A335" s="24">
        <v>47</v>
      </c>
      <c r="B335" s="24">
        <v>1995</v>
      </c>
      <c r="C335" s="33" t="s">
        <v>47</v>
      </c>
      <c r="D335" s="26">
        <f>G284</f>
        <v>-4896472.6700000009</v>
      </c>
      <c r="E335" s="26">
        <v>-150000</v>
      </c>
      <c r="F335" s="26">
        <v>0</v>
      </c>
      <c r="G335" s="27">
        <f t="shared" si="24"/>
        <v>-5046472.6700000009</v>
      </c>
      <c r="H335" s="28"/>
      <c r="I335" s="26">
        <v>1396894.7</v>
      </c>
      <c r="J335" s="26"/>
      <c r="K335" s="26">
        <v>101122</v>
      </c>
      <c r="L335" s="26">
        <v>0</v>
      </c>
      <c r="M335" s="27">
        <f t="shared" si="25"/>
        <v>1498016.7</v>
      </c>
      <c r="N335" s="30">
        <f t="shared" si="26"/>
        <v>-3548455.9700000007</v>
      </c>
    </row>
    <row r="336" spans="1:14" ht="15">
      <c r="A336" s="35"/>
      <c r="B336" s="35">
        <v>2075</v>
      </c>
      <c r="C336" s="36" t="s">
        <v>48</v>
      </c>
      <c r="D336" s="26">
        <v>294688</v>
      </c>
      <c r="E336" s="26"/>
      <c r="F336" s="26">
        <v>0</v>
      </c>
      <c r="G336" s="27">
        <f t="shared" si="24"/>
        <v>294688</v>
      </c>
      <c r="I336" s="26">
        <v>-36964</v>
      </c>
      <c r="J336" s="26"/>
      <c r="K336" s="26">
        <v>-14863</v>
      </c>
      <c r="L336" s="26">
        <v>0</v>
      </c>
      <c r="M336" s="27">
        <f t="shared" si="25"/>
        <v>-51827</v>
      </c>
      <c r="N336" s="30">
        <f t="shared" si="26"/>
        <v>242861</v>
      </c>
    </row>
    <row r="337" spans="1:14" ht="15">
      <c r="A337" s="35">
        <v>14</v>
      </c>
      <c r="B337" s="35">
        <v>1609</v>
      </c>
      <c r="C337" s="36" t="s">
        <v>61</v>
      </c>
      <c r="D337" s="26">
        <f>480000+1230026</f>
        <v>1710026</v>
      </c>
      <c r="E337" s="26"/>
      <c r="F337" s="26"/>
      <c r="G337" s="27">
        <f t="shared" si="24"/>
        <v>1710026</v>
      </c>
      <c r="I337" s="26">
        <f>-16000-2278</f>
        <v>-18278</v>
      </c>
      <c r="J337" s="26"/>
      <c r="K337" s="26">
        <f>-32000-27334</f>
        <v>-59334</v>
      </c>
      <c r="L337" s="26"/>
      <c r="M337" s="27">
        <f t="shared" si="25"/>
        <v>-77612</v>
      </c>
      <c r="N337" s="30">
        <f>G337+M337</f>
        <v>1632414</v>
      </c>
    </row>
    <row r="338" spans="1:14">
      <c r="A338" s="35"/>
      <c r="B338" s="35"/>
      <c r="C338" s="38" t="s">
        <v>49</v>
      </c>
      <c r="D338" s="39">
        <f>SUM(D308:D337)</f>
        <v>90496895.299999982</v>
      </c>
      <c r="E338" s="39">
        <f>SUM(E308:E337)</f>
        <v>2623001</v>
      </c>
      <c r="F338" s="39">
        <f>SUM(F308:F337)</f>
        <v>-15722884</v>
      </c>
      <c r="G338" s="39">
        <f>SUM(G308:G337)</f>
        <v>77397012.299999982</v>
      </c>
      <c r="H338" s="39"/>
      <c r="I338" s="39">
        <f>SUM(I308:I337)</f>
        <v>-52019675.525999986</v>
      </c>
      <c r="J338" s="39"/>
      <c r="K338" s="39">
        <f>SUM(K308:K337)</f>
        <v>-1848899.983921627</v>
      </c>
      <c r="L338" s="39">
        <f>SUM(L308:L337)</f>
        <v>15026058</v>
      </c>
      <c r="M338" s="39">
        <f>SUM(M308:M337)</f>
        <v>-38842517.509921618</v>
      </c>
      <c r="N338" s="39">
        <f>SUM(N308:N337)</f>
        <v>38554494.790078379</v>
      </c>
    </row>
    <row r="339" spans="1:14" ht="25.5">
      <c r="A339" s="35"/>
      <c r="B339" s="35"/>
      <c r="C339" s="40" t="s">
        <v>50</v>
      </c>
      <c r="D339" s="37"/>
      <c r="E339" s="37"/>
      <c r="F339" s="37"/>
      <c r="G339" s="27">
        <f>D339+E339+F339</f>
        <v>0</v>
      </c>
      <c r="I339" s="37"/>
      <c r="J339" s="37"/>
      <c r="K339" s="37"/>
      <c r="L339" s="37"/>
      <c r="M339" s="27">
        <f>I339+K339+L339</f>
        <v>0</v>
      </c>
      <c r="N339" s="30">
        <f>G339+M339</f>
        <v>0</v>
      </c>
    </row>
    <row r="340" spans="1:14" ht="24.75">
      <c r="A340" s="35"/>
      <c r="B340" s="35"/>
      <c r="C340" s="41" t="s">
        <v>51</v>
      </c>
      <c r="D340" s="42">
        <v>-294688</v>
      </c>
      <c r="E340" s="37"/>
      <c r="F340" s="37"/>
      <c r="G340" s="27">
        <f>D340+E340+F340</f>
        <v>-294688</v>
      </c>
      <c r="I340" s="42">
        <v>36964</v>
      </c>
      <c r="J340" s="42"/>
      <c r="K340" s="42">
        <f>-K336</f>
        <v>14863</v>
      </c>
      <c r="L340" s="37"/>
      <c r="M340" s="27">
        <f>I340+K340+L340</f>
        <v>51827</v>
      </c>
      <c r="N340" s="30">
        <f>G340+M340</f>
        <v>-242861</v>
      </c>
    </row>
    <row r="341" spans="1:14">
      <c r="A341" s="35"/>
      <c r="B341" s="35"/>
      <c r="C341" s="38" t="s">
        <v>52</v>
      </c>
      <c r="D341" s="39">
        <f>D338+D340</f>
        <v>90202207.299999982</v>
      </c>
      <c r="E341" s="39">
        <f>SUM(E338:E340)</f>
        <v>2623001</v>
      </c>
      <c r="F341" s="39">
        <f>SUM(F338:F340)</f>
        <v>-15722884</v>
      </c>
      <c r="G341" s="39">
        <f>SUM(G338:G340)</f>
        <v>77102324.299999982</v>
      </c>
      <c r="H341" s="39"/>
      <c r="I341" s="39">
        <f>SUM(I338:I340)</f>
        <v>-51982711.525999986</v>
      </c>
      <c r="J341" s="39"/>
      <c r="K341" s="39">
        <f>SUM(K338:K340)</f>
        <v>-1834036.983921627</v>
      </c>
      <c r="L341" s="39">
        <f>SUM(L338:L340)</f>
        <v>15026058</v>
      </c>
      <c r="M341" s="39">
        <f>SUM(M338:M340)</f>
        <v>-38790690.509921618</v>
      </c>
      <c r="N341" s="39">
        <f>SUM(N338:N340)</f>
        <v>38311633.790078379</v>
      </c>
    </row>
    <row r="342" spans="1:14">
      <c r="A342" s="35"/>
      <c r="B342" s="35"/>
      <c r="C342" s="127" t="s">
        <v>81</v>
      </c>
      <c r="D342" s="128"/>
      <c r="E342" s="128"/>
      <c r="F342" s="128"/>
      <c r="G342" s="128"/>
      <c r="H342" s="128"/>
      <c r="I342" s="129"/>
      <c r="J342" s="121"/>
      <c r="K342" s="120">
        <v>-696826</v>
      </c>
      <c r="L342" s="123"/>
      <c r="M342" s="123"/>
      <c r="N342" s="123"/>
    </row>
    <row r="343" spans="1:14">
      <c r="A343" s="35"/>
      <c r="B343" s="35"/>
      <c r="C343" s="127" t="s">
        <v>82</v>
      </c>
      <c r="D343" s="128"/>
      <c r="E343" s="128"/>
      <c r="F343" s="128"/>
      <c r="G343" s="128"/>
      <c r="H343" s="128"/>
      <c r="I343" s="129"/>
      <c r="J343" s="121"/>
      <c r="K343" s="39">
        <f>K341+K342</f>
        <v>-2530862.983921627</v>
      </c>
      <c r="L343" s="123"/>
      <c r="M343" s="123"/>
      <c r="N343" s="123"/>
    </row>
    <row r="345" spans="1:14">
      <c r="I345" s="43" t="s">
        <v>53</v>
      </c>
      <c r="J345" s="43"/>
      <c r="K345" s="44"/>
    </row>
    <row r="346" spans="1:14" ht="15">
      <c r="A346" s="35">
        <v>10</v>
      </c>
      <c r="B346" s="35"/>
      <c r="C346" s="36" t="s">
        <v>54</v>
      </c>
      <c r="I346" s="44" t="s">
        <v>54</v>
      </c>
      <c r="J346" s="44"/>
      <c r="K346" s="44"/>
      <c r="L346" s="45">
        <v>-150081</v>
      </c>
    </row>
    <row r="347" spans="1:14" ht="15">
      <c r="A347" s="35">
        <v>8</v>
      </c>
      <c r="B347" s="35"/>
      <c r="C347" s="36" t="s">
        <v>40</v>
      </c>
      <c r="I347" s="44" t="s">
        <v>40</v>
      </c>
      <c r="J347" s="44"/>
      <c r="K347" s="44"/>
      <c r="L347" s="46"/>
    </row>
    <row r="348" spans="1:14" s="89" customFormat="1" ht="15.75" hidden="1">
      <c r="A348" s="144" t="s">
        <v>6</v>
      </c>
      <c r="B348" s="144"/>
      <c r="C348" s="144"/>
      <c r="D348" s="144"/>
      <c r="E348" s="144"/>
      <c r="F348" s="144"/>
      <c r="G348" s="144"/>
      <c r="H348" s="144"/>
      <c r="I348" s="144"/>
      <c r="J348" s="144"/>
      <c r="K348" s="144"/>
      <c r="L348" s="144"/>
      <c r="M348" s="144"/>
      <c r="N348" s="144"/>
    </row>
    <row r="349" spans="1:14" s="89" customFormat="1" ht="15.75" hidden="1">
      <c r="A349" s="144" t="s">
        <v>7</v>
      </c>
      <c r="B349" s="144"/>
      <c r="C349" s="144"/>
      <c r="D349" s="144"/>
      <c r="E349" s="144"/>
      <c r="F349" s="144"/>
      <c r="G349" s="144"/>
      <c r="H349" s="144"/>
      <c r="I349" s="144"/>
      <c r="J349" s="144"/>
      <c r="K349" s="144"/>
      <c r="L349" s="144"/>
      <c r="M349" s="144"/>
      <c r="N349" s="144"/>
    </row>
    <row r="350" spans="1:14" hidden="1">
      <c r="A350" s="52"/>
      <c r="B350" s="52"/>
      <c r="C350" s="53"/>
      <c r="D350" s="53"/>
      <c r="E350" s="53"/>
      <c r="F350" s="53"/>
      <c r="G350" s="53"/>
      <c r="H350" s="54"/>
      <c r="I350" s="53"/>
      <c r="J350" s="53"/>
      <c r="K350" s="53"/>
      <c r="L350" s="53"/>
      <c r="M350" s="53"/>
      <c r="N350" s="53"/>
    </row>
    <row r="351" spans="1:14" ht="15" hidden="1">
      <c r="A351" s="52"/>
      <c r="B351" s="52"/>
      <c r="C351" s="55"/>
      <c r="D351" s="53"/>
      <c r="E351" s="56" t="s">
        <v>8</v>
      </c>
      <c r="F351" s="57">
        <v>2015</v>
      </c>
      <c r="G351" s="58"/>
      <c r="H351" s="54"/>
      <c r="I351" s="53"/>
      <c r="J351" s="53"/>
      <c r="K351" s="53"/>
      <c r="L351" s="53"/>
      <c r="M351" s="53"/>
      <c r="N351" s="53"/>
    </row>
    <row r="352" spans="1:14" hidden="1">
      <c r="A352" s="52"/>
      <c r="B352" s="52"/>
      <c r="C352" s="53"/>
      <c r="D352" s="53"/>
      <c r="E352" s="53"/>
      <c r="F352" s="53"/>
      <c r="G352" s="53"/>
      <c r="H352" s="54"/>
      <c r="I352" s="53"/>
      <c r="J352" s="53"/>
      <c r="K352" s="53"/>
      <c r="L352" s="53"/>
      <c r="M352" s="53"/>
      <c r="N352" s="53"/>
    </row>
    <row r="353" spans="1:14" hidden="1">
      <c r="A353" s="52"/>
      <c r="B353" s="52"/>
      <c r="C353" s="53"/>
      <c r="D353" s="131" t="s">
        <v>9</v>
      </c>
      <c r="E353" s="132"/>
      <c r="F353" s="132"/>
      <c r="G353" s="133"/>
      <c r="H353" s="54"/>
      <c r="I353" s="59"/>
      <c r="J353" s="126"/>
      <c r="K353" s="60" t="s">
        <v>10</v>
      </c>
      <c r="L353" s="60"/>
      <c r="M353" s="61"/>
      <c r="N353" s="54"/>
    </row>
    <row r="354" spans="1:14" ht="25.5" hidden="1">
      <c r="A354" s="62" t="s">
        <v>11</v>
      </c>
      <c r="B354" s="63" t="s">
        <v>12</v>
      </c>
      <c r="C354" s="64" t="s">
        <v>13</v>
      </c>
      <c r="D354" s="62" t="s">
        <v>14</v>
      </c>
      <c r="E354" s="63" t="s">
        <v>15</v>
      </c>
      <c r="F354" s="63" t="s">
        <v>16</v>
      </c>
      <c r="G354" s="62" t="s">
        <v>17</v>
      </c>
      <c r="H354" s="65"/>
      <c r="I354" s="66" t="s">
        <v>14</v>
      </c>
      <c r="J354" s="66"/>
      <c r="K354" s="67" t="s">
        <v>15</v>
      </c>
      <c r="L354" s="67" t="s">
        <v>16</v>
      </c>
      <c r="M354" s="68" t="s">
        <v>17</v>
      </c>
      <c r="N354" s="62" t="s">
        <v>18</v>
      </c>
    </row>
    <row r="355" spans="1:14" ht="25.5" hidden="1">
      <c r="A355" s="69">
        <v>12</v>
      </c>
      <c r="B355" s="69">
        <v>1611</v>
      </c>
      <c r="C355" s="70" t="s">
        <v>19</v>
      </c>
      <c r="D355" s="71">
        <f>G308</f>
        <v>797009.2</v>
      </c>
      <c r="E355" s="71">
        <v>0</v>
      </c>
      <c r="F355" s="71">
        <v>0</v>
      </c>
      <c r="G355" s="71">
        <f>D355+E355+F355</f>
        <v>797009.2</v>
      </c>
      <c r="H355" s="65"/>
      <c r="I355" s="72">
        <f>M308</f>
        <v>-452137.48</v>
      </c>
      <c r="J355" s="72"/>
      <c r="K355" s="71">
        <v>0</v>
      </c>
      <c r="L355" s="71">
        <v>0</v>
      </c>
      <c r="M355" s="71">
        <f>I355+K355+L355</f>
        <v>-452137.48</v>
      </c>
      <c r="N355" s="73">
        <f>G355+M355</f>
        <v>344871.72</v>
      </c>
    </row>
    <row r="356" spans="1:14" ht="15" hidden="1">
      <c r="A356" s="69" t="s">
        <v>63</v>
      </c>
      <c r="B356" s="69">
        <v>1612</v>
      </c>
      <c r="C356" s="70" t="s">
        <v>64</v>
      </c>
      <c r="D356" s="71" t="e">
        <f>#REF!</f>
        <v>#REF!</v>
      </c>
      <c r="E356" s="71">
        <v>0</v>
      </c>
      <c r="F356" s="71">
        <v>0</v>
      </c>
      <c r="G356" s="71" t="e">
        <f t="shared" ref="G356:G412" si="27">D356+E356+F356</f>
        <v>#REF!</v>
      </c>
      <c r="H356" s="65"/>
      <c r="I356" s="72" t="e">
        <f>#REF!</f>
        <v>#REF!</v>
      </c>
      <c r="J356" s="72"/>
      <c r="K356" s="71">
        <v>0</v>
      </c>
      <c r="L356" s="71">
        <v>0</v>
      </c>
      <c r="M356" s="71" t="e">
        <f t="shared" ref="M356:M412" si="28">I356+K356+L356</f>
        <v>#REF!</v>
      </c>
      <c r="N356" s="73" t="e">
        <f t="shared" ref="N356:N412" si="29">G356+M356</f>
        <v>#REF!</v>
      </c>
    </row>
    <row r="357" spans="1:14" ht="15" hidden="1">
      <c r="A357" s="69" t="s">
        <v>20</v>
      </c>
      <c r="B357" s="69">
        <v>1805</v>
      </c>
      <c r="C357" s="74" t="s">
        <v>21</v>
      </c>
      <c r="D357" s="71">
        <f>G309</f>
        <v>338728.15000000014</v>
      </c>
      <c r="E357" s="71" t="s">
        <v>8</v>
      </c>
      <c r="F357" s="71">
        <v>2015</v>
      </c>
      <c r="G357" s="71" t="e">
        <f t="shared" si="27"/>
        <v>#VALUE!</v>
      </c>
      <c r="H357" s="65"/>
      <c r="I357" s="72">
        <f>M309</f>
        <v>0</v>
      </c>
      <c r="J357" s="72"/>
      <c r="K357" s="71">
        <v>0</v>
      </c>
      <c r="L357" s="71">
        <v>0</v>
      </c>
      <c r="M357" s="71">
        <f t="shared" si="28"/>
        <v>0</v>
      </c>
      <c r="N357" s="73" t="e">
        <f t="shared" si="29"/>
        <v>#VALUE!</v>
      </c>
    </row>
    <row r="358" spans="1:14" ht="15" hidden="1">
      <c r="A358" s="69">
        <v>47</v>
      </c>
      <c r="B358" s="69">
        <v>1808</v>
      </c>
      <c r="C358" s="74" t="s">
        <v>22</v>
      </c>
      <c r="D358" s="71">
        <f>G310</f>
        <v>1471352</v>
      </c>
      <c r="E358" s="71">
        <v>0</v>
      </c>
      <c r="F358" s="71">
        <v>0</v>
      </c>
      <c r="G358" s="71">
        <f t="shared" si="27"/>
        <v>1471352</v>
      </c>
      <c r="H358" s="65"/>
      <c r="I358" s="72">
        <f>M310</f>
        <v>-1016204</v>
      </c>
      <c r="J358" s="72"/>
      <c r="K358" s="71">
        <v>0</v>
      </c>
      <c r="L358" s="71">
        <v>0</v>
      </c>
      <c r="M358" s="71">
        <f t="shared" si="28"/>
        <v>-1016204</v>
      </c>
      <c r="N358" s="73">
        <f t="shared" si="29"/>
        <v>455148</v>
      </c>
    </row>
    <row r="359" spans="1:14" ht="15" hidden="1">
      <c r="A359" s="69">
        <v>47</v>
      </c>
      <c r="B359" s="69">
        <v>1808</v>
      </c>
      <c r="C359" s="74" t="s">
        <v>22</v>
      </c>
      <c r="D359" s="71" t="e">
        <f>#REF!</f>
        <v>#REF!</v>
      </c>
      <c r="E359" s="71">
        <v>0</v>
      </c>
      <c r="F359" s="71">
        <v>0</v>
      </c>
      <c r="G359" s="71" t="e">
        <f t="shared" si="27"/>
        <v>#REF!</v>
      </c>
      <c r="H359" s="65"/>
      <c r="I359" s="72" t="e">
        <f>#REF!</f>
        <v>#REF!</v>
      </c>
      <c r="J359" s="72"/>
      <c r="K359" s="71" t="s">
        <v>10</v>
      </c>
      <c r="L359" s="71">
        <v>0</v>
      </c>
      <c r="M359" s="71" t="e">
        <f t="shared" si="28"/>
        <v>#REF!</v>
      </c>
      <c r="N359" s="73" t="e">
        <f t="shared" si="29"/>
        <v>#REF!</v>
      </c>
    </row>
    <row r="360" spans="1:14" ht="15" hidden="1">
      <c r="A360" s="69">
        <v>13</v>
      </c>
      <c r="B360" s="69">
        <v>1810</v>
      </c>
      <c r="C360" s="74" t="s">
        <v>34</v>
      </c>
      <c r="D360" s="71" t="e">
        <f>#REF!</f>
        <v>#REF!</v>
      </c>
      <c r="E360" s="71" t="s">
        <v>15</v>
      </c>
      <c r="F360" s="71" t="s">
        <v>16</v>
      </c>
      <c r="G360" s="71" t="e">
        <f t="shared" si="27"/>
        <v>#REF!</v>
      </c>
      <c r="H360" s="65"/>
      <c r="I360" s="72" t="e">
        <f>#REF!</f>
        <v>#REF!</v>
      </c>
      <c r="J360" s="72"/>
      <c r="K360" s="71" t="s">
        <v>15</v>
      </c>
      <c r="L360" s="71" t="s">
        <v>16</v>
      </c>
      <c r="M360" s="71" t="e">
        <f t="shared" si="28"/>
        <v>#REF!</v>
      </c>
      <c r="N360" s="73" t="e">
        <f t="shared" si="29"/>
        <v>#REF!</v>
      </c>
    </row>
    <row r="361" spans="1:14" ht="15" hidden="1">
      <c r="A361" s="69">
        <v>47</v>
      </c>
      <c r="B361" s="69">
        <v>1820</v>
      </c>
      <c r="C361" s="70" t="s">
        <v>24</v>
      </c>
      <c r="D361" s="71">
        <f>G311</f>
        <v>1060333.8700000001</v>
      </c>
      <c r="E361" s="71">
        <v>0</v>
      </c>
      <c r="F361" s="71">
        <v>0</v>
      </c>
      <c r="G361" s="71">
        <f t="shared" si="27"/>
        <v>1060333.8700000001</v>
      </c>
      <c r="H361" s="65"/>
      <c r="I361" s="72">
        <f>M311</f>
        <v>-833371.32649305579</v>
      </c>
      <c r="J361" s="72"/>
      <c r="K361" s="71">
        <v>-38156.064358974334</v>
      </c>
      <c r="L361" s="71">
        <v>0</v>
      </c>
      <c r="M361" s="71">
        <f t="shared" si="28"/>
        <v>-871527.39085203013</v>
      </c>
      <c r="N361" s="73">
        <f t="shared" si="29"/>
        <v>188806.47914796998</v>
      </c>
    </row>
    <row r="362" spans="1:14" ht="15" hidden="1">
      <c r="A362" s="69">
        <v>47</v>
      </c>
      <c r="B362" s="69">
        <v>1825</v>
      </c>
      <c r="C362" s="74" t="s">
        <v>65</v>
      </c>
      <c r="D362" s="71" t="e">
        <f>#REF!</f>
        <v>#REF!</v>
      </c>
      <c r="E362" s="71">
        <v>0</v>
      </c>
      <c r="F362" s="71">
        <v>0</v>
      </c>
      <c r="G362" s="71" t="e">
        <f t="shared" si="27"/>
        <v>#REF!</v>
      </c>
      <c r="H362" s="65"/>
      <c r="I362" s="72" t="e">
        <f>#REF!</f>
        <v>#REF!</v>
      </c>
      <c r="J362" s="72"/>
      <c r="K362" s="71">
        <v>-3655.4999999999991</v>
      </c>
      <c r="L362" s="71">
        <v>0</v>
      </c>
      <c r="M362" s="71" t="e">
        <f t="shared" si="28"/>
        <v>#REF!</v>
      </c>
      <c r="N362" s="73" t="e">
        <f t="shared" si="29"/>
        <v>#REF!</v>
      </c>
    </row>
    <row r="363" spans="1:14" ht="15" hidden="1">
      <c r="A363" s="69">
        <v>47</v>
      </c>
      <c r="B363" s="69">
        <v>1830</v>
      </c>
      <c r="C363" s="74" t="s">
        <v>25</v>
      </c>
      <c r="D363" s="71">
        <f>G312</f>
        <v>15590364</v>
      </c>
      <c r="E363" s="71">
        <v>0</v>
      </c>
      <c r="F363" s="71">
        <v>0</v>
      </c>
      <c r="G363" s="71">
        <f t="shared" si="27"/>
        <v>15590364</v>
      </c>
      <c r="H363" s="65"/>
      <c r="I363" s="72">
        <f>M312</f>
        <v>-5880933</v>
      </c>
      <c r="J363" s="72"/>
      <c r="K363" s="71">
        <v>0</v>
      </c>
      <c r="L363" s="71">
        <v>0</v>
      </c>
      <c r="M363" s="71">
        <f t="shared" si="28"/>
        <v>-5880933</v>
      </c>
      <c r="N363" s="73">
        <f t="shared" si="29"/>
        <v>9709431</v>
      </c>
    </row>
    <row r="364" spans="1:14" ht="15" hidden="1">
      <c r="A364" s="69">
        <v>47</v>
      </c>
      <c r="B364" s="69">
        <v>1830</v>
      </c>
      <c r="C364" s="74" t="s">
        <v>25</v>
      </c>
      <c r="D364" s="71" t="e">
        <f>#REF!</f>
        <v>#REF!</v>
      </c>
      <c r="E364" s="71">
        <v>13961839.850000001</v>
      </c>
      <c r="F364" s="71">
        <v>0</v>
      </c>
      <c r="G364" s="71" t="e">
        <f t="shared" si="27"/>
        <v>#REF!</v>
      </c>
      <c r="H364" s="65"/>
      <c r="I364" s="72" t="e">
        <f>#REF!</f>
        <v>#REF!</v>
      </c>
      <c r="J364" s="72"/>
      <c r="K364" s="71">
        <v>-667058.92705291603</v>
      </c>
      <c r="L364" s="71">
        <v>0</v>
      </c>
      <c r="M364" s="71" t="e">
        <f t="shared" si="28"/>
        <v>#REF!</v>
      </c>
      <c r="N364" s="73" t="e">
        <f t="shared" si="29"/>
        <v>#REF!</v>
      </c>
    </row>
    <row r="365" spans="1:14" ht="15" hidden="1">
      <c r="A365" s="69">
        <v>47</v>
      </c>
      <c r="B365" s="69">
        <v>1830</v>
      </c>
      <c r="C365" s="74" t="s">
        <v>25</v>
      </c>
      <c r="D365" s="71" t="e">
        <f>#REF!</f>
        <v>#REF!</v>
      </c>
      <c r="E365" s="71">
        <v>0</v>
      </c>
      <c r="F365" s="71">
        <v>0</v>
      </c>
      <c r="G365" s="71" t="e">
        <f t="shared" si="27"/>
        <v>#REF!</v>
      </c>
      <c r="H365" s="65"/>
      <c r="I365" s="72" t="e">
        <f>#REF!</f>
        <v>#REF!</v>
      </c>
      <c r="J365" s="72"/>
      <c r="K365" s="71">
        <v>0</v>
      </c>
      <c r="L365" s="71">
        <v>0</v>
      </c>
      <c r="M365" s="71" t="e">
        <f t="shared" si="28"/>
        <v>#REF!</v>
      </c>
      <c r="N365" s="73" t="e">
        <f t="shared" si="29"/>
        <v>#REF!</v>
      </c>
    </row>
    <row r="366" spans="1:14" ht="15" hidden="1">
      <c r="A366" s="69">
        <v>47</v>
      </c>
      <c r="B366" s="69">
        <v>1835</v>
      </c>
      <c r="C366" s="74" t="s">
        <v>26</v>
      </c>
      <c r="D366" s="71">
        <f>G313</f>
        <v>9594837</v>
      </c>
      <c r="E366" s="71">
        <v>0</v>
      </c>
      <c r="F366" s="71">
        <v>0</v>
      </c>
      <c r="G366" s="71">
        <f t="shared" si="27"/>
        <v>9594837</v>
      </c>
      <c r="H366" s="65"/>
      <c r="I366" s="72">
        <f>M313</f>
        <v>-3430025</v>
      </c>
      <c r="J366" s="72"/>
      <c r="K366" s="71">
        <v>0</v>
      </c>
      <c r="L366" s="71">
        <v>0</v>
      </c>
      <c r="M366" s="71">
        <f t="shared" si="28"/>
        <v>-3430025</v>
      </c>
      <c r="N366" s="73">
        <f t="shared" si="29"/>
        <v>6164812</v>
      </c>
    </row>
    <row r="367" spans="1:14" ht="15" hidden="1">
      <c r="A367" s="69">
        <v>47</v>
      </c>
      <c r="B367" s="69">
        <v>1835</v>
      </c>
      <c r="C367" s="74" t="s">
        <v>26</v>
      </c>
      <c r="D367" s="71" t="e">
        <f>#REF!</f>
        <v>#REF!</v>
      </c>
      <c r="E367" s="71">
        <v>0</v>
      </c>
      <c r="F367" s="71">
        <v>0</v>
      </c>
      <c r="G367" s="71" t="e">
        <f t="shared" si="27"/>
        <v>#REF!</v>
      </c>
      <c r="H367" s="65"/>
      <c r="I367" s="72" t="e">
        <f>#REF!</f>
        <v>#REF!</v>
      </c>
      <c r="J367" s="72"/>
      <c r="K367" s="71">
        <v>-27834.886493055561</v>
      </c>
      <c r="L367" s="71">
        <v>0</v>
      </c>
      <c r="M367" s="71" t="e">
        <f t="shared" si="28"/>
        <v>#REF!</v>
      </c>
      <c r="N367" s="73" t="e">
        <f t="shared" si="29"/>
        <v>#REF!</v>
      </c>
    </row>
    <row r="368" spans="1:14" ht="15" hidden="1">
      <c r="A368" s="69">
        <v>47</v>
      </c>
      <c r="B368" s="69">
        <v>1835</v>
      </c>
      <c r="C368" s="74" t="s">
        <v>26</v>
      </c>
      <c r="D368" s="71" t="e">
        <f>#REF!</f>
        <v>#REF!</v>
      </c>
      <c r="E368" s="71">
        <v>0</v>
      </c>
      <c r="F368" s="71">
        <v>0</v>
      </c>
      <c r="G368" s="71" t="e">
        <f t="shared" si="27"/>
        <v>#REF!</v>
      </c>
      <c r="H368" s="65"/>
      <c r="I368" s="72" t="e">
        <f>#REF!</f>
        <v>#REF!</v>
      </c>
      <c r="J368" s="72"/>
      <c r="K368" s="71">
        <v>0</v>
      </c>
      <c r="L368" s="71">
        <v>0</v>
      </c>
      <c r="M368" s="71" t="e">
        <f t="shared" si="28"/>
        <v>#REF!</v>
      </c>
      <c r="N368" s="73" t="e">
        <f t="shared" si="29"/>
        <v>#REF!</v>
      </c>
    </row>
    <row r="369" spans="1:14" ht="15" hidden="1">
      <c r="A369" s="69">
        <v>47</v>
      </c>
      <c r="B369" s="69">
        <v>1835</v>
      </c>
      <c r="C369" s="74" t="s">
        <v>26</v>
      </c>
      <c r="D369" s="71" t="e">
        <f>#REF!</f>
        <v>#REF!</v>
      </c>
      <c r="E369" s="71">
        <v>201792</v>
      </c>
      <c r="F369" s="71">
        <v>0</v>
      </c>
      <c r="G369" s="71" t="e">
        <f t="shared" si="27"/>
        <v>#REF!</v>
      </c>
      <c r="H369" s="65"/>
      <c r="I369" s="72" t="e">
        <f>#REF!</f>
        <v>#REF!</v>
      </c>
      <c r="J369" s="72"/>
      <c r="K369" s="71">
        <v>-79119.654819297735</v>
      </c>
      <c r="L369" s="71">
        <v>0</v>
      </c>
      <c r="M369" s="71" t="e">
        <f t="shared" si="28"/>
        <v>#REF!</v>
      </c>
      <c r="N369" s="73" t="e">
        <f t="shared" si="29"/>
        <v>#REF!</v>
      </c>
    </row>
    <row r="370" spans="1:14" ht="15" hidden="1">
      <c r="A370" s="69">
        <v>47</v>
      </c>
      <c r="B370" s="69">
        <v>1835</v>
      </c>
      <c r="C370" s="74" t="s">
        <v>26</v>
      </c>
      <c r="D370" s="71" t="e">
        <f>#REF!</f>
        <v>#REF!</v>
      </c>
      <c r="E370" s="71">
        <v>49038</v>
      </c>
      <c r="F370" s="71">
        <v>0</v>
      </c>
      <c r="G370" s="71" t="e">
        <f t="shared" si="27"/>
        <v>#REF!</v>
      </c>
      <c r="H370" s="65"/>
      <c r="I370" s="72" t="e">
        <f>#REF!</f>
        <v>#REF!</v>
      </c>
      <c r="J370" s="72"/>
      <c r="K370" s="71">
        <v>-18429.257154638424</v>
      </c>
      <c r="L370" s="71">
        <v>0</v>
      </c>
      <c r="M370" s="71" t="e">
        <f t="shared" si="28"/>
        <v>#REF!</v>
      </c>
      <c r="N370" s="73" t="e">
        <f t="shared" si="29"/>
        <v>#REF!</v>
      </c>
    </row>
    <row r="371" spans="1:14" ht="15" hidden="1">
      <c r="A371" s="69">
        <v>47</v>
      </c>
      <c r="B371" s="69">
        <v>1840</v>
      </c>
      <c r="C371" s="74" t="s">
        <v>27</v>
      </c>
      <c r="D371" s="71">
        <f>G314</f>
        <v>5637137</v>
      </c>
      <c r="E371" s="71">
        <v>382954</v>
      </c>
      <c r="F371" s="71">
        <v>0</v>
      </c>
      <c r="G371" s="71">
        <f t="shared" si="27"/>
        <v>6020091</v>
      </c>
      <c r="H371" s="65"/>
      <c r="I371" s="72">
        <f>M314</f>
        <v>-1846652</v>
      </c>
      <c r="J371" s="72"/>
      <c r="K371" s="71">
        <v>-168253.47889372142</v>
      </c>
      <c r="L371" s="71">
        <v>0</v>
      </c>
      <c r="M371" s="71">
        <f t="shared" si="28"/>
        <v>-2014905.4788937215</v>
      </c>
      <c r="N371" s="73">
        <f t="shared" si="29"/>
        <v>4005185.5211062785</v>
      </c>
    </row>
    <row r="372" spans="1:14" ht="15" hidden="1">
      <c r="A372" s="69">
        <v>47</v>
      </c>
      <c r="B372" s="69">
        <v>1840</v>
      </c>
      <c r="C372" s="74" t="s">
        <v>27</v>
      </c>
      <c r="D372" s="71" t="e">
        <f>#REF!</f>
        <v>#REF!</v>
      </c>
      <c r="E372" s="71">
        <v>47032</v>
      </c>
      <c r="F372" s="71">
        <v>0</v>
      </c>
      <c r="G372" s="71" t="e">
        <f t="shared" si="27"/>
        <v>#REF!</v>
      </c>
      <c r="H372" s="65"/>
      <c r="I372" s="72" t="e">
        <f>#REF!</f>
        <v>#REF!</v>
      </c>
      <c r="J372" s="72"/>
      <c r="K372" s="71">
        <v>-28607.211948663669</v>
      </c>
      <c r="L372" s="71">
        <v>0</v>
      </c>
      <c r="M372" s="71" t="e">
        <f t="shared" si="28"/>
        <v>#REF!</v>
      </c>
      <c r="N372" s="73" t="e">
        <f t="shared" si="29"/>
        <v>#REF!</v>
      </c>
    </row>
    <row r="373" spans="1:14" ht="15" hidden="1">
      <c r="A373" s="69">
        <v>47</v>
      </c>
      <c r="B373" s="69">
        <v>1845</v>
      </c>
      <c r="C373" s="74" t="s">
        <v>28</v>
      </c>
      <c r="D373" s="71">
        <f>G315</f>
        <v>17602032</v>
      </c>
      <c r="E373" s="71">
        <v>0</v>
      </c>
      <c r="F373" s="71">
        <v>0</v>
      </c>
      <c r="G373" s="71">
        <f t="shared" si="27"/>
        <v>17602032</v>
      </c>
      <c r="H373" s="65"/>
      <c r="I373" s="72">
        <f>M315</f>
        <v>-11624268</v>
      </c>
      <c r="J373" s="72"/>
      <c r="K373" s="71">
        <v>-9910.602606055254</v>
      </c>
      <c r="L373" s="71">
        <v>0</v>
      </c>
      <c r="M373" s="71">
        <f t="shared" si="28"/>
        <v>-11634178.602606054</v>
      </c>
      <c r="N373" s="73">
        <f t="shared" si="29"/>
        <v>5967853.3973939456</v>
      </c>
    </row>
    <row r="374" spans="1:14" ht="15" hidden="1">
      <c r="A374" s="69">
        <v>47</v>
      </c>
      <c r="B374" s="69">
        <v>1845</v>
      </c>
      <c r="C374" s="74" t="s">
        <v>28</v>
      </c>
      <c r="D374" s="71" t="e">
        <f>#REF!</f>
        <v>#REF!</v>
      </c>
      <c r="E374" s="71">
        <v>222184</v>
      </c>
      <c r="F374" s="71">
        <v>0</v>
      </c>
      <c r="G374" s="71" t="e">
        <f t="shared" si="27"/>
        <v>#REF!</v>
      </c>
      <c r="H374" s="65"/>
      <c r="I374" s="72" t="e">
        <f>#REF!</f>
        <v>#REF!</v>
      </c>
      <c r="J374" s="72"/>
      <c r="K374" s="71">
        <v>-90885.336687773641</v>
      </c>
      <c r="L374" s="71">
        <v>0</v>
      </c>
      <c r="M374" s="71" t="e">
        <f t="shared" si="28"/>
        <v>#REF!</v>
      </c>
      <c r="N374" s="73" t="e">
        <f t="shared" si="29"/>
        <v>#REF!</v>
      </c>
    </row>
    <row r="375" spans="1:14" ht="15" hidden="1">
      <c r="A375" s="69">
        <v>47</v>
      </c>
      <c r="B375" s="69">
        <v>1845</v>
      </c>
      <c r="C375" s="74" t="s">
        <v>28</v>
      </c>
      <c r="D375" s="71" t="e">
        <f>#REF!</f>
        <v>#REF!</v>
      </c>
      <c r="E375" s="71">
        <v>0</v>
      </c>
      <c r="F375" s="71">
        <v>0</v>
      </c>
      <c r="G375" s="71" t="e">
        <f t="shared" si="27"/>
        <v>#REF!</v>
      </c>
      <c r="H375" s="65"/>
      <c r="I375" s="72" t="e">
        <f>#REF!</f>
        <v>#REF!</v>
      </c>
      <c r="J375" s="72"/>
      <c r="K375" s="71">
        <v>-5057.7724974421399</v>
      </c>
      <c r="L375" s="71">
        <v>0</v>
      </c>
      <c r="M375" s="71" t="e">
        <f t="shared" si="28"/>
        <v>#REF!</v>
      </c>
      <c r="N375" s="73" t="e">
        <f t="shared" si="29"/>
        <v>#REF!</v>
      </c>
    </row>
    <row r="376" spans="1:14" ht="15" hidden="1">
      <c r="A376" s="69">
        <v>47</v>
      </c>
      <c r="B376" s="69">
        <v>1850</v>
      </c>
      <c r="C376" s="74" t="s">
        <v>29</v>
      </c>
      <c r="D376" s="71">
        <f>G316</f>
        <v>12079798</v>
      </c>
      <c r="E376" s="71">
        <v>0</v>
      </c>
      <c r="F376" s="71">
        <v>0</v>
      </c>
      <c r="G376" s="71">
        <f t="shared" si="27"/>
        <v>12079798</v>
      </c>
      <c r="H376" s="65"/>
      <c r="I376" s="72">
        <f>M316</f>
        <v>-6609706</v>
      </c>
      <c r="J376" s="72"/>
      <c r="K376" s="71">
        <v>-1511.5218461538461</v>
      </c>
      <c r="L376" s="71">
        <v>0</v>
      </c>
      <c r="M376" s="71">
        <f t="shared" si="28"/>
        <v>-6611217.5218461538</v>
      </c>
      <c r="N376" s="73">
        <f t="shared" si="29"/>
        <v>5468580.4781538462</v>
      </c>
    </row>
    <row r="377" spans="1:14" ht="15" hidden="1">
      <c r="A377" s="69">
        <v>47</v>
      </c>
      <c r="B377" s="69">
        <v>1850</v>
      </c>
      <c r="C377" s="74" t="s">
        <v>29</v>
      </c>
      <c r="D377" s="71" t="e">
        <f>#REF!</f>
        <v>#REF!</v>
      </c>
      <c r="E377" s="71">
        <v>188546</v>
      </c>
      <c r="F377" s="71">
        <v>0</v>
      </c>
      <c r="G377" s="71" t="e">
        <f t="shared" si="27"/>
        <v>#REF!</v>
      </c>
      <c r="H377" s="65"/>
      <c r="I377" s="72" t="e">
        <f>#REF!</f>
        <v>#REF!</v>
      </c>
      <c r="J377" s="72"/>
      <c r="K377" s="71">
        <v>-77284.213436544815</v>
      </c>
      <c r="L377" s="71">
        <v>0</v>
      </c>
      <c r="M377" s="71" t="e">
        <f t="shared" si="28"/>
        <v>#REF!</v>
      </c>
      <c r="N377" s="73" t="e">
        <f t="shared" si="29"/>
        <v>#REF!</v>
      </c>
    </row>
    <row r="378" spans="1:14" ht="15" hidden="1">
      <c r="A378" s="69">
        <v>47</v>
      </c>
      <c r="B378" s="69">
        <v>1850</v>
      </c>
      <c r="C378" s="74" t="s">
        <v>29</v>
      </c>
      <c r="D378" s="71" t="e">
        <f>#REF!</f>
        <v>#REF!</v>
      </c>
      <c r="E378" s="71">
        <v>54194</v>
      </c>
      <c r="F378" s="71">
        <v>0</v>
      </c>
      <c r="G378" s="71" t="e">
        <f t="shared" si="27"/>
        <v>#REF!</v>
      </c>
      <c r="H378" s="65"/>
      <c r="I378" s="72" t="e">
        <f>#REF!</f>
        <v>#REF!</v>
      </c>
      <c r="J378" s="72"/>
      <c r="K378" s="71">
        <v>-21404.874787594064</v>
      </c>
      <c r="L378" s="71">
        <v>0</v>
      </c>
      <c r="M378" s="71" t="e">
        <f t="shared" si="28"/>
        <v>#REF!</v>
      </c>
      <c r="N378" s="73" t="e">
        <f t="shared" si="29"/>
        <v>#REF!</v>
      </c>
    </row>
    <row r="379" spans="1:14" ht="15" hidden="1">
      <c r="A379" s="69">
        <v>47</v>
      </c>
      <c r="B379" s="69">
        <v>1855</v>
      </c>
      <c r="C379" s="74" t="s">
        <v>75</v>
      </c>
      <c r="D379" s="71">
        <f>G317</f>
        <v>4869814</v>
      </c>
      <c r="E379" s="71">
        <v>0</v>
      </c>
      <c r="F379" s="71">
        <v>0</v>
      </c>
      <c r="G379" s="71">
        <f t="shared" si="27"/>
        <v>4869814</v>
      </c>
      <c r="H379" s="65"/>
      <c r="I379" s="72">
        <f>M317</f>
        <v>-2803262</v>
      </c>
      <c r="J379" s="72"/>
      <c r="K379" s="71">
        <v>-10347.813356045757</v>
      </c>
      <c r="L379" s="71">
        <v>0</v>
      </c>
      <c r="M379" s="71">
        <f t="shared" si="28"/>
        <v>-2813609.8133560456</v>
      </c>
      <c r="N379" s="73">
        <f t="shared" si="29"/>
        <v>2056204.1866439544</v>
      </c>
    </row>
    <row r="380" spans="1:14" ht="15" hidden="1">
      <c r="A380" s="69">
        <v>47</v>
      </c>
      <c r="B380" s="69">
        <v>1855</v>
      </c>
      <c r="C380" s="74" t="s">
        <v>75</v>
      </c>
      <c r="D380" s="71" t="e">
        <f>#REF!</f>
        <v>#REF!</v>
      </c>
      <c r="E380" s="71">
        <v>165000</v>
      </c>
      <c r="F380" s="71">
        <v>0</v>
      </c>
      <c r="G380" s="71" t="e">
        <f t="shared" si="27"/>
        <v>#REF!</v>
      </c>
      <c r="H380" s="65"/>
      <c r="I380" s="72" t="e">
        <f>#REF!</f>
        <v>#REF!</v>
      </c>
      <c r="J380" s="72"/>
      <c r="K380" s="71">
        <v>-173825.81369552482</v>
      </c>
      <c r="L380" s="71">
        <v>0</v>
      </c>
      <c r="M380" s="71" t="e">
        <f t="shared" si="28"/>
        <v>#REF!</v>
      </c>
      <c r="N380" s="73" t="e">
        <f t="shared" si="29"/>
        <v>#REF!</v>
      </c>
    </row>
    <row r="381" spans="1:14" ht="15" hidden="1">
      <c r="A381" s="69">
        <v>47</v>
      </c>
      <c r="B381" s="69">
        <v>1860</v>
      </c>
      <c r="C381" s="74" t="s">
        <v>31</v>
      </c>
      <c r="D381" s="71">
        <f>G318</f>
        <v>5250358</v>
      </c>
      <c r="E381" s="71">
        <v>110000</v>
      </c>
      <c r="F381" s="71">
        <v>0</v>
      </c>
      <c r="G381" s="71">
        <f t="shared" si="27"/>
        <v>5360358</v>
      </c>
      <c r="H381" s="65"/>
      <c r="I381" s="72">
        <f>M318</f>
        <v>-1910585</v>
      </c>
      <c r="J381" s="72"/>
      <c r="K381" s="71">
        <v>-34145.97371442405</v>
      </c>
      <c r="L381" s="71">
        <v>0</v>
      </c>
      <c r="M381" s="71">
        <f t="shared" si="28"/>
        <v>-1944730.9737144241</v>
      </c>
      <c r="N381" s="73">
        <f t="shared" si="29"/>
        <v>3415627.0262855757</v>
      </c>
    </row>
    <row r="382" spans="1:14" ht="15" hidden="1">
      <c r="A382" s="69">
        <v>47</v>
      </c>
      <c r="B382" s="69">
        <v>1860</v>
      </c>
      <c r="C382" s="74" t="s">
        <v>31</v>
      </c>
      <c r="D382" s="71" t="e">
        <f>#REF!</f>
        <v>#REF!</v>
      </c>
      <c r="E382" s="71">
        <v>142403</v>
      </c>
      <c r="F382" s="71">
        <v>0</v>
      </c>
      <c r="G382" s="71" t="e">
        <f t="shared" si="27"/>
        <v>#REF!</v>
      </c>
      <c r="H382" s="65"/>
      <c r="I382" s="72" t="e">
        <f>#REF!</f>
        <v>#REF!</v>
      </c>
      <c r="J382" s="72"/>
      <c r="K382" s="71">
        <v>-80275.758566114688</v>
      </c>
      <c r="L382" s="71">
        <v>0</v>
      </c>
      <c r="M382" s="71" t="e">
        <f t="shared" si="28"/>
        <v>#REF!</v>
      </c>
      <c r="N382" s="73" t="e">
        <f t="shared" si="29"/>
        <v>#REF!</v>
      </c>
    </row>
    <row r="383" spans="1:14" ht="15" hidden="1">
      <c r="A383" s="69">
        <v>47</v>
      </c>
      <c r="B383" s="69">
        <v>1860</v>
      </c>
      <c r="C383" s="74" t="s">
        <v>31</v>
      </c>
      <c r="D383" s="71" t="e">
        <f>#REF!</f>
        <v>#REF!</v>
      </c>
      <c r="E383" s="71">
        <v>142403</v>
      </c>
      <c r="F383" s="71">
        <v>0</v>
      </c>
      <c r="G383" s="71" t="e">
        <f t="shared" si="27"/>
        <v>#REF!</v>
      </c>
      <c r="H383" s="65"/>
      <c r="I383" s="72" t="e">
        <f>#REF!</f>
        <v>#REF!</v>
      </c>
      <c r="J383" s="72"/>
      <c r="K383" s="71">
        <v>-114046.26146490831</v>
      </c>
      <c r="L383" s="71">
        <v>0</v>
      </c>
      <c r="M383" s="71" t="e">
        <f t="shared" si="28"/>
        <v>#REF!</v>
      </c>
      <c r="N383" s="73" t="e">
        <f t="shared" si="29"/>
        <v>#REF!</v>
      </c>
    </row>
    <row r="384" spans="1:14" ht="15" hidden="1">
      <c r="A384" s="69">
        <v>47</v>
      </c>
      <c r="B384" s="69">
        <v>1860</v>
      </c>
      <c r="C384" s="74" t="s">
        <v>31</v>
      </c>
      <c r="D384" s="71" t="e">
        <f>#REF!</f>
        <v>#REF!</v>
      </c>
      <c r="E384" s="71">
        <v>0</v>
      </c>
      <c r="F384" s="71">
        <v>0</v>
      </c>
      <c r="G384" s="71" t="e">
        <f t="shared" si="27"/>
        <v>#REF!</v>
      </c>
      <c r="H384" s="65"/>
      <c r="I384" s="72" t="e">
        <f>#REF!</f>
        <v>#REF!</v>
      </c>
      <c r="J384" s="72"/>
      <c r="K384" s="71">
        <v>0</v>
      </c>
      <c r="L384" s="71">
        <v>0</v>
      </c>
      <c r="M384" s="71" t="e">
        <f t="shared" si="28"/>
        <v>#REF!</v>
      </c>
      <c r="N384" s="73" t="e">
        <f t="shared" si="29"/>
        <v>#REF!</v>
      </c>
    </row>
    <row r="385" spans="1:14" ht="15" hidden="1">
      <c r="A385" s="69">
        <v>47</v>
      </c>
      <c r="B385" s="69">
        <v>1860</v>
      </c>
      <c r="C385" s="74" t="s">
        <v>31</v>
      </c>
      <c r="D385" s="71" t="e">
        <f>#REF!</f>
        <v>#REF!</v>
      </c>
      <c r="E385" s="71">
        <v>145620</v>
      </c>
      <c r="F385" s="71">
        <v>0</v>
      </c>
      <c r="G385" s="71" t="e">
        <f t="shared" si="27"/>
        <v>#REF!</v>
      </c>
      <c r="H385" s="65"/>
      <c r="I385" s="72" t="e">
        <f>#REF!</f>
        <v>#REF!</v>
      </c>
      <c r="J385" s="72"/>
      <c r="K385" s="71">
        <v>-66876.948597444018</v>
      </c>
      <c r="L385" s="71">
        <v>0</v>
      </c>
      <c r="M385" s="71" t="e">
        <f t="shared" si="28"/>
        <v>#REF!</v>
      </c>
      <c r="N385" s="73" t="e">
        <f t="shared" si="29"/>
        <v>#REF!</v>
      </c>
    </row>
    <row r="386" spans="1:14" ht="15" hidden="1">
      <c r="A386" s="69"/>
      <c r="B386" s="69">
        <v>1890</v>
      </c>
      <c r="C386" s="74" t="s">
        <v>32</v>
      </c>
      <c r="D386" s="71">
        <f>G319</f>
        <v>468946</v>
      </c>
      <c r="E386" s="71">
        <v>45334</v>
      </c>
      <c r="F386" s="71">
        <v>0</v>
      </c>
      <c r="G386" s="71">
        <f t="shared" si="27"/>
        <v>514280</v>
      </c>
      <c r="H386" s="65"/>
      <c r="I386" s="72">
        <f>M319</f>
        <v>0</v>
      </c>
      <c r="J386" s="72"/>
      <c r="K386" s="71">
        <v>-5420.1650689147336</v>
      </c>
      <c r="L386" s="71">
        <v>0</v>
      </c>
      <c r="M386" s="71">
        <f t="shared" si="28"/>
        <v>-5420.1650689147336</v>
      </c>
      <c r="N386" s="73">
        <f t="shared" si="29"/>
        <v>508859.83493108529</v>
      </c>
    </row>
    <row r="387" spans="1:14" ht="15" hidden="1">
      <c r="A387" s="69"/>
      <c r="B387" s="69">
        <v>1905</v>
      </c>
      <c r="C387" s="74" t="s">
        <v>21</v>
      </c>
      <c r="D387" s="71">
        <f>G320</f>
        <v>17041.330000000002</v>
      </c>
      <c r="E387" s="71">
        <v>113750</v>
      </c>
      <c r="F387" s="71">
        <v>0</v>
      </c>
      <c r="G387" s="71">
        <f t="shared" si="27"/>
        <v>130791.33</v>
      </c>
      <c r="H387" s="65"/>
      <c r="I387" s="72">
        <f>M320</f>
        <v>-17041.330000000002</v>
      </c>
      <c r="J387" s="72"/>
      <c r="K387" s="71">
        <v>-71761.742271144554</v>
      </c>
      <c r="L387" s="71">
        <v>0</v>
      </c>
      <c r="M387" s="71">
        <f t="shared" si="28"/>
        <v>-88803.072271144556</v>
      </c>
      <c r="N387" s="73">
        <f t="shared" si="29"/>
        <v>41988.257728855446</v>
      </c>
    </row>
    <row r="388" spans="1:14" ht="15" hidden="1">
      <c r="A388" s="69">
        <v>47</v>
      </c>
      <c r="B388" s="69">
        <v>1908</v>
      </c>
      <c r="C388" s="74" t="s">
        <v>33</v>
      </c>
      <c r="D388" s="71">
        <f>G321</f>
        <v>601155</v>
      </c>
      <c r="E388" s="71">
        <v>8750</v>
      </c>
      <c r="F388" s="71">
        <v>0</v>
      </c>
      <c r="G388" s="71">
        <f t="shared" si="27"/>
        <v>609905</v>
      </c>
      <c r="H388" s="65"/>
      <c r="I388" s="72">
        <f>M321</f>
        <v>-147965.11599999998</v>
      </c>
      <c r="J388" s="72"/>
      <c r="K388" s="71">
        <v>-6917.3311219251282</v>
      </c>
      <c r="L388" s="71">
        <v>0</v>
      </c>
      <c r="M388" s="71">
        <f t="shared" si="28"/>
        <v>-154882.4471219251</v>
      </c>
      <c r="N388" s="73">
        <f t="shared" si="29"/>
        <v>455022.55287807493</v>
      </c>
    </row>
    <row r="389" spans="1:14" ht="15" hidden="1">
      <c r="A389" s="69">
        <v>47</v>
      </c>
      <c r="B389" s="69">
        <v>1908</v>
      </c>
      <c r="C389" s="74" t="s">
        <v>33</v>
      </c>
      <c r="D389" s="71" t="e">
        <f>#REF!</f>
        <v>#REF!</v>
      </c>
      <c r="E389" s="71">
        <v>0</v>
      </c>
      <c r="F389" s="71">
        <v>0</v>
      </c>
      <c r="G389" s="71" t="e">
        <f t="shared" si="27"/>
        <v>#REF!</v>
      </c>
      <c r="H389" s="65"/>
      <c r="I389" s="72" t="e">
        <f>#REF!</f>
        <v>#REF!</v>
      </c>
      <c r="J389" s="72"/>
      <c r="K389" s="71">
        <v>-23488.03694156995</v>
      </c>
      <c r="L389" s="71">
        <v>0</v>
      </c>
      <c r="M389" s="71" t="e">
        <f t="shared" si="28"/>
        <v>#REF!</v>
      </c>
      <c r="N389" s="73" t="e">
        <f t="shared" si="29"/>
        <v>#REF!</v>
      </c>
    </row>
    <row r="390" spans="1:14" ht="15" hidden="1">
      <c r="A390" s="69">
        <v>13</v>
      </c>
      <c r="B390" s="69">
        <v>1910</v>
      </c>
      <c r="C390" s="74" t="s">
        <v>34</v>
      </c>
      <c r="D390" s="71">
        <f>G322</f>
        <v>21798</v>
      </c>
      <c r="E390" s="71">
        <v>0</v>
      </c>
      <c r="F390" s="71">
        <v>0</v>
      </c>
      <c r="G390" s="71">
        <f t="shared" si="27"/>
        <v>21798</v>
      </c>
      <c r="H390" s="65"/>
      <c r="I390" s="72">
        <f>M322</f>
        <v>-21798.12</v>
      </c>
      <c r="J390" s="72"/>
      <c r="K390" s="71">
        <v>-12540.383392835502</v>
      </c>
      <c r="L390" s="71">
        <v>0</v>
      </c>
      <c r="M390" s="71">
        <f t="shared" si="28"/>
        <v>-34338.503392835497</v>
      </c>
      <c r="N390" s="73">
        <f t="shared" si="29"/>
        <v>-12540.503392835497</v>
      </c>
    </row>
    <row r="391" spans="1:14" ht="15" hidden="1">
      <c r="A391" s="69">
        <v>8</v>
      </c>
      <c r="B391" s="69">
        <v>1915</v>
      </c>
      <c r="C391" s="74" t="s">
        <v>35</v>
      </c>
      <c r="D391" s="71">
        <f>G323</f>
        <v>128061.15000000002</v>
      </c>
      <c r="E391" s="71">
        <v>52500</v>
      </c>
      <c r="F391" s="71">
        <v>0</v>
      </c>
      <c r="G391" s="71">
        <f t="shared" si="27"/>
        <v>180561.15000000002</v>
      </c>
      <c r="H391" s="65"/>
      <c r="I391" s="72">
        <f>M323</f>
        <v>-99706.710000000021</v>
      </c>
      <c r="J391" s="72"/>
      <c r="K391" s="71">
        <v>-414604.39205240807</v>
      </c>
      <c r="L391" s="71">
        <v>0</v>
      </c>
      <c r="M391" s="71">
        <f t="shared" si="28"/>
        <v>-514311.1020524081</v>
      </c>
      <c r="N391" s="73">
        <f t="shared" si="29"/>
        <v>-333749.95205240807</v>
      </c>
    </row>
    <row r="392" spans="1:14" ht="15" hidden="1">
      <c r="A392" s="69">
        <v>8</v>
      </c>
      <c r="B392" s="69">
        <v>1915</v>
      </c>
      <c r="C392" s="74" t="s">
        <v>66</v>
      </c>
      <c r="D392" s="71" t="e">
        <f>#REF!</f>
        <v>#REF!</v>
      </c>
      <c r="E392" s="71">
        <v>0</v>
      </c>
      <c r="F392" s="71">
        <v>0</v>
      </c>
      <c r="G392" s="71" t="e">
        <f t="shared" si="27"/>
        <v>#REF!</v>
      </c>
      <c r="H392" s="65"/>
      <c r="I392" s="72" t="e">
        <f>#REF!</f>
        <v>#REF!</v>
      </c>
      <c r="J392" s="72"/>
      <c r="K392" s="71">
        <v>0</v>
      </c>
      <c r="L392" s="71">
        <v>0</v>
      </c>
      <c r="M392" s="71" t="e">
        <f t="shared" si="28"/>
        <v>#REF!</v>
      </c>
      <c r="N392" s="73" t="e">
        <f t="shared" si="29"/>
        <v>#REF!</v>
      </c>
    </row>
    <row r="393" spans="1:14" ht="15" hidden="1">
      <c r="A393" s="69">
        <v>10</v>
      </c>
      <c r="B393" s="69">
        <v>1920</v>
      </c>
      <c r="C393" s="74" t="s">
        <v>36</v>
      </c>
      <c r="D393" s="71">
        <f>G324</f>
        <v>0.4900000001071021</v>
      </c>
      <c r="E393" s="71">
        <v>0</v>
      </c>
      <c r="F393" s="71">
        <v>0</v>
      </c>
      <c r="G393" s="71">
        <f t="shared" si="27"/>
        <v>0.4900000001071021</v>
      </c>
      <c r="H393" s="65"/>
      <c r="I393" s="72">
        <f>M324</f>
        <v>-0.48999999999068677</v>
      </c>
      <c r="J393" s="72"/>
      <c r="K393" s="71">
        <v>0</v>
      </c>
      <c r="L393" s="71">
        <v>0</v>
      </c>
      <c r="M393" s="71">
        <f t="shared" si="28"/>
        <v>-0.48999999999068677</v>
      </c>
      <c r="N393" s="73">
        <f t="shared" si="29"/>
        <v>1.1641532182693481E-10</v>
      </c>
    </row>
    <row r="394" spans="1:14" ht="15" hidden="1">
      <c r="A394" s="69">
        <v>45</v>
      </c>
      <c r="B394" s="75">
        <v>1920</v>
      </c>
      <c r="C394" s="70" t="s">
        <v>37</v>
      </c>
      <c r="D394" s="71">
        <f>G325</f>
        <v>-0.14999999999417923</v>
      </c>
      <c r="E394" s="71">
        <v>0</v>
      </c>
      <c r="F394" s="71">
        <v>0</v>
      </c>
      <c r="G394" s="71">
        <f t="shared" si="27"/>
        <v>-0.14999999999417923</v>
      </c>
      <c r="H394" s="65"/>
      <c r="I394" s="72">
        <f>M325</f>
        <v>0.14999999999417923</v>
      </c>
      <c r="J394" s="72"/>
      <c r="K394" s="71">
        <v>-17219.725444444444</v>
      </c>
      <c r="L394" s="71">
        <v>0</v>
      </c>
      <c r="M394" s="71">
        <f t="shared" si="28"/>
        <v>-17219.57544444445</v>
      </c>
      <c r="N394" s="73">
        <f t="shared" si="29"/>
        <v>-17219.725444444444</v>
      </c>
    </row>
    <row r="395" spans="1:14" ht="15" hidden="1">
      <c r="A395" s="69">
        <v>45.1</v>
      </c>
      <c r="B395" s="75">
        <v>1920</v>
      </c>
      <c r="C395" s="70" t="s">
        <v>38</v>
      </c>
      <c r="D395" s="71">
        <f>G326</f>
        <v>517818.82000000007</v>
      </c>
      <c r="E395" s="71">
        <v>90000</v>
      </c>
      <c r="F395" s="71">
        <v>0</v>
      </c>
      <c r="G395" s="71">
        <f t="shared" si="27"/>
        <v>607818.82000000007</v>
      </c>
      <c r="H395" s="65"/>
      <c r="I395" s="72">
        <f>M326</f>
        <v>-286140.85742857144</v>
      </c>
      <c r="J395" s="72"/>
      <c r="K395" s="71">
        <v>-20977.06604761905</v>
      </c>
      <c r="L395" s="71">
        <v>0</v>
      </c>
      <c r="M395" s="71">
        <f t="shared" si="28"/>
        <v>-307117.92347619048</v>
      </c>
      <c r="N395" s="73">
        <f t="shared" si="29"/>
        <v>300700.89652380958</v>
      </c>
    </row>
    <row r="396" spans="1:14" ht="15" hidden="1">
      <c r="A396" s="69">
        <v>10</v>
      </c>
      <c r="B396" s="69">
        <v>1930</v>
      </c>
      <c r="C396" s="74" t="s">
        <v>39</v>
      </c>
      <c r="D396" s="71">
        <f>G327</f>
        <v>3083105</v>
      </c>
      <c r="E396" s="71">
        <v>0</v>
      </c>
      <c r="F396" s="71">
        <v>0</v>
      </c>
      <c r="G396" s="71">
        <f t="shared" si="27"/>
        <v>3083105</v>
      </c>
      <c r="H396" s="65"/>
      <c r="I396" s="72">
        <f>M327</f>
        <v>-2235628</v>
      </c>
      <c r="J396" s="72"/>
      <c r="K396" s="71">
        <v>0</v>
      </c>
      <c r="L396" s="71">
        <v>0</v>
      </c>
      <c r="M396" s="71">
        <f t="shared" si="28"/>
        <v>-2235628</v>
      </c>
      <c r="N396" s="73">
        <f t="shared" si="29"/>
        <v>847477</v>
      </c>
    </row>
    <row r="397" spans="1:14" ht="15" hidden="1">
      <c r="A397" s="69">
        <v>10</v>
      </c>
      <c r="B397" s="69">
        <v>1930</v>
      </c>
      <c r="C397" s="74" t="s">
        <v>39</v>
      </c>
      <c r="D397" s="71" t="e">
        <f>#REF!</f>
        <v>#REF!</v>
      </c>
      <c r="E397" s="71">
        <v>0</v>
      </c>
      <c r="F397" s="71">
        <v>0</v>
      </c>
      <c r="G397" s="71" t="e">
        <f t="shared" si="27"/>
        <v>#REF!</v>
      </c>
      <c r="H397" s="65"/>
      <c r="I397" s="72" t="e">
        <f>#REF!</f>
        <v>#REF!</v>
      </c>
      <c r="J397" s="72"/>
      <c r="K397" s="71">
        <v>-5513.4899999999989</v>
      </c>
      <c r="L397" s="71">
        <v>0</v>
      </c>
      <c r="M397" s="71" t="e">
        <f t="shared" si="28"/>
        <v>#REF!</v>
      </c>
      <c r="N397" s="73" t="e">
        <f t="shared" si="29"/>
        <v>#REF!</v>
      </c>
    </row>
    <row r="398" spans="1:14" ht="15" hidden="1">
      <c r="A398" s="69">
        <v>8</v>
      </c>
      <c r="B398" s="69">
        <v>1935</v>
      </c>
      <c r="C398" s="74" t="s">
        <v>40</v>
      </c>
      <c r="D398" s="71">
        <f>G328</f>
        <v>36199.29</v>
      </c>
      <c r="E398" s="71">
        <v>0</v>
      </c>
      <c r="F398" s="71">
        <v>0</v>
      </c>
      <c r="G398" s="71">
        <f t="shared" si="27"/>
        <v>36199.29</v>
      </c>
      <c r="H398" s="65"/>
      <c r="I398" s="72">
        <f>M328</f>
        <v>-36199.29</v>
      </c>
      <c r="J398" s="72"/>
      <c r="K398" s="71">
        <v>0</v>
      </c>
      <c r="L398" s="71">
        <v>0</v>
      </c>
      <c r="M398" s="71">
        <f t="shared" si="28"/>
        <v>-36199.29</v>
      </c>
      <c r="N398" s="73">
        <f t="shared" si="29"/>
        <v>0</v>
      </c>
    </row>
    <row r="399" spans="1:14" ht="15" hidden="1">
      <c r="A399" s="69">
        <v>8</v>
      </c>
      <c r="B399" s="69">
        <v>1940</v>
      </c>
      <c r="C399" s="74" t="s">
        <v>41</v>
      </c>
      <c r="D399" s="71">
        <f>G329</f>
        <v>507540.82000000007</v>
      </c>
      <c r="E399" s="71">
        <v>0</v>
      </c>
      <c r="F399" s="71">
        <v>0</v>
      </c>
      <c r="G399" s="71">
        <f t="shared" si="27"/>
        <v>507540.82000000007</v>
      </c>
      <c r="H399" s="65"/>
      <c r="I399" s="72">
        <f>M329</f>
        <v>-374994.1100000001</v>
      </c>
      <c r="J399" s="72"/>
      <c r="K399" s="71">
        <v>0</v>
      </c>
      <c r="L399" s="71">
        <v>0</v>
      </c>
      <c r="M399" s="71">
        <f t="shared" si="28"/>
        <v>-374994.1100000001</v>
      </c>
      <c r="N399" s="73">
        <f t="shared" si="29"/>
        <v>132546.70999999996</v>
      </c>
    </row>
    <row r="400" spans="1:14" ht="15" hidden="1">
      <c r="A400" s="69">
        <v>8</v>
      </c>
      <c r="B400" s="69">
        <v>1945</v>
      </c>
      <c r="C400" s="74" t="s">
        <v>42</v>
      </c>
      <c r="D400" s="71">
        <f>G330</f>
        <v>39170</v>
      </c>
      <c r="E400" s="71">
        <v>0</v>
      </c>
      <c r="F400" s="71">
        <v>0</v>
      </c>
      <c r="G400" s="71">
        <f t="shared" si="27"/>
        <v>39170</v>
      </c>
      <c r="H400" s="65"/>
      <c r="I400" s="72">
        <f>M330</f>
        <v>-32731.16</v>
      </c>
      <c r="J400" s="72"/>
      <c r="K400" s="71">
        <v>0</v>
      </c>
      <c r="L400" s="71">
        <v>0</v>
      </c>
      <c r="M400" s="71">
        <f t="shared" si="28"/>
        <v>-32731.16</v>
      </c>
      <c r="N400" s="73">
        <f t="shared" si="29"/>
        <v>6438.84</v>
      </c>
    </row>
    <row r="401" spans="1:14" ht="15" hidden="1">
      <c r="A401" s="69">
        <v>8</v>
      </c>
      <c r="B401" s="69">
        <v>1950</v>
      </c>
      <c r="C401" s="74" t="s">
        <v>67</v>
      </c>
      <c r="D401" s="71" t="e">
        <f>#REF!</f>
        <v>#REF!</v>
      </c>
      <c r="E401" s="71">
        <v>30000</v>
      </c>
      <c r="F401" s="71">
        <v>0</v>
      </c>
      <c r="G401" s="71" t="e">
        <f t="shared" si="27"/>
        <v>#REF!</v>
      </c>
      <c r="H401" s="65"/>
      <c r="I401" s="72" t="e">
        <f>#REF!</f>
        <v>#REF!</v>
      </c>
      <c r="J401" s="72"/>
      <c r="K401" s="71">
        <v>-81130.748428571416</v>
      </c>
      <c r="L401" s="71">
        <v>0</v>
      </c>
      <c r="M401" s="71" t="e">
        <f t="shared" si="28"/>
        <v>#REF!</v>
      </c>
      <c r="N401" s="73" t="e">
        <f t="shared" si="29"/>
        <v>#REF!</v>
      </c>
    </row>
    <row r="402" spans="1:14" ht="15" hidden="1">
      <c r="A402" s="69">
        <v>8</v>
      </c>
      <c r="B402" s="69">
        <v>1955</v>
      </c>
      <c r="C402" s="74" t="s">
        <v>43</v>
      </c>
      <c r="D402" s="71">
        <f>G331</f>
        <v>45860</v>
      </c>
      <c r="E402" s="71">
        <v>105000</v>
      </c>
      <c r="F402" s="71">
        <v>0</v>
      </c>
      <c r="G402" s="71">
        <f t="shared" si="27"/>
        <v>150860</v>
      </c>
      <c r="H402" s="65"/>
      <c r="I402" s="72">
        <f>M331</f>
        <v>-45788.3</v>
      </c>
      <c r="J402" s="72"/>
      <c r="K402" s="71">
        <v>-110183.34263377193</v>
      </c>
      <c r="L402" s="71">
        <v>0</v>
      </c>
      <c r="M402" s="71">
        <f t="shared" si="28"/>
        <v>-155971.64263377193</v>
      </c>
      <c r="N402" s="73">
        <f t="shared" si="29"/>
        <v>-5111.6426337719313</v>
      </c>
    </row>
    <row r="403" spans="1:14" ht="15" hidden="1">
      <c r="A403" s="75">
        <v>8</v>
      </c>
      <c r="B403" s="75">
        <v>1955</v>
      </c>
      <c r="C403" s="70" t="s">
        <v>68</v>
      </c>
      <c r="D403" s="71" t="e">
        <f>#REF!</f>
        <v>#REF!</v>
      </c>
      <c r="E403" s="71">
        <v>30000</v>
      </c>
      <c r="F403" s="71">
        <v>0</v>
      </c>
      <c r="G403" s="71" t="e">
        <f t="shared" si="27"/>
        <v>#REF!</v>
      </c>
      <c r="H403" s="65"/>
      <c r="I403" s="72" t="e">
        <f>#REF!</f>
        <v>#REF!</v>
      </c>
      <c r="J403" s="72"/>
      <c r="K403" s="71">
        <v>-14029.555403508772</v>
      </c>
      <c r="L403" s="71">
        <v>0</v>
      </c>
      <c r="M403" s="71" t="e">
        <f t="shared" si="28"/>
        <v>#REF!</v>
      </c>
      <c r="N403" s="73" t="e">
        <f t="shared" si="29"/>
        <v>#REF!</v>
      </c>
    </row>
    <row r="404" spans="1:14" ht="15" hidden="1">
      <c r="A404" s="75">
        <v>8</v>
      </c>
      <c r="B404" s="75">
        <v>1960</v>
      </c>
      <c r="C404" s="70" t="s">
        <v>44</v>
      </c>
      <c r="D404" s="71">
        <f>G332</f>
        <v>7842</v>
      </c>
      <c r="E404" s="71">
        <v>0</v>
      </c>
      <c r="F404" s="71">
        <v>0</v>
      </c>
      <c r="G404" s="71">
        <f t="shared" si="27"/>
        <v>7842</v>
      </c>
      <c r="H404" s="65"/>
      <c r="I404" s="72">
        <f>M332</f>
        <v>-5489.2199999999993</v>
      </c>
      <c r="J404" s="72"/>
      <c r="K404" s="71">
        <v>0</v>
      </c>
      <c r="L404" s="71">
        <v>0</v>
      </c>
      <c r="M404" s="71">
        <f t="shared" si="28"/>
        <v>-5489.2199999999993</v>
      </c>
      <c r="N404" s="73">
        <f t="shared" si="29"/>
        <v>2352.7800000000007</v>
      </c>
    </row>
    <row r="405" spans="1:14" ht="15" hidden="1">
      <c r="A405" s="52">
        <v>47</v>
      </c>
      <c r="B405" s="75">
        <v>1970</v>
      </c>
      <c r="C405" s="74" t="s">
        <v>45</v>
      </c>
      <c r="D405" s="71">
        <f>G333</f>
        <v>245119</v>
      </c>
      <c r="E405" s="71">
        <v>30000</v>
      </c>
      <c r="F405" s="71">
        <v>0</v>
      </c>
      <c r="G405" s="71">
        <f t="shared" si="27"/>
        <v>275119</v>
      </c>
      <c r="H405" s="65"/>
      <c r="I405" s="72">
        <f>M333</f>
        <v>-226068.14</v>
      </c>
      <c r="J405" s="72"/>
      <c r="K405" s="71">
        <v>-28838.714235294119</v>
      </c>
      <c r="L405" s="71">
        <v>0</v>
      </c>
      <c r="M405" s="71">
        <f t="shared" si="28"/>
        <v>-254906.85423529413</v>
      </c>
      <c r="N405" s="73">
        <f t="shared" si="29"/>
        <v>20212.145764705871</v>
      </c>
    </row>
    <row r="406" spans="1:14" ht="15" hidden="1">
      <c r="A406" s="69">
        <v>47</v>
      </c>
      <c r="B406" s="69">
        <v>1975</v>
      </c>
      <c r="C406" s="74" t="s">
        <v>69</v>
      </c>
      <c r="D406" s="71" t="e">
        <f>#REF!</f>
        <v>#REF!</v>
      </c>
      <c r="E406" s="71">
        <v>0</v>
      </c>
      <c r="F406" s="71">
        <v>0</v>
      </c>
      <c r="G406" s="71" t="e">
        <f t="shared" si="27"/>
        <v>#REF!</v>
      </c>
      <c r="H406" s="65"/>
      <c r="I406" s="72" t="e">
        <f>#REF!</f>
        <v>#REF!</v>
      </c>
      <c r="J406" s="72"/>
      <c r="K406" s="71">
        <v>-3219.6549999999997</v>
      </c>
      <c r="L406" s="71">
        <v>0</v>
      </c>
      <c r="M406" s="71" t="e">
        <f t="shared" si="28"/>
        <v>#REF!</v>
      </c>
      <c r="N406" s="73" t="e">
        <f t="shared" si="29"/>
        <v>#REF!</v>
      </c>
    </row>
    <row r="407" spans="1:14" ht="15" hidden="1">
      <c r="A407" s="69">
        <v>47</v>
      </c>
      <c r="B407" s="69">
        <v>1980</v>
      </c>
      <c r="C407" s="74" t="s">
        <v>46</v>
      </c>
      <c r="D407" s="71">
        <f>G334</f>
        <v>427351</v>
      </c>
      <c r="E407" s="71">
        <v>0</v>
      </c>
      <c r="F407" s="71">
        <v>0</v>
      </c>
      <c r="G407" s="71">
        <f t="shared" si="27"/>
        <v>427351</v>
      </c>
      <c r="H407" s="65"/>
      <c r="I407" s="72">
        <f>M334</f>
        <v>-274400.71000000002</v>
      </c>
      <c r="J407" s="72"/>
      <c r="K407" s="71">
        <v>0</v>
      </c>
      <c r="L407" s="71">
        <v>0</v>
      </c>
      <c r="M407" s="71">
        <f t="shared" si="28"/>
        <v>-274400.71000000002</v>
      </c>
      <c r="N407" s="73">
        <f t="shared" si="29"/>
        <v>152950.28999999998</v>
      </c>
    </row>
    <row r="408" spans="1:14" ht="15" hidden="1">
      <c r="A408" s="69">
        <v>47</v>
      </c>
      <c r="B408" s="69">
        <v>1985</v>
      </c>
      <c r="C408" s="74" t="s">
        <v>70</v>
      </c>
      <c r="D408" s="71" t="e">
        <f>#REF!</f>
        <v>#REF!</v>
      </c>
      <c r="E408" s="71">
        <v>0</v>
      </c>
      <c r="F408" s="71">
        <v>0</v>
      </c>
      <c r="G408" s="71" t="e">
        <f t="shared" si="27"/>
        <v>#REF!</v>
      </c>
      <c r="H408" s="65"/>
      <c r="I408" s="72" t="e">
        <f>#REF!</f>
        <v>#REF!</v>
      </c>
      <c r="J408" s="72"/>
      <c r="K408" s="71">
        <v>-36.199999999999989</v>
      </c>
      <c r="L408" s="71">
        <v>0</v>
      </c>
      <c r="M408" s="71" t="e">
        <f t="shared" si="28"/>
        <v>#REF!</v>
      </c>
      <c r="N408" s="73" t="e">
        <f t="shared" si="29"/>
        <v>#REF!</v>
      </c>
    </row>
    <row r="409" spans="1:14" ht="15" hidden="1">
      <c r="A409" s="52">
        <v>47</v>
      </c>
      <c r="B409" s="69">
        <v>1990</v>
      </c>
      <c r="C409" s="76" t="s">
        <v>71</v>
      </c>
      <c r="D409" s="71" t="e">
        <f>#REF!</f>
        <v>#REF!</v>
      </c>
      <c r="E409" s="71">
        <v>0</v>
      </c>
      <c r="F409" s="71">
        <v>0</v>
      </c>
      <c r="G409" s="71" t="e">
        <f t="shared" si="27"/>
        <v>#REF!</v>
      </c>
      <c r="H409" s="65"/>
      <c r="I409" s="72" t="e">
        <f>#REF!</f>
        <v>#REF!</v>
      </c>
      <c r="J409" s="72"/>
      <c r="K409" s="71">
        <v>0</v>
      </c>
      <c r="L409" s="71">
        <v>0</v>
      </c>
      <c r="M409" s="71" t="e">
        <f t="shared" si="28"/>
        <v>#REF!</v>
      </c>
      <c r="N409" s="73" t="e">
        <f t="shared" si="29"/>
        <v>#REF!</v>
      </c>
    </row>
    <row r="410" spans="1:14" ht="15" hidden="1">
      <c r="A410" s="69">
        <v>47</v>
      </c>
      <c r="B410" s="69">
        <v>1995</v>
      </c>
      <c r="C410" s="74" t="s">
        <v>47</v>
      </c>
      <c r="D410" s="71">
        <f t="shared" ref="D410:D411" si="30">G335</f>
        <v>-5046472.6700000009</v>
      </c>
      <c r="E410" s="71">
        <v>0</v>
      </c>
      <c r="F410" s="71">
        <v>0</v>
      </c>
      <c r="G410" s="71">
        <f t="shared" si="27"/>
        <v>-5046472.6700000009</v>
      </c>
      <c r="H410" s="65"/>
      <c r="I410" s="72">
        <f t="shared" ref="I410:I411" si="31">M335</f>
        <v>1498016.7</v>
      </c>
      <c r="J410" s="72"/>
      <c r="K410" s="71">
        <v>-784.23999999999978</v>
      </c>
      <c r="L410" s="71">
        <v>0</v>
      </c>
      <c r="M410" s="71">
        <f t="shared" si="28"/>
        <v>1497232.46</v>
      </c>
      <c r="N410" s="73">
        <f t="shared" si="29"/>
        <v>-3549240.2100000009</v>
      </c>
    </row>
    <row r="411" spans="1:14" ht="15" hidden="1">
      <c r="A411" s="77"/>
      <c r="B411" s="77">
        <v>2075</v>
      </c>
      <c r="C411" s="78" t="s">
        <v>48</v>
      </c>
      <c r="D411" s="71">
        <f t="shared" si="30"/>
        <v>294688</v>
      </c>
      <c r="E411" s="71">
        <v>0</v>
      </c>
      <c r="F411" s="71">
        <v>0</v>
      </c>
      <c r="G411" s="71">
        <f t="shared" si="27"/>
        <v>294688</v>
      </c>
      <c r="H411" s="54"/>
      <c r="I411" s="72">
        <f t="shared" si="31"/>
        <v>-51827</v>
      </c>
      <c r="J411" s="72"/>
      <c r="K411" s="71">
        <v>-14808.0825</v>
      </c>
      <c r="L411" s="71">
        <v>0</v>
      </c>
      <c r="M411" s="71">
        <f t="shared" si="28"/>
        <v>-66635.082500000004</v>
      </c>
      <c r="N411" s="73">
        <f t="shared" si="29"/>
        <v>228052.91749999998</v>
      </c>
    </row>
    <row r="412" spans="1:14" ht="15" hidden="1">
      <c r="A412" s="77"/>
      <c r="B412" s="77"/>
      <c r="C412" s="78"/>
      <c r="D412" s="71" t="e">
        <f>#REF!</f>
        <v>#REF!</v>
      </c>
      <c r="E412" s="71">
        <v>0</v>
      </c>
      <c r="F412" s="71">
        <v>0</v>
      </c>
      <c r="G412" s="71" t="e">
        <f t="shared" si="27"/>
        <v>#REF!</v>
      </c>
      <c r="H412" s="54"/>
      <c r="I412" s="72" t="e">
        <f>#REF!</f>
        <v>#REF!</v>
      </c>
      <c r="J412" s="72"/>
      <c r="K412" s="71">
        <v>0</v>
      </c>
      <c r="L412" s="71">
        <v>0</v>
      </c>
      <c r="M412" s="71" t="e">
        <f t="shared" si="28"/>
        <v>#REF!</v>
      </c>
      <c r="N412" s="73" t="e">
        <f t="shared" si="29"/>
        <v>#REF!</v>
      </c>
    </row>
    <row r="413" spans="1:14" hidden="1">
      <c r="A413" s="77"/>
      <c r="B413" s="77"/>
      <c r="C413" s="64" t="s">
        <v>49</v>
      </c>
      <c r="D413" s="79" t="e">
        <f>SUM(D355:D412)</f>
        <v>#REF!</v>
      </c>
      <c r="E413" s="79">
        <f>SUM(E355:E412)</f>
        <v>16318339.850000001</v>
      </c>
      <c r="F413" s="79">
        <f>SUM(F355:F412)</f>
        <v>2015</v>
      </c>
      <c r="G413" s="79" t="e">
        <f>SUM(G355:G412)</f>
        <v>#REF!</v>
      </c>
      <c r="H413" s="79"/>
      <c r="I413" s="79" t="e">
        <f>SUM(I355:I412)</f>
        <v>#REF!</v>
      </c>
      <c r="J413" s="79"/>
      <c r="K413" s="79">
        <f>SUM(K355:K412)</f>
        <v>-2548160.7425193</v>
      </c>
      <c r="L413" s="79">
        <f>SUM(L355:L412)</f>
        <v>0</v>
      </c>
      <c r="M413" s="79" t="e">
        <f>SUM(M355:M412)</f>
        <v>#REF!</v>
      </c>
      <c r="N413" s="79" t="e">
        <f>SUM(N355:N412)</f>
        <v>#REF!</v>
      </c>
    </row>
    <row r="414" spans="1:14" ht="25.5" hidden="1">
      <c r="A414" s="77"/>
      <c r="B414" s="77"/>
      <c r="C414" s="80" t="s">
        <v>50</v>
      </c>
      <c r="D414" s="78"/>
      <c r="E414" s="78"/>
      <c r="F414" s="78"/>
      <c r="G414" s="71">
        <f>D414+E414+F414</f>
        <v>0</v>
      </c>
      <c r="H414" s="54"/>
      <c r="I414" s="78"/>
      <c r="J414" s="78"/>
      <c r="K414" s="78"/>
      <c r="L414" s="78"/>
      <c r="M414" s="71">
        <f>I414+K414+L414</f>
        <v>0</v>
      </c>
      <c r="N414" s="73">
        <f>G414+M414</f>
        <v>0</v>
      </c>
    </row>
    <row r="415" spans="1:14" ht="24.75" hidden="1">
      <c r="A415" s="77"/>
      <c r="B415" s="77"/>
      <c r="C415" s="81" t="s">
        <v>51</v>
      </c>
      <c r="D415" s="78"/>
      <c r="E415" s="78"/>
      <c r="F415" s="78"/>
      <c r="G415" s="71">
        <f>D415+E415+F415</f>
        <v>0</v>
      </c>
      <c r="H415" s="54"/>
      <c r="I415" s="78"/>
      <c r="J415" s="78"/>
      <c r="K415" s="78"/>
      <c r="L415" s="78"/>
      <c r="M415" s="71">
        <f>I415+K415+L415</f>
        <v>0</v>
      </c>
      <c r="N415" s="73">
        <f>G415+M415</f>
        <v>0</v>
      </c>
    </row>
    <row r="416" spans="1:14" hidden="1">
      <c r="A416" s="77"/>
      <c r="B416" s="77"/>
      <c r="C416" s="64" t="s">
        <v>52</v>
      </c>
      <c r="D416" s="79" t="e">
        <f>SUM(D413:D415)</f>
        <v>#REF!</v>
      </c>
      <c r="E416" s="79">
        <f>SUM(E413:E415)</f>
        <v>16318339.850000001</v>
      </c>
      <c r="F416" s="79">
        <f>SUM(F413:F415)</f>
        <v>2015</v>
      </c>
      <c r="G416" s="79" t="e">
        <f>SUM(G413:G415)</f>
        <v>#REF!</v>
      </c>
      <c r="H416" s="79"/>
      <c r="I416" s="79" t="e">
        <f>SUM(I413:I415)</f>
        <v>#REF!</v>
      </c>
      <c r="J416" s="79"/>
      <c r="K416" s="79">
        <f>SUM(K413:K415)</f>
        <v>-2548160.7425193</v>
      </c>
      <c r="L416" s="79">
        <f>SUM(L413:L415)</f>
        <v>0</v>
      </c>
      <c r="M416" s="79" t="e">
        <f>SUM(M413:M415)</f>
        <v>#REF!</v>
      </c>
      <c r="N416" s="79" t="e">
        <f>SUM(N413:N415)</f>
        <v>#REF!</v>
      </c>
    </row>
    <row r="417" spans="1:14" hidden="1">
      <c r="A417" s="52"/>
      <c r="B417" s="52"/>
      <c r="C417" s="53"/>
      <c r="D417" s="53"/>
      <c r="E417" s="53"/>
      <c r="F417" s="53"/>
      <c r="G417" s="53"/>
      <c r="H417" s="54"/>
      <c r="I417" s="53"/>
      <c r="J417" s="53"/>
      <c r="K417" s="53"/>
      <c r="L417" s="53"/>
      <c r="M417" s="53"/>
      <c r="N417" s="53"/>
    </row>
    <row r="418" spans="1:14" hidden="1">
      <c r="A418" s="52"/>
      <c r="B418" s="52"/>
      <c r="C418" s="53"/>
      <c r="D418" s="53"/>
      <c r="E418" s="53"/>
      <c r="F418" s="53"/>
      <c r="G418" s="53"/>
      <c r="H418" s="54"/>
      <c r="I418" s="82" t="s">
        <v>53</v>
      </c>
      <c r="J418" s="82"/>
      <c r="K418" s="83"/>
      <c r="L418" s="53"/>
      <c r="M418" s="53"/>
      <c r="N418" s="53"/>
    </row>
    <row r="419" spans="1:14" ht="15" hidden="1">
      <c r="A419" s="77">
        <v>10</v>
      </c>
      <c r="B419" s="77"/>
      <c r="C419" s="78" t="s">
        <v>54</v>
      </c>
      <c r="D419" s="53"/>
      <c r="E419" s="53"/>
      <c r="F419" s="53"/>
      <c r="G419" s="53"/>
      <c r="H419" s="54"/>
      <c r="I419" s="83" t="s">
        <v>54</v>
      </c>
      <c r="J419" s="83"/>
      <c r="K419" s="83"/>
      <c r="L419" s="84"/>
      <c r="M419" s="53"/>
      <c r="N419" s="53"/>
    </row>
    <row r="420" spans="1:14" ht="15" hidden="1">
      <c r="A420" s="77">
        <v>8</v>
      </c>
      <c r="B420" s="77"/>
      <c r="C420" s="78" t="s">
        <v>40</v>
      </c>
      <c r="D420" s="53"/>
      <c r="E420" s="53"/>
      <c r="F420" s="53"/>
      <c r="G420" s="53"/>
      <c r="H420" s="54"/>
      <c r="I420" s="83" t="s">
        <v>40</v>
      </c>
      <c r="J420" s="83"/>
      <c r="K420" s="83"/>
      <c r="L420" s="85"/>
      <c r="M420" s="53"/>
      <c r="N420" s="53"/>
    </row>
    <row r="421" spans="1:14" ht="15" hidden="1">
      <c r="A421" s="52"/>
      <c r="B421" s="52"/>
      <c r="C421" s="53"/>
      <c r="D421" s="53"/>
      <c r="E421" s="53"/>
      <c r="F421" s="53"/>
      <c r="G421" s="53"/>
      <c r="H421" s="54"/>
      <c r="I421" s="86" t="s">
        <v>55</v>
      </c>
      <c r="J421" s="86"/>
      <c r="K421" s="53"/>
      <c r="L421" s="87">
        <f>K416-L419-L420</f>
        <v>-2548160.7425193</v>
      </c>
      <c r="M421" s="53"/>
      <c r="N421" s="53"/>
    </row>
    <row r="422" spans="1:14" ht="15" hidden="1">
      <c r="A422" s="52"/>
      <c r="B422" s="52"/>
      <c r="C422" s="53"/>
      <c r="D422" s="53"/>
      <c r="E422" s="53"/>
      <c r="F422" s="53"/>
      <c r="G422" s="53"/>
      <c r="H422" s="54"/>
      <c r="I422" s="86"/>
      <c r="J422" s="86"/>
      <c r="K422" s="53"/>
      <c r="L422" s="91"/>
      <c r="M422" s="53"/>
      <c r="N422" s="53"/>
    </row>
    <row r="423" spans="1:14" hidden="1">
      <c r="A423" s="52"/>
      <c r="B423" s="52"/>
      <c r="C423" s="53"/>
      <c r="D423" s="53"/>
      <c r="E423" s="53"/>
      <c r="F423" s="53"/>
      <c r="G423" s="53"/>
      <c r="H423" s="54"/>
      <c r="I423" s="53"/>
      <c r="J423" s="53"/>
      <c r="K423" s="53"/>
      <c r="L423" s="53"/>
      <c r="M423" s="92" t="s">
        <v>0</v>
      </c>
      <c r="N423" s="93" t="str">
        <f>EBNUMBER</f>
        <v>EB 2014 0073</v>
      </c>
    </row>
    <row r="424" spans="1:14" hidden="1">
      <c r="A424" s="52"/>
      <c r="B424" s="52"/>
      <c r="C424" s="53"/>
      <c r="D424" s="53"/>
      <c r="E424" s="53"/>
      <c r="F424" s="53"/>
      <c r="G424" s="53"/>
      <c r="H424" s="54"/>
      <c r="I424" s="53"/>
      <c r="J424" s="53"/>
      <c r="K424" s="53"/>
      <c r="L424" s="53"/>
      <c r="M424" s="92" t="s">
        <v>1</v>
      </c>
      <c r="N424" s="94"/>
    </row>
    <row r="425" spans="1:14" hidden="1">
      <c r="A425" s="52"/>
      <c r="B425" s="52"/>
      <c r="C425" s="53"/>
      <c r="D425" s="53"/>
      <c r="E425" s="53"/>
      <c r="F425" s="53"/>
      <c r="G425" s="53"/>
      <c r="H425" s="54"/>
      <c r="I425" s="53"/>
      <c r="J425" s="53"/>
      <c r="K425" s="53"/>
      <c r="L425" s="53"/>
      <c r="M425" s="92" t="s">
        <v>2</v>
      </c>
      <c r="N425" s="94"/>
    </row>
    <row r="426" spans="1:14" hidden="1">
      <c r="A426" s="52"/>
      <c r="B426" s="52"/>
      <c r="C426" s="53"/>
      <c r="D426" s="53"/>
      <c r="E426" s="53"/>
      <c r="F426" s="53"/>
      <c r="G426" s="53"/>
      <c r="H426" s="54"/>
      <c r="I426" s="53"/>
      <c r="J426" s="53"/>
      <c r="K426" s="53"/>
      <c r="L426" s="53"/>
      <c r="M426" s="92" t="s">
        <v>3</v>
      </c>
      <c r="N426" s="94"/>
    </row>
    <row r="427" spans="1:14" hidden="1">
      <c r="A427" s="52"/>
      <c r="B427" s="52"/>
      <c r="C427" s="53"/>
      <c r="D427" s="53"/>
      <c r="E427" s="53"/>
      <c r="F427" s="53"/>
      <c r="G427" s="53"/>
      <c r="H427" s="54"/>
      <c r="I427" s="53"/>
      <c r="J427" s="53"/>
      <c r="K427" s="53"/>
      <c r="L427" s="53"/>
      <c r="M427" s="92" t="s">
        <v>78</v>
      </c>
      <c r="N427" s="95"/>
    </row>
    <row r="428" spans="1:14" hidden="1">
      <c r="A428" s="52"/>
      <c r="B428" s="52"/>
      <c r="C428" s="53"/>
      <c r="D428" s="53"/>
      <c r="E428" s="53"/>
      <c r="F428" s="53"/>
      <c r="G428" s="53"/>
      <c r="H428" s="54"/>
      <c r="I428" s="53"/>
      <c r="J428" s="53"/>
      <c r="K428" s="53"/>
      <c r="L428" s="53"/>
      <c r="M428" s="92"/>
      <c r="N428" s="95"/>
    </row>
    <row r="429" spans="1:14" hidden="1">
      <c r="A429" s="52"/>
      <c r="B429" s="52"/>
      <c r="C429" s="53"/>
      <c r="D429" s="53"/>
      <c r="E429" s="53"/>
      <c r="F429" s="53"/>
      <c r="G429" s="53"/>
      <c r="H429" s="54"/>
      <c r="I429" s="53"/>
      <c r="J429" s="53"/>
      <c r="K429" s="53"/>
      <c r="L429" s="53"/>
      <c r="M429" s="92" t="s">
        <v>5</v>
      </c>
      <c r="N429" s="95"/>
    </row>
    <row r="430" spans="1:14" hidden="1">
      <c r="A430" s="52"/>
      <c r="B430" s="52"/>
      <c r="C430" s="53"/>
      <c r="D430" s="53"/>
      <c r="E430" s="53"/>
      <c r="F430" s="53"/>
      <c r="G430" s="53"/>
      <c r="H430" s="54"/>
      <c r="I430" s="53"/>
      <c r="J430" s="53"/>
      <c r="K430" s="53"/>
      <c r="L430" s="53"/>
      <c r="M430" s="53"/>
      <c r="N430" s="53"/>
    </row>
    <row r="431" spans="1:14" ht="18" hidden="1">
      <c r="A431" s="145" t="s">
        <v>6</v>
      </c>
      <c r="B431" s="145"/>
      <c r="C431" s="145"/>
      <c r="D431" s="145"/>
      <c r="E431" s="145"/>
      <c r="F431" s="145"/>
      <c r="G431" s="145"/>
      <c r="H431" s="145"/>
      <c r="I431" s="145"/>
      <c r="J431" s="145"/>
      <c r="K431" s="145"/>
      <c r="L431" s="145"/>
      <c r="M431" s="145"/>
      <c r="N431" s="145"/>
    </row>
    <row r="432" spans="1:14" ht="18" hidden="1">
      <c r="A432" s="145" t="s">
        <v>79</v>
      </c>
      <c r="B432" s="145"/>
      <c r="C432" s="145"/>
      <c r="D432" s="145"/>
      <c r="E432" s="145"/>
      <c r="F432" s="145"/>
      <c r="G432" s="145"/>
      <c r="H432" s="145"/>
      <c r="I432" s="145"/>
      <c r="J432" s="145"/>
      <c r="K432" s="145"/>
      <c r="L432" s="145"/>
      <c r="M432" s="145"/>
      <c r="N432" s="145"/>
    </row>
    <row r="433" spans="1:14" hidden="1">
      <c r="A433" s="52"/>
      <c r="B433" s="52"/>
      <c r="C433" s="53"/>
      <c r="D433" s="53"/>
      <c r="E433" s="53"/>
      <c r="F433" s="53"/>
      <c r="G433" s="53"/>
      <c r="H433" s="54"/>
      <c r="I433" s="53"/>
      <c r="J433" s="53"/>
      <c r="K433" s="53"/>
      <c r="L433" s="53"/>
      <c r="M433" s="53"/>
      <c r="N433" s="53"/>
    </row>
    <row r="434" spans="1:14" ht="15" hidden="1">
      <c r="A434" s="52"/>
      <c r="B434" s="52"/>
      <c r="C434" s="55"/>
      <c r="D434" s="53"/>
      <c r="E434" s="56" t="s">
        <v>8</v>
      </c>
      <c r="F434" s="57">
        <v>2014</v>
      </c>
      <c r="G434" s="58"/>
      <c r="H434" s="54"/>
      <c r="I434" s="53"/>
      <c r="J434" s="53"/>
      <c r="K434" s="53"/>
      <c r="L434" s="53"/>
      <c r="M434" s="53"/>
      <c r="N434" s="53"/>
    </row>
    <row r="435" spans="1:14" hidden="1">
      <c r="A435" s="52"/>
      <c r="B435" s="52"/>
      <c r="C435" s="53"/>
      <c r="D435" s="53"/>
      <c r="E435" s="53"/>
      <c r="F435" s="53"/>
      <c r="G435" s="53"/>
      <c r="H435" s="54"/>
      <c r="I435" s="53"/>
      <c r="J435" s="53"/>
      <c r="K435" s="53"/>
      <c r="L435" s="53"/>
      <c r="M435" s="53"/>
      <c r="N435" s="53"/>
    </row>
    <row r="436" spans="1:14" hidden="1">
      <c r="A436" s="52"/>
      <c r="B436" s="52"/>
      <c r="C436" s="53"/>
      <c r="D436" s="131" t="s">
        <v>9</v>
      </c>
      <c r="E436" s="132"/>
      <c r="F436" s="132"/>
      <c r="G436" s="133"/>
      <c r="H436" s="54"/>
      <c r="I436" s="59"/>
      <c r="J436" s="126"/>
      <c r="K436" s="60" t="s">
        <v>10</v>
      </c>
      <c r="L436" s="60"/>
      <c r="M436" s="61"/>
      <c r="N436" s="54"/>
    </row>
    <row r="437" spans="1:14" ht="25.5" hidden="1">
      <c r="A437" s="62" t="s">
        <v>11</v>
      </c>
      <c r="B437" s="63" t="s">
        <v>12</v>
      </c>
      <c r="C437" s="64" t="s">
        <v>13</v>
      </c>
      <c r="D437" s="62" t="s">
        <v>14</v>
      </c>
      <c r="E437" s="63" t="s">
        <v>15</v>
      </c>
      <c r="F437" s="63" t="s">
        <v>16</v>
      </c>
      <c r="G437" s="62" t="s">
        <v>17</v>
      </c>
      <c r="H437" s="65"/>
      <c r="I437" s="66" t="s">
        <v>14</v>
      </c>
      <c r="J437" s="66"/>
      <c r="K437" s="67" t="s">
        <v>15</v>
      </c>
      <c r="L437" s="67" t="s">
        <v>16</v>
      </c>
      <c r="M437" s="68" t="s">
        <v>17</v>
      </c>
      <c r="N437" s="62" t="s">
        <v>18</v>
      </c>
    </row>
    <row r="438" spans="1:14" ht="25.5" hidden="1">
      <c r="A438" s="69">
        <v>12</v>
      </c>
      <c r="B438" s="69">
        <v>1611</v>
      </c>
      <c r="C438" s="70" t="s">
        <v>19</v>
      </c>
      <c r="D438" s="71">
        <v>0</v>
      </c>
      <c r="E438" s="71">
        <v>0</v>
      </c>
      <c r="F438" s="71">
        <v>0</v>
      </c>
      <c r="G438" s="71">
        <f>D438+E438+F438</f>
        <v>0</v>
      </c>
      <c r="H438" s="65"/>
      <c r="I438" s="71">
        <v>0</v>
      </c>
      <c r="J438" s="71"/>
      <c r="K438" s="71">
        <v>0</v>
      </c>
      <c r="L438" s="71">
        <v>0</v>
      </c>
      <c r="M438" s="71">
        <f>I438+K438+L438</f>
        <v>0</v>
      </c>
      <c r="N438" s="73">
        <f>G438+M438</f>
        <v>0</v>
      </c>
    </row>
    <row r="439" spans="1:14" ht="15" hidden="1">
      <c r="A439" s="69" t="s">
        <v>63</v>
      </c>
      <c r="B439" s="69">
        <v>1612</v>
      </c>
      <c r="C439" s="70" t="s">
        <v>64</v>
      </c>
      <c r="D439" s="71">
        <v>0</v>
      </c>
      <c r="E439" s="71">
        <v>0</v>
      </c>
      <c r="F439" s="71">
        <v>0</v>
      </c>
      <c r="G439" s="71">
        <f t="shared" ref="G439:G498" si="32">D439+E439+F439</f>
        <v>0</v>
      </c>
      <c r="H439" s="65"/>
      <c r="I439" s="71">
        <v>0</v>
      </c>
      <c r="J439" s="71"/>
      <c r="K439" s="71">
        <v>0</v>
      </c>
      <c r="L439" s="71">
        <v>0</v>
      </c>
      <c r="M439" s="71">
        <f t="shared" ref="M439:M498" si="33">I439+K439+L439</f>
        <v>0</v>
      </c>
      <c r="N439" s="73">
        <f t="shared" ref="N439:N498" si="34">G439+M439</f>
        <v>0</v>
      </c>
    </row>
    <row r="440" spans="1:14" ht="15" hidden="1">
      <c r="A440" s="69" t="s">
        <v>20</v>
      </c>
      <c r="B440" s="69">
        <v>1805</v>
      </c>
      <c r="C440" s="74" t="s">
        <v>21</v>
      </c>
      <c r="D440" s="71">
        <v>0</v>
      </c>
      <c r="E440" s="71">
        <v>0</v>
      </c>
      <c r="F440" s="71">
        <v>0</v>
      </c>
      <c r="G440" s="71">
        <f t="shared" si="32"/>
        <v>0</v>
      </c>
      <c r="H440" s="65"/>
      <c r="I440" s="71">
        <v>0</v>
      </c>
      <c r="J440" s="71"/>
      <c r="K440" s="71">
        <v>0</v>
      </c>
      <c r="L440" s="71">
        <v>0</v>
      </c>
      <c r="M440" s="71">
        <f t="shared" si="33"/>
        <v>0</v>
      </c>
      <c r="N440" s="73">
        <f t="shared" si="34"/>
        <v>0</v>
      </c>
    </row>
    <row r="441" spans="1:14" ht="15" hidden="1">
      <c r="A441" s="69">
        <v>47</v>
      </c>
      <c r="B441" s="69">
        <v>1808</v>
      </c>
      <c r="C441" s="74" t="s">
        <v>22</v>
      </c>
      <c r="D441" s="71">
        <v>0</v>
      </c>
      <c r="E441" s="71">
        <v>0</v>
      </c>
      <c r="F441" s="71">
        <v>0</v>
      </c>
      <c r="G441" s="71">
        <f t="shared" si="32"/>
        <v>0</v>
      </c>
      <c r="H441" s="65"/>
      <c r="I441" s="71">
        <v>0</v>
      </c>
      <c r="J441" s="71"/>
      <c r="K441" s="71">
        <v>0</v>
      </c>
      <c r="L441" s="71">
        <v>0</v>
      </c>
      <c r="M441" s="71">
        <f t="shared" si="33"/>
        <v>0</v>
      </c>
      <c r="N441" s="73">
        <f t="shared" si="34"/>
        <v>0</v>
      </c>
    </row>
    <row r="442" spans="1:14" ht="15" hidden="1">
      <c r="A442" s="69">
        <v>47</v>
      </c>
      <c r="B442" s="69">
        <v>1808</v>
      </c>
      <c r="C442" s="74" t="s">
        <v>22</v>
      </c>
      <c r="D442" s="71">
        <v>0</v>
      </c>
      <c r="E442" s="71">
        <v>0</v>
      </c>
      <c r="F442" s="71">
        <v>0</v>
      </c>
      <c r="G442" s="71">
        <f t="shared" si="32"/>
        <v>0</v>
      </c>
      <c r="H442" s="65"/>
      <c r="I442" s="71">
        <v>0</v>
      </c>
      <c r="J442" s="71"/>
      <c r="K442" s="71">
        <v>0</v>
      </c>
      <c r="L442" s="71">
        <v>0</v>
      </c>
      <c r="M442" s="71">
        <f t="shared" si="33"/>
        <v>0</v>
      </c>
      <c r="N442" s="73">
        <f t="shared" si="34"/>
        <v>0</v>
      </c>
    </row>
    <row r="443" spans="1:14" ht="15" hidden="1">
      <c r="A443" s="69">
        <v>13</v>
      </c>
      <c r="B443" s="69">
        <v>1810</v>
      </c>
      <c r="C443" s="74" t="s">
        <v>34</v>
      </c>
      <c r="D443" s="71">
        <v>0</v>
      </c>
      <c r="E443" s="71">
        <v>0</v>
      </c>
      <c r="F443" s="71">
        <v>0</v>
      </c>
      <c r="G443" s="71">
        <f t="shared" si="32"/>
        <v>0</v>
      </c>
      <c r="H443" s="65"/>
      <c r="I443" s="71">
        <v>0</v>
      </c>
      <c r="J443" s="71"/>
      <c r="K443" s="71">
        <v>0</v>
      </c>
      <c r="L443" s="71">
        <v>0</v>
      </c>
      <c r="M443" s="71">
        <f t="shared" si="33"/>
        <v>0</v>
      </c>
      <c r="N443" s="73">
        <f t="shared" si="34"/>
        <v>0</v>
      </c>
    </row>
    <row r="444" spans="1:14" ht="15" hidden="1">
      <c r="A444" s="69">
        <v>47</v>
      </c>
      <c r="B444" s="69">
        <v>1815</v>
      </c>
      <c r="C444" s="74" t="s">
        <v>23</v>
      </c>
      <c r="D444" s="71">
        <v>0</v>
      </c>
      <c r="E444" s="71">
        <v>0</v>
      </c>
      <c r="F444" s="71">
        <v>0</v>
      </c>
      <c r="G444" s="71">
        <f t="shared" si="32"/>
        <v>0</v>
      </c>
      <c r="H444" s="65"/>
      <c r="I444" s="71">
        <v>0</v>
      </c>
      <c r="J444" s="71"/>
      <c r="K444" s="71">
        <v>0</v>
      </c>
      <c r="L444" s="71">
        <v>0</v>
      </c>
      <c r="M444" s="71">
        <f t="shared" si="33"/>
        <v>0</v>
      </c>
      <c r="N444" s="73">
        <f t="shared" si="34"/>
        <v>0</v>
      </c>
    </row>
    <row r="445" spans="1:14" ht="15" hidden="1">
      <c r="A445" s="69">
        <v>47</v>
      </c>
      <c r="B445" s="69">
        <v>1815</v>
      </c>
      <c r="C445" s="74" t="s">
        <v>23</v>
      </c>
      <c r="D445" s="71">
        <v>0</v>
      </c>
      <c r="E445" s="71">
        <v>0</v>
      </c>
      <c r="F445" s="71">
        <v>0</v>
      </c>
      <c r="G445" s="71">
        <f t="shared" si="32"/>
        <v>0</v>
      </c>
      <c r="H445" s="65"/>
      <c r="I445" s="71">
        <v>0</v>
      </c>
      <c r="J445" s="71"/>
      <c r="K445" s="71">
        <v>0</v>
      </c>
      <c r="L445" s="71">
        <v>0</v>
      </c>
      <c r="M445" s="71">
        <f t="shared" si="33"/>
        <v>0</v>
      </c>
      <c r="N445" s="73">
        <f t="shared" si="34"/>
        <v>0</v>
      </c>
    </row>
    <row r="446" spans="1:14" ht="15" hidden="1">
      <c r="A446" s="69">
        <v>47</v>
      </c>
      <c r="B446" s="69">
        <v>1815</v>
      </c>
      <c r="C446" s="74" t="s">
        <v>23</v>
      </c>
      <c r="D446" s="71">
        <v>0</v>
      </c>
      <c r="E446" s="71">
        <v>0</v>
      </c>
      <c r="F446" s="71">
        <v>0</v>
      </c>
      <c r="G446" s="71">
        <f t="shared" si="32"/>
        <v>0</v>
      </c>
      <c r="H446" s="65"/>
      <c r="I446" s="71">
        <v>0</v>
      </c>
      <c r="J446" s="71"/>
      <c r="K446" s="71">
        <v>0</v>
      </c>
      <c r="L446" s="71">
        <v>0</v>
      </c>
      <c r="M446" s="71">
        <f t="shared" si="33"/>
        <v>0</v>
      </c>
      <c r="N446" s="73">
        <f t="shared" si="34"/>
        <v>0</v>
      </c>
    </row>
    <row r="447" spans="1:14" ht="15" hidden="1">
      <c r="A447" s="69">
        <v>47</v>
      </c>
      <c r="B447" s="69">
        <v>1820</v>
      </c>
      <c r="C447" s="70" t="s">
        <v>24</v>
      </c>
      <c r="D447" s="71">
        <v>0</v>
      </c>
      <c r="E447" s="71">
        <v>0</v>
      </c>
      <c r="F447" s="71">
        <v>0</v>
      </c>
      <c r="G447" s="71">
        <f t="shared" si="32"/>
        <v>0</v>
      </c>
      <c r="H447" s="65"/>
      <c r="I447" s="71">
        <v>0</v>
      </c>
      <c r="J447" s="71"/>
      <c r="K447" s="71">
        <v>0</v>
      </c>
      <c r="L447" s="71">
        <v>0</v>
      </c>
      <c r="M447" s="71">
        <f t="shared" si="33"/>
        <v>0</v>
      </c>
      <c r="N447" s="73">
        <f t="shared" si="34"/>
        <v>0</v>
      </c>
    </row>
    <row r="448" spans="1:14" ht="15" hidden="1">
      <c r="A448" s="69">
        <v>47</v>
      </c>
      <c r="B448" s="69">
        <v>1825</v>
      </c>
      <c r="C448" s="74" t="s">
        <v>65</v>
      </c>
      <c r="D448" s="71">
        <v>0</v>
      </c>
      <c r="E448" s="71">
        <v>0</v>
      </c>
      <c r="F448" s="71">
        <v>0</v>
      </c>
      <c r="G448" s="71">
        <f t="shared" si="32"/>
        <v>0</v>
      </c>
      <c r="H448" s="65"/>
      <c r="I448" s="71">
        <v>0</v>
      </c>
      <c r="J448" s="71"/>
      <c r="K448" s="71">
        <v>0</v>
      </c>
      <c r="L448" s="71">
        <v>0</v>
      </c>
      <c r="M448" s="71">
        <f t="shared" si="33"/>
        <v>0</v>
      </c>
      <c r="N448" s="73">
        <f t="shared" si="34"/>
        <v>0</v>
      </c>
    </row>
    <row r="449" spans="1:14" ht="15" hidden="1">
      <c r="A449" s="69">
        <v>47</v>
      </c>
      <c r="B449" s="69">
        <v>1830</v>
      </c>
      <c r="C449" s="74" t="s">
        <v>25</v>
      </c>
      <c r="D449" s="71">
        <v>0</v>
      </c>
      <c r="E449" s="71">
        <v>0</v>
      </c>
      <c r="F449" s="71">
        <v>0</v>
      </c>
      <c r="G449" s="71">
        <f t="shared" si="32"/>
        <v>0</v>
      </c>
      <c r="H449" s="65"/>
      <c r="I449" s="71">
        <v>0</v>
      </c>
      <c r="J449" s="71"/>
      <c r="K449" s="71">
        <v>0</v>
      </c>
      <c r="L449" s="71">
        <v>0</v>
      </c>
      <c r="M449" s="71">
        <f t="shared" si="33"/>
        <v>0</v>
      </c>
      <c r="N449" s="73">
        <f t="shared" si="34"/>
        <v>0</v>
      </c>
    </row>
    <row r="450" spans="1:14" ht="15" hidden="1">
      <c r="A450" s="69">
        <v>47</v>
      </c>
      <c r="B450" s="69">
        <v>1830</v>
      </c>
      <c r="C450" s="74" t="s">
        <v>25</v>
      </c>
      <c r="D450" s="71">
        <v>0</v>
      </c>
      <c r="E450" s="71">
        <v>0</v>
      </c>
      <c r="F450" s="71">
        <v>0</v>
      </c>
      <c r="G450" s="71">
        <f t="shared" si="32"/>
        <v>0</v>
      </c>
      <c r="H450" s="65"/>
      <c r="I450" s="71">
        <v>0</v>
      </c>
      <c r="J450" s="71"/>
      <c r="K450" s="71">
        <v>0</v>
      </c>
      <c r="L450" s="71">
        <v>0</v>
      </c>
      <c r="M450" s="71">
        <f t="shared" si="33"/>
        <v>0</v>
      </c>
      <c r="N450" s="73">
        <f t="shared" si="34"/>
        <v>0</v>
      </c>
    </row>
    <row r="451" spans="1:14" ht="15" hidden="1">
      <c r="A451" s="69">
        <v>47</v>
      </c>
      <c r="B451" s="69">
        <v>1830</v>
      </c>
      <c r="C451" s="74" t="s">
        <v>25</v>
      </c>
      <c r="D451" s="71">
        <v>0</v>
      </c>
      <c r="E451" s="71">
        <v>0</v>
      </c>
      <c r="F451" s="71">
        <v>0</v>
      </c>
      <c r="G451" s="71">
        <f t="shared" si="32"/>
        <v>0</v>
      </c>
      <c r="H451" s="65"/>
      <c r="I451" s="71">
        <v>0</v>
      </c>
      <c r="J451" s="71"/>
      <c r="K451" s="71">
        <v>0</v>
      </c>
      <c r="L451" s="71">
        <v>0</v>
      </c>
      <c r="M451" s="71">
        <f t="shared" si="33"/>
        <v>0</v>
      </c>
      <c r="N451" s="73">
        <f t="shared" si="34"/>
        <v>0</v>
      </c>
    </row>
    <row r="452" spans="1:14" ht="15" hidden="1">
      <c r="A452" s="69">
        <v>47</v>
      </c>
      <c r="B452" s="69">
        <v>1835</v>
      </c>
      <c r="C452" s="74" t="s">
        <v>26</v>
      </c>
      <c r="D452" s="71">
        <v>0</v>
      </c>
      <c r="E452" s="71">
        <v>0</v>
      </c>
      <c r="F452" s="71">
        <v>0</v>
      </c>
      <c r="G452" s="71">
        <f t="shared" si="32"/>
        <v>0</v>
      </c>
      <c r="H452" s="65"/>
      <c r="I452" s="71">
        <v>0</v>
      </c>
      <c r="J452" s="71"/>
      <c r="K452" s="71">
        <v>0</v>
      </c>
      <c r="L452" s="71">
        <v>0</v>
      </c>
      <c r="M452" s="71">
        <f t="shared" si="33"/>
        <v>0</v>
      </c>
      <c r="N452" s="73">
        <f t="shared" si="34"/>
        <v>0</v>
      </c>
    </row>
    <row r="453" spans="1:14" ht="15" hidden="1">
      <c r="A453" s="69">
        <v>47</v>
      </c>
      <c r="B453" s="69">
        <v>1835</v>
      </c>
      <c r="C453" s="74" t="s">
        <v>26</v>
      </c>
      <c r="D453" s="71">
        <v>0</v>
      </c>
      <c r="E453" s="71">
        <v>0</v>
      </c>
      <c r="F453" s="71">
        <v>0</v>
      </c>
      <c r="G453" s="71">
        <f t="shared" si="32"/>
        <v>0</v>
      </c>
      <c r="H453" s="65"/>
      <c r="I453" s="71">
        <v>0</v>
      </c>
      <c r="J453" s="71"/>
      <c r="K453" s="71">
        <v>0</v>
      </c>
      <c r="L453" s="71">
        <v>0</v>
      </c>
      <c r="M453" s="71">
        <f t="shared" si="33"/>
        <v>0</v>
      </c>
      <c r="N453" s="73">
        <f t="shared" si="34"/>
        <v>0</v>
      </c>
    </row>
    <row r="454" spans="1:14" ht="15" hidden="1">
      <c r="A454" s="69">
        <v>47</v>
      </c>
      <c r="B454" s="69">
        <v>1835</v>
      </c>
      <c r="C454" s="74" t="s">
        <v>26</v>
      </c>
      <c r="D454" s="71">
        <v>0</v>
      </c>
      <c r="E454" s="71">
        <v>0</v>
      </c>
      <c r="F454" s="71">
        <v>0</v>
      </c>
      <c r="G454" s="71">
        <f t="shared" si="32"/>
        <v>0</v>
      </c>
      <c r="H454" s="65"/>
      <c r="I454" s="71">
        <v>0</v>
      </c>
      <c r="J454" s="71"/>
      <c r="K454" s="71">
        <v>0</v>
      </c>
      <c r="L454" s="71">
        <v>0</v>
      </c>
      <c r="M454" s="71">
        <f t="shared" si="33"/>
        <v>0</v>
      </c>
      <c r="N454" s="73">
        <f t="shared" si="34"/>
        <v>0</v>
      </c>
    </row>
    <row r="455" spans="1:14" ht="15" hidden="1">
      <c r="A455" s="69">
        <v>47</v>
      </c>
      <c r="B455" s="69">
        <v>1835</v>
      </c>
      <c r="C455" s="74" t="s">
        <v>26</v>
      </c>
      <c r="D455" s="71">
        <v>0</v>
      </c>
      <c r="E455" s="71">
        <v>0</v>
      </c>
      <c r="F455" s="71">
        <v>0</v>
      </c>
      <c r="G455" s="71">
        <f t="shared" si="32"/>
        <v>0</v>
      </c>
      <c r="H455" s="65"/>
      <c r="I455" s="71">
        <v>0</v>
      </c>
      <c r="J455" s="71"/>
      <c r="K455" s="71">
        <v>0</v>
      </c>
      <c r="L455" s="71">
        <v>0</v>
      </c>
      <c r="M455" s="71">
        <f t="shared" si="33"/>
        <v>0</v>
      </c>
      <c r="N455" s="73">
        <f t="shared" si="34"/>
        <v>0</v>
      </c>
    </row>
    <row r="456" spans="1:14" ht="15" hidden="1">
      <c r="A456" s="69">
        <v>47</v>
      </c>
      <c r="B456" s="69">
        <v>1835</v>
      </c>
      <c r="C456" s="74" t="s">
        <v>26</v>
      </c>
      <c r="D456" s="71">
        <v>0</v>
      </c>
      <c r="E456" s="71">
        <v>0</v>
      </c>
      <c r="F456" s="71">
        <v>0</v>
      </c>
      <c r="G456" s="71">
        <f t="shared" si="32"/>
        <v>0</v>
      </c>
      <c r="H456" s="65"/>
      <c r="I456" s="71">
        <v>0</v>
      </c>
      <c r="J456" s="71"/>
      <c r="K456" s="71">
        <v>0</v>
      </c>
      <c r="L456" s="71">
        <v>0</v>
      </c>
      <c r="M456" s="71">
        <f t="shared" si="33"/>
        <v>0</v>
      </c>
      <c r="N456" s="73">
        <f t="shared" si="34"/>
        <v>0</v>
      </c>
    </row>
    <row r="457" spans="1:14" ht="15" hidden="1">
      <c r="A457" s="69">
        <v>47</v>
      </c>
      <c r="B457" s="69">
        <v>1840</v>
      </c>
      <c r="C457" s="74" t="s">
        <v>27</v>
      </c>
      <c r="D457" s="71">
        <v>0</v>
      </c>
      <c r="E457" s="71">
        <v>0</v>
      </c>
      <c r="F457" s="71">
        <v>0</v>
      </c>
      <c r="G457" s="71">
        <f t="shared" si="32"/>
        <v>0</v>
      </c>
      <c r="H457" s="65"/>
      <c r="I457" s="71">
        <v>0</v>
      </c>
      <c r="J457" s="71"/>
      <c r="K457" s="71">
        <v>0</v>
      </c>
      <c r="L457" s="71">
        <v>0</v>
      </c>
      <c r="M457" s="71">
        <f t="shared" si="33"/>
        <v>0</v>
      </c>
      <c r="N457" s="73">
        <f t="shared" si="34"/>
        <v>0</v>
      </c>
    </row>
    <row r="458" spans="1:14" ht="15" hidden="1">
      <c r="A458" s="69">
        <v>47</v>
      </c>
      <c r="B458" s="69">
        <v>1840</v>
      </c>
      <c r="C458" s="74" t="s">
        <v>27</v>
      </c>
      <c r="D458" s="71">
        <v>0</v>
      </c>
      <c r="E458" s="71">
        <v>0</v>
      </c>
      <c r="F458" s="71">
        <v>0</v>
      </c>
      <c r="G458" s="71">
        <f t="shared" si="32"/>
        <v>0</v>
      </c>
      <c r="H458" s="65"/>
      <c r="I458" s="71">
        <v>0</v>
      </c>
      <c r="J458" s="71"/>
      <c r="K458" s="71">
        <v>0</v>
      </c>
      <c r="L458" s="71">
        <v>0</v>
      </c>
      <c r="M458" s="71">
        <f t="shared" si="33"/>
        <v>0</v>
      </c>
      <c r="N458" s="73">
        <f t="shared" si="34"/>
        <v>0</v>
      </c>
    </row>
    <row r="459" spans="1:14" ht="15" hidden="1">
      <c r="A459" s="69">
        <v>47</v>
      </c>
      <c r="B459" s="69">
        <v>1845</v>
      </c>
      <c r="C459" s="74" t="s">
        <v>28</v>
      </c>
      <c r="D459" s="71">
        <v>0</v>
      </c>
      <c r="E459" s="71">
        <v>0</v>
      </c>
      <c r="F459" s="71">
        <v>0</v>
      </c>
      <c r="G459" s="71">
        <f t="shared" si="32"/>
        <v>0</v>
      </c>
      <c r="H459" s="65"/>
      <c r="I459" s="71">
        <v>0</v>
      </c>
      <c r="J459" s="71"/>
      <c r="K459" s="71">
        <v>0</v>
      </c>
      <c r="L459" s="71">
        <v>0</v>
      </c>
      <c r="M459" s="71">
        <f t="shared" si="33"/>
        <v>0</v>
      </c>
      <c r="N459" s="73">
        <f t="shared" si="34"/>
        <v>0</v>
      </c>
    </row>
    <row r="460" spans="1:14" ht="15" hidden="1">
      <c r="A460" s="69">
        <v>47</v>
      </c>
      <c r="B460" s="69">
        <v>1845</v>
      </c>
      <c r="C460" s="74" t="s">
        <v>28</v>
      </c>
      <c r="D460" s="71">
        <v>0</v>
      </c>
      <c r="E460" s="71">
        <v>0</v>
      </c>
      <c r="F460" s="71">
        <v>0</v>
      </c>
      <c r="G460" s="71">
        <f t="shared" si="32"/>
        <v>0</v>
      </c>
      <c r="H460" s="65"/>
      <c r="I460" s="71">
        <v>0</v>
      </c>
      <c r="J460" s="71"/>
      <c r="K460" s="71">
        <v>0</v>
      </c>
      <c r="L460" s="71">
        <v>0</v>
      </c>
      <c r="M460" s="71">
        <f t="shared" si="33"/>
        <v>0</v>
      </c>
      <c r="N460" s="73">
        <f t="shared" si="34"/>
        <v>0</v>
      </c>
    </row>
    <row r="461" spans="1:14" ht="15" hidden="1">
      <c r="A461" s="69">
        <v>47</v>
      </c>
      <c r="B461" s="69">
        <v>1845</v>
      </c>
      <c r="C461" s="74" t="s">
        <v>28</v>
      </c>
      <c r="D461" s="71">
        <v>0</v>
      </c>
      <c r="E461" s="71">
        <v>0</v>
      </c>
      <c r="F461" s="71">
        <v>0</v>
      </c>
      <c r="G461" s="71">
        <f t="shared" si="32"/>
        <v>0</v>
      </c>
      <c r="H461" s="65"/>
      <c r="I461" s="71">
        <v>0</v>
      </c>
      <c r="J461" s="71"/>
      <c r="K461" s="71">
        <v>0</v>
      </c>
      <c r="L461" s="71">
        <v>0</v>
      </c>
      <c r="M461" s="71">
        <f t="shared" si="33"/>
        <v>0</v>
      </c>
      <c r="N461" s="73">
        <f t="shared" si="34"/>
        <v>0</v>
      </c>
    </row>
    <row r="462" spans="1:14" ht="15" hidden="1">
      <c r="A462" s="69">
        <v>47</v>
      </c>
      <c r="B462" s="69">
        <v>1850</v>
      </c>
      <c r="C462" s="74" t="s">
        <v>80</v>
      </c>
      <c r="D462" s="71">
        <v>0</v>
      </c>
      <c r="E462" s="71">
        <v>0</v>
      </c>
      <c r="F462" s="71">
        <v>0</v>
      </c>
      <c r="G462" s="71">
        <f t="shared" si="32"/>
        <v>0</v>
      </c>
      <c r="H462" s="65"/>
      <c r="I462" s="71">
        <v>0</v>
      </c>
      <c r="J462" s="71"/>
      <c r="K462" s="71">
        <v>0</v>
      </c>
      <c r="L462" s="71">
        <v>0</v>
      </c>
      <c r="M462" s="71">
        <f t="shared" si="33"/>
        <v>0</v>
      </c>
      <c r="N462" s="73">
        <f t="shared" si="34"/>
        <v>0</v>
      </c>
    </row>
    <row r="463" spans="1:14" ht="15" hidden="1">
      <c r="A463" s="69">
        <v>47</v>
      </c>
      <c r="B463" s="69">
        <v>1850</v>
      </c>
      <c r="C463" s="74" t="s">
        <v>29</v>
      </c>
      <c r="D463" s="71">
        <v>0</v>
      </c>
      <c r="E463" s="71">
        <v>0</v>
      </c>
      <c r="F463" s="71">
        <v>0</v>
      </c>
      <c r="G463" s="71">
        <f t="shared" si="32"/>
        <v>0</v>
      </c>
      <c r="H463" s="65"/>
      <c r="I463" s="71">
        <v>0</v>
      </c>
      <c r="J463" s="71"/>
      <c r="K463" s="71">
        <v>0</v>
      </c>
      <c r="L463" s="71">
        <v>0</v>
      </c>
      <c r="M463" s="71">
        <f t="shared" si="33"/>
        <v>0</v>
      </c>
      <c r="N463" s="73">
        <f t="shared" si="34"/>
        <v>0</v>
      </c>
    </row>
    <row r="464" spans="1:14" ht="15" hidden="1">
      <c r="A464" s="69">
        <v>47</v>
      </c>
      <c r="B464" s="69">
        <v>1850</v>
      </c>
      <c r="C464" s="74" t="s">
        <v>29</v>
      </c>
      <c r="D464" s="71">
        <v>0</v>
      </c>
      <c r="E464" s="71">
        <v>0</v>
      </c>
      <c r="F464" s="71">
        <v>0</v>
      </c>
      <c r="G464" s="71">
        <f t="shared" si="32"/>
        <v>0</v>
      </c>
      <c r="H464" s="65"/>
      <c r="I464" s="71">
        <v>0</v>
      </c>
      <c r="J464" s="71"/>
      <c r="K464" s="71">
        <v>0</v>
      </c>
      <c r="L464" s="71">
        <v>0</v>
      </c>
      <c r="M464" s="71">
        <f t="shared" si="33"/>
        <v>0</v>
      </c>
      <c r="N464" s="73">
        <f t="shared" si="34"/>
        <v>0</v>
      </c>
    </row>
    <row r="465" spans="1:14" ht="15" hidden="1">
      <c r="A465" s="69">
        <v>47</v>
      </c>
      <c r="B465" s="69">
        <v>1855</v>
      </c>
      <c r="C465" s="74" t="s">
        <v>75</v>
      </c>
      <c r="D465" s="71">
        <v>0</v>
      </c>
      <c r="E465" s="71">
        <v>0</v>
      </c>
      <c r="F465" s="71">
        <v>0</v>
      </c>
      <c r="G465" s="71">
        <f t="shared" si="32"/>
        <v>0</v>
      </c>
      <c r="H465" s="65"/>
      <c r="I465" s="71">
        <v>0</v>
      </c>
      <c r="J465" s="71"/>
      <c r="K465" s="71">
        <v>0</v>
      </c>
      <c r="L465" s="71">
        <v>0</v>
      </c>
      <c r="M465" s="71">
        <f t="shared" si="33"/>
        <v>0</v>
      </c>
      <c r="N465" s="73">
        <f t="shared" si="34"/>
        <v>0</v>
      </c>
    </row>
    <row r="466" spans="1:14" ht="15" hidden="1">
      <c r="A466" s="69">
        <v>47</v>
      </c>
      <c r="B466" s="69">
        <v>1855</v>
      </c>
      <c r="C466" s="74" t="s">
        <v>75</v>
      </c>
      <c r="D466" s="71">
        <v>0</v>
      </c>
      <c r="E466" s="71">
        <v>0</v>
      </c>
      <c r="F466" s="71">
        <v>0</v>
      </c>
      <c r="G466" s="71">
        <f t="shared" si="32"/>
        <v>0</v>
      </c>
      <c r="H466" s="65"/>
      <c r="I466" s="71">
        <v>0</v>
      </c>
      <c r="J466" s="71"/>
      <c r="K466" s="71">
        <v>0</v>
      </c>
      <c r="L466" s="71">
        <v>0</v>
      </c>
      <c r="M466" s="71">
        <f t="shared" si="33"/>
        <v>0</v>
      </c>
      <c r="N466" s="73">
        <f t="shared" si="34"/>
        <v>0</v>
      </c>
    </row>
    <row r="467" spans="1:14" ht="15" hidden="1">
      <c r="A467" s="69">
        <v>47</v>
      </c>
      <c r="B467" s="69">
        <v>1860</v>
      </c>
      <c r="C467" s="74" t="s">
        <v>31</v>
      </c>
      <c r="D467" s="71">
        <v>0</v>
      </c>
      <c r="E467" s="71">
        <v>0</v>
      </c>
      <c r="F467" s="71">
        <v>0</v>
      </c>
      <c r="G467" s="71">
        <f t="shared" si="32"/>
        <v>0</v>
      </c>
      <c r="H467" s="65"/>
      <c r="I467" s="71">
        <v>0</v>
      </c>
      <c r="J467" s="71"/>
      <c r="K467" s="71">
        <v>0</v>
      </c>
      <c r="L467" s="71">
        <v>0</v>
      </c>
      <c r="M467" s="71">
        <f t="shared" si="33"/>
        <v>0</v>
      </c>
      <c r="N467" s="73">
        <f t="shared" si="34"/>
        <v>0</v>
      </c>
    </row>
    <row r="468" spans="1:14" ht="15" hidden="1">
      <c r="A468" s="69">
        <v>47</v>
      </c>
      <c r="B468" s="69">
        <v>1860</v>
      </c>
      <c r="C468" s="74" t="s">
        <v>31</v>
      </c>
      <c r="D468" s="71">
        <v>0</v>
      </c>
      <c r="E468" s="71">
        <v>0</v>
      </c>
      <c r="F468" s="71">
        <v>0</v>
      </c>
      <c r="G468" s="71">
        <f t="shared" si="32"/>
        <v>0</v>
      </c>
      <c r="H468" s="65"/>
      <c r="I468" s="71">
        <v>0</v>
      </c>
      <c r="J468" s="71"/>
      <c r="K468" s="71">
        <v>0</v>
      </c>
      <c r="L468" s="71">
        <v>0</v>
      </c>
      <c r="M468" s="71">
        <f t="shared" si="33"/>
        <v>0</v>
      </c>
      <c r="N468" s="73">
        <f t="shared" si="34"/>
        <v>0</v>
      </c>
    </row>
    <row r="469" spans="1:14" ht="15" hidden="1">
      <c r="A469" s="69">
        <v>47</v>
      </c>
      <c r="B469" s="69">
        <v>1860</v>
      </c>
      <c r="C469" s="74" t="s">
        <v>31</v>
      </c>
      <c r="D469" s="71">
        <v>0</v>
      </c>
      <c r="E469" s="71">
        <v>0</v>
      </c>
      <c r="F469" s="71">
        <v>0</v>
      </c>
      <c r="G469" s="71">
        <f t="shared" si="32"/>
        <v>0</v>
      </c>
      <c r="H469" s="65"/>
      <c r="I469" s="71">
        <v>0</v>
      </c>
      <c r="J469" s="71"/>
      <c r="K469" s="71">
        <v>0</v>
      </c>
      <c r="L469" s="71">
        <v>0</v>
      </c>
      <c r="M469" s="71">
        <f t="shared" si="33"/>
        <v>0</v>
      </c>
      <c r="N469" s="73">
        <f t="shared" si="34"/>
        <v>0</v>
      </c>
    </row>
    <row r="470" spans="1:14" ht="15" hidden="1">
      <c r="A470" s="69">
        <v>47</v>
      </c>
      <c r="B470" s="69">
        <v>1860</v>
      </c>
      <c r="C470" s="74" t="s">
        <v>31</v>
      </c>
      <c r="D470" s="71">
        <v>0</v>
      </c>
      <c r="E470" s="71">
        <v>0</v>
      </c>
      <c r="F470" s="71">
        <v>0</v>
      </c>
      <c r="G470" s="71">
        <f t="shared" si="32"/>
        <v>0</v>
      </c>
      <c r="H470" s="65"/>
      <c r="I470" s="71">
        <v>0</v>
      </c>
      <c r="J470" s="71"/>
      <c r="K470" s="71">
        <v>0</v>
      </c>
      <c r="L470" s="71">
        <v>0</v>
      </c>
      <c r="M470" s="71">
        <f t="shared" si="33"/>
        <v>0</v>
      </c>
      <c r="N470" s="73">
        <f t="shared" si="34"/>
        <v>0</v>
      </c>
    </row>
    <row r="471" spans="1:14" ht="15" hidden="1">
      <c r="A471" s="69">
        <v>47</v>
      </c>
      <c r="B471" s="69">
        <v>1860</v>
      </c>
      <c r="C471" s="74" t="s">
        <v>31</v>
      </c>
      <c r="D471" s="71">
        <v>0</v>
      </c>
      <c r="E471" s="71">
        <v>0</v>
      </c>
      <c r="F471" s="71">
        <v>0</v>
      </c>
      <c r="G471" s="71">
        <f t="shared" si="32"/>
        <v>0</v>
      </c>
      <c r="H471" s="65"/>
      <c r="I471" s="71">
        <v>0</v>
      </c>
      <c r="J471" s="71"/>
      <c r="K471" s="71">
        <v>0</v>
      </c>
      <c r="L471" s="71">
        <v>0</v>
      </c>
      <c r="M471" s="71">
        <f t="shared" si="33"/>
        <v>0</v>
      </c>
      <c r="N471" s="73">
        <f t="shared" si="34"/>
        <v>0</v>
      </c>
    </row>
    <row r="472" spans="1:14" ht="15" hidden="1">
      <c r="A472" s="69"/>
      <c r="B472" s="69">
        <v>1890</v>
      </c>
      <c r="C472" s="74" t="s">
        <v>32</v>
      </c>
      <c r="D472" s="71">
        <v>0</v>
      </c>
      <c r="E472" s="71">
        <v>0</v>
      </c>
      <c r="F472" s="71">
        <v>0</v>
      </c>
      <c r="G472" s="71">
        <f t="shared" si="32"/>
        <v>0</v>
      </c>
      <c r="H472" s="65"/>
      <c r="I472" s="71">
        <v>0</v>
      </c>
      <c r="J472" s="71"/>
      <c r="K472" s="71">
        <v>0</v>
      </c>
      <c r="L472" s="71">
        <v>0</v>
      </c>
      <c r="M472" s="71">
        <f t="shared" si="33"/>
        <v>0</v>
      </c>
      <c r="N472" s="73">
        <f t="shared" si="34"/>
        <v>0</v>
      </c>
    </row>
    <row r="473" spans="1:14" ht="15" hidden="1">
      <c r="A473" s="69"/>
      <c r="B473" s="69">
        <v>1905</v>
      </c>
      <c r="C473" s="74" t="s">
        <v>21</v>
      </c>
      <c r="D473" s="71">
        <v>0</v>
      </c>
      <c r="E473" s="71">
        <v>0</v>
      </c>
      <c r="F473" s="71">
        <v>0</v>
      </c>
      <c r="G473" s="71">
        <f t="shared" si="32"/>
        <v>0</v>
      </c>
      <c r="H473" s="65"/>
      <c r="I473" s="71">
        <v>0</v>
      </c>
      <c r="J473" s="71"/>
      <c r="K473" s="71">
        <v>0</v>
      </c>
      <c r="L473" s="71">
        <v>0</v>
      </c>
      <c r="M473" s="71">
        <f t="shared" si="33"/>
        <v>0</v>
      </c>
      <c r="N473" s="73">
        <f t="shared" si="34"/>
        <v>0</v>
      </c>
    </row>
    <row r="474" spans="1:14" ht="15" hidden="1">
      <c r="A474" s="69">
        <v>47</v>
      </c>
      <c r="B474" s="69">
        <v>1908</v>
      </c>
      <c r="C474" s="74" t="s">
        <v>33</v>
      </c>
      <c r="D474" s="71">
        <v>0</v>
      </c>
      <c r="E474" s="71">
        <v>0</v>
      </c>
      <c r="F474" s="71">
        <v>0</v>
      </c>
      <c r="G474" s="71">
        <f t="shared" si="32"/>
        <v>0</v>
      </c>
      <c r="H474" s="65"/>
      <c r="I474" s="71">
        <v>0</v>
      </c>
      <c r="J474" s="71"/>
      <c r="K474" s="71">
        <v>0</v>
      </c>
      <c r="L474" s="71">
        <v>0</v>
      </c>
      <c r="M474" s="71">
        <f t="shared" si="33"/>
        <v>0</v>
      </c>
      <c r="N474" s="73">
        <f t="shared" si="34"/>
        <v>0</v>
      </c>
    </row>
    <row r="475" spans="1:14" ht="15" hidden="1">
      <c r="A475" s="69">
        <v>47</v>
      </c>
      <c r="B475" s="69">
        <v>1908</v>
      </c>
      <c r="C475" s="74" t="s">
        <v>33</v>
      </c>
      <c r="D475" s="71">
        <v>0</v>
      </c>
      <c r="E475" s="71">
        <v>0</v>
      </c>
      <c r="F475" s="71">
        <v>0</v>
      </c>
      <c r="G475" s="71">
        <f t="shared" si="32"/>
        <v>0</v>
      </c>
      <c r="H475" s="65"/>
      <c r="I475" s="71">
        <v>0</v>
      </c>
      <c r="J475" s="71"/>
      <c r="K475" s="71">
        <v>0</v>
      </c>
      <c r="L475" s="71">
        <v>0</v>
      </c>
      <c r="M475" s="71">
        <f t="shared" si="33"/>
        <v>0</v>
      </c>
      <c r="N475" s="73">
        <f t="shared" si="34"/>
        <v>0</v>
      </c>
    </row>
    <row r="476" spans="1:14" ht="15" hidden="1">
      <c r="A476" s="69">
        <v>13</v>
      </c>
      <c r="B476" s="69">
        <v>1910</v>
      </c>
      <c r="C476" s="74" t="s">
        <v>34</v>
      </c>
      <c r="D476" s="71">
        <v>0</v>
      </c>
      <c r="E476" s="71">
        <v>0</v>
      </c>
      <c r="F476" s="71">
        <v>0</v>
      </c>
      <c r="G476" s="71">
        <f t="shared" si="32"/>
        <v>0</v>
      </c>
      <c r="H476" s="65"/>
      <c r="I476" s="71">
        <v>0</v>
      </c>
      <c r="J476" s="71"/>
      <c r="K476" s="71">
        <v>0</v>
      </c>
      <c r="L476" s="71">
        <v>0</v>
      </c>
      <c r="M476" s="71">
        <f t="shared" si="33"/>
        <v>0</v>
      </c>
      <c r="N476" s="73">
        <f t="shared" si="34"/>
        <v>0</v>
      </c>
    </row>
    <row r="477" spans="1:14" ht="15" hidden="1">
      <c r="A477" s="69">
        <v>8</v>
      </c>
      <c r="B477" s="69">
        <v>1915</v>
      </c>
      <c r="C477" s="74" t="s">
        <v>35</v>
      </c>
      <c r="D477" s="71">
        <v>0</v>
      </c>
      <c r="E477" s="71">
        <v>0</v>
      </c>
      <c r="F477" s="71">
        <v>0</v>
      </c>
      <c r="G477" s="71">
        <f t="shared" si="32"/>
        <v>0</v>
      </c>
      <c r="H477" s="65"/>
      <c r="I477" s="71">
        <v>0</v>
      </c>
      <c r="J477" s="71"/>
      <c r="K477" s="71">
        <v>0</v>
      </c>
      <c r="L477" s="71">
        <v>0</v>
      </c>
      <c r="M477" s="71">
        <f t="shared" si="33"/>
        <v>0</v>
      </c>
      <c r="N477" s="73">
        <f t="shared" si="34"/>
        <v>0</v>
      </c>
    </row>
    <row r="478" spans="1:14" ht="15" hidden="1">
      <c r="A478" s="69">
        <v>8</v>
      </c>
      <c r="B478" s="69">
        <v>1915</v>
      </c>
      <c r="C478" s="74" t="s">
        <v>66</v>
      </c>
      <c r="D478" s="71">
        <v>0</v>
      </c>
      <c r="E478" s="71">
        <v>0</v>
      </c>
      <c r="F478" s="71">
        <v>0</v>
      </c>
      <c r="G478" s="71">
        <f t="shared" si="32"/>
        <v>0</v>
      </c>
      <c r="H478" s="65"/>
      <c r="I478" s="71">
        <v>0</v>
      </c>
      <c r="J478" s="71"/>
      <c r="K478" s="71">
        <v>0</v>
      </c>
      <c r="L478" s="71">
        <v>0</v>
      </c>
      <c r="M478" s="71">
        <f t="shared" si="33"/>
        <v>0</v>
      </c>
      <c r="N478" s="73">
        <f t="shared" si="34"/>
        <v>0</v>
      </c>
    </row>
    <row r="479" spans="1:14" ht="15" hidden="1">
      <c r="A479" s="69">
        <v>10</v>
      </c>
      <c r="B479" s="69">
        <v>1920</v>
      </c>
      <c r="C479" s="74" t="s">
        <v>36</v>
      </c>
      <c r="D479" s="71">
        <v>0</v>
      </c>
      <c r="E479" s="71">
        <v>0</v>
      </c>
      <c r="F479" s="71">
        <v>0</v>
      </c>
      <c r="G479" s="71">
        <f t="shared" si="32"/>
        <v>0</v>
      </c>
      <c r="H479" s="65"/>
      <c r="I479" s="71">
        <v>0</v>
      </c>
      <c r="J479" s="71"/>
      <c r="K479" s="71">
        <v>0</v>
      </c>
      <c r="L479" s="71">
        <v>0</v>
      </c>
      <c r="M479" s="71">
        <f t="shared" si="33"/>
        <v>0</v>
      </c>
      <c r="N479" s="73">
        <f t="shared" si="34"/>
        <v>0</v>
      </c>
    </row>
    <row r="480" spans="1:14" ht="15" hidden="1">
      <c r="A480" s="69">
        <v>45</v>
      </c>
      <c r="B480" s="75">
        <v>1920</v>
      </c>
      <c r="C480" s="70" t="s">
        <v>37</v>
      </c>
      <c r="D480" s="71">
        <v>0</v>
      </c>
      <c r="E480" s="71">
        <v>0</v>
      </c>
      <c r="F480" s="71">
        <v>0</v>
      </c>
      <c r="G480" s="71">
        <f t="shared" si="32"/>
        <v>0</v>
      </c>
      <c r="H480" s="65"/>
      <c r="I480" s="71">
        <v>0</v>
      </c>
      <c r="J480" s="71"/>
      <c r="K480" s="71">
        <v>0</v>
      </c>
      <c r="L480" s="71">
        <v>0</v>
      </c>
      <c r="M480" s="71">
        <f t="shared" si="33"/>
        <v>0</v>
      </c>
      <c r="N480" s="73">
        <f t="shared" si="34"/>
        <v>0</v>
      </c>
    </row>
    <row r="481" spans="1:14" ht="15" hidden="1">
      <c r="A481" s="69">
        <v>45.1</v>
      </c>
      <c r="B481" s="75">
        <v>1920</v>
      </c>
      <c r="C481" s="70" t="s">
        <v>38</v>
      </c>
      <c r="D481" s="71">
        <v>0</v>
      </c>
      <c r="E481" s="71">
        <v>0</v>
      </c>
      <c r="F481" s="71">
        <v>0</v>
      </c>
      <c r="G481" s="71">
        <f t="shared" si="32"/>
        <v>0</v>
      </c>
      <c r="H481" s="65"/>
      <c r="I481" s="71">
        <v>0</v>
      </c>
      <c r="J481" s="71"/>
      <c r="K481" s="71">
        <v>0</v>
      </c>
      <c r="L481" s="71">
        <v>0</v>
      </c>
      <c r="M481" s="71">
        <f t="shared" si="33"/>
        <v>0</v>
      </c>
      <c r="N481" s="73">
        <f t="shared" si="34"/>
        <v>0</v>
      </c>
    </row>
    <row r="482" spans="1:14" ht="15" hidden="1">
      <c r="A482" s="69">
        <v>10</v>
      </c>
      <c r="B482" s="69">
        <v>1930</v>
      </c>
      <c r="C482" s="74" t="s">
        <v>39</v>
      </c>
      <c r="D482" s="71">
        <v>0</v>
      </c>
      <c r="E482" s="71">
        <v>0</v>
      </c>
      <c r="F482" s="71">
        <v>0</v>
      </c>
      <c r="G482" s="71">
        <f t="shared" si="32"/>
        <v>0</v>
      </c>
      <c r="H482" s="65"/>
      <c r="I482" s="71">
        <v>0</v>
      </c>
      <c r="J482" s="71"/>
      <c r="K482" s="71">
        <v>0</v>
      </c>
      <c r="L482" s="71">
        <v>0</v>
      </c>
      <c r="M482" s="71">
        <f t="shared" si="33"/>
        <v>0</v>
      </c>
      <c r="N482" s="73">
        <f t="shared" si="34"/>
        <v>0</v>
      </c>
    </row>
    <row r="483" spans="1:14" ht="15" hidden="1">
      <c r="A483" s="69">
        <v>10</v>
      </c>
      <c r="B483" s="69">
        <v>1930</v>
      </c>
      <c r="C483" s="74" t="s">
        <v>39</v>
      </c>
      <c r="D483" s="71">
        <v>0</v>
      </c>
      <c r="E483" s="71">
        <v>0</v>
      </c>
      <c r="F483" s="71">
        <v>0</v>
      </c>
      <c r="G483" s="71">
        <f t="shared" si="32"/>
        <v>0</v>
      </c>
      <c r="H483" s="65"/>
      <c r="I483" s="71">
        <v>0</v>
      </c>
      <c r="J483" s="71"/>
      <c r="K483" s="71">
        <v>0</v>
      </c>
      <c r="L483" s="71">
        <v>0</v>
      </c>
      <c r="M483" s="71">
        <f t="shared" si="33"/>
        <v>0</v>
      </c>
      <c r="N483" s="73">
        <f t="shared" si="34"/>
        <v>0</v>
      </c>
    </row>
    <row r="484" spans="1:14" ht="15" hidden="1">
      <c r="A484" s="69">
        <v>8</v>
      </c>
      <c r="B484" s="69">
        <v>1935</v>
      </c>
      <c r="C484" s="74" t="s">
        <v>40</v>
      </c>
      <c r="D484" s="71">
        <v>0</v>
      </c>
      <c r="E484" s="71">
        <v>0</v>
      </c>
      <c r="F484" s="71">
        <v>0</v>
      </c>
      <c r="G484" s="71">
        <f t="shared" si="32"/>
        <v>0</v>
      </c>
      <c r="H484" s="65"/>
      <c r="I484" s="71">
        <v>0</v>
      </c>
      <c r="J484" s="71"/>
      <c r="K484" s="71">
        <v>0</v>
      </c>
      <c r="L484" s="71">
        <v>0</v>
      </c>
      <c r="M484" s="71">
        <f t="shared" si="33"/>
        <v>0</v>
      </c>
      <c r="N484" s="73">
        <f t="shared" si="34"/>
        <v>0</v>
      </c>
    </row>
    <row r="485" spans="1:14" ht="15" hidden="1">
      <c r="A485" s="69">
        <v>8</v>
      </c>
      <c r="B485" s="69">
        <v>1940</v>
      </c>
      <c r="C485" s="74" t="s">
        <v>41</v>
      </c>
      <c r="D485" s="71">
        <v>0</v>
      </c>
      <c r="E485" s="71">
        <v>0</v>
      </c>
      <c r="F485" s="71">
        <v>0</v>
      </c>
      <c r="G485" s="71">
        <f t="shared" si="32"/>
        <v>0</v>
      </c>
      <c r="H485" s="65"/>
      <c r="I485" s="71">
        <v>0</v>
      </c>
      <c r="J485" s="71"/>
      <c r="K485" s="71">
        <v>0</v>
      </c>
      <c r="L485" s="71">
        <v>0</v>
      </c>
      <c r="M485" s="71">
        <f t="shared" si="33"/>
        <v>0</v>
      </c>
      <c r="N485" s="73">
        <f t="shared" si="34"/>
        <v>0</v>
      </c>
    </row>
    <row r="486" spans="1:14" ht="15" hidden="1">
      <c r="A486" s="69">
        <v>8</v>
      </c>
      <c r="B486" s="69">
        <v>1945</v>
      </c>
      <c r="C486" s="74" t="s">
        <v>42</v>
      </c>
      <c r="D486" s="71">
        <v>0</v>
      </c>
      <c r="E486" s="71">
        <v>0</v>
      </c>
      <c r="F486" s="71">
        <v>0</v>
      </c>
      <c r="G486" s="71">
        <f t="shared" si="32"/>
        <v>0</v>
      </c>
      <c r="H486" s="65"/>
      <c r="I486" s="71">
        <v>0</v>
      </c>
      <c r="J486" s="71"/>
      <c r="K486" s="71">
        <v>0</v>
      </c>
      <c r="L486" s="71">
        <v>0</v>
      </c>
      <c r="M486" s="71">
        <f t="shared" si="33"/>
        <v>0</v>
      </c>
      <c r="N486" s="73">
        <f t="shared" si="34"/>
        <v>0</v>
      </c>
    </row>
    <row r="487" spans="1:14" ht="15" hidden="1">
      <c r="A487" s="69">
        <v>8</v>
      </c>
      <c r="B487" s="69">
        <v>1950</v>
      </c>
      <c r="C487" s="74" t="s">
        <v>67</v>
      </c>
      <c r="D487" s="71">
        <v>0</v>
      </c>
      <c r="E487" s="71">
        <v>0</v>
      </c>
      <c r="F487" s="71">
        <v>0</v>
      </c>
      <c r="G487" s="71">
        <f t="shared" si="32"/>
        <v>0</v>
      </c>
      <c r="H487" s="65"/>
      <c r="I487" s="71">
        <v>0</v>
      </c>
      <c r="J487" s="71"/>
      <c r="K487" s="71">
        <v>0</v>
      </c>
      <c r="L487" s="71">
        <v>0</v>
      </c>
      <c r="M487" s="71">
        <f t="shared" si="33"/>
        <v>0</v>
      </c>
      <c r="N487" s="73">
        <f t="shared" si="34"/>
        <v>0</v>
      </c>
    </row>
    <row r="488" spans="1:14" ht="15" hidden="1">
      <c r="A488" s="69">
        <v>8</v>
      </c>
      <c r="B488" s="69">
        <v>1955</v>
      </c>
      <c r="C488" s="74" t="s">
        <v>43</v>
      </c>
      <c r="D488" s="71">
        <v>0</v>
      </c>
      <c r="E488" s="71">
        <v>0</v>
      </c>
      <c r="F488" s="71">
        <v>0</v>
      </c>
      <c r="G488" s="71">
        <f t="shared" si="32"/>
        <v>0</v>
      </c>
      <c r="H488" s="65"/>
      <c r="I488" s="71">
        <v>0</v>
      </c>
      <c r="J488" s="71"/>
      <c r="K488" s="71">
        <v>0</v>
      </c>
      <c r="L488" s="71">
        <v>0</v>
      </c>
      <c r="M488" s="71">
        <f t="shared" si="33"/>
        <v>0</v>
      </c>
      <c r="N488" s="73">
        <f t="shared" si="34"/>
        <v>0</v>
      </c>
    </row>
    <row r="489" spans="1:14" ht="15" hidden="1">
      <c r="A489" s="75">
        <v>8</v>
      </c>
      <c r="B489" s="75">
        <v>1955</v>
      </c>
      <c r="C489" s="70" t="s">
        <v>68</v>
      </c>
      <c r="D489" s="71">
        <v>0</v>
      </c>
      <c r="E489" s="71">
        <v>0</v>
      </c>
      <c r="F489" s="71">
        <v>0</v>
      </c>
      <c r="G489" s="71">
        <f t="shared" si="32"/>
        <v>0</v>
      </c>
      <c r="H489" s="65"/>
      <c r="I489" s="71">
        <v>0</v>
      </c>
      <c r="J489" s="71"/>
      <c r="K489" s="71">
        <v>0</v>
      </c>
      <c r="L489" s="71">
        <v>0</v>
      </c>
      <c r="M489" s="71">
        <f t="shared" si="33"/>
        <v>0</v>
      </c>
      <c r="N489" s="73">
        <f t="shared" si="34"/>
        <v>0</v>
      </c>
    </row>
    <row r="490" spans="1:14" ht="15" hidden="1">
      <c r="A490" s="75">
        <v>8</v>
      </c>
      <c r="B490" s="75">
        <v>1960</v>
      </c>
      <c r="C490" s="70" t="s">
        <v>44</v>
      </c>
      <c r="D490" s="71">
        <v>0</v>
      </c>
      <c r="E490" s="71">
        <v>0</v>
      </c>
      <c r="F490" s="71">
        <v>0</v>
      </c>
      <c r="G490" s="71">
        <f t="shared" si="32"/>
        <v>0</v>
      </c>
      <c r="H490" s="65"/>
      <c r="I490" s="71">
        <v>0</v>
      </c>
      <c r="J490" s="71"/>
      <c r="K490" s="71">
        <v>0</v>
      </c>
      <c r="L490" s="71">
        <v>0</v>
      </c>
      <c r="M490" s="71">
        <f t="shared" si="33"/>
        <v>0</v>
      </c>
      <c r="N490" s="73">
        <f t="shared" si="34"/>
        <v>0</v>
      </c>
    </row>
    <row r="491" spans="1:14" ht="15" hidden="1">
      <c r="A491" s="52">
        <v>47</v>
      </c>
      <c r="B491" s="75">
        <v>1970</v>
      </c>
      <c r="C491" s="74" t="s">
        <v>45</v>
      </c>
      <c r="D491" s="71">
        <v>0</v>
      </c>
      <c r="E491" s="71">
        <v>0</v>
      </c>
      <c r="F491" s="71">
        <v>0</v>
      </c>
      <c r="G491" s="71">
        <f t="shared" si="32"/>
        <v>0</v>
      </c>
      <c r="H491" s="65"/>
      <c r="I491" s="71">
        <v>0</v>
      </c>
      <c r="J491" s="71"/>
      <c r="K491" s="71">
        <v>0</v>
      </c>
      <c r="L491" s="71">
        <v>0</v>
      </c>
      <c r="M491" s="71">
        <f t="shared" si="33"/>
        <v>0</v>
      </c>
      <c r="N491" s="73">
        <f t="shared" si="34"/>
        <v>0</v>
      </c>
    </row>
    <row r="492" spans="1:14" ht="15" hidden="1">
      <c r="A492" s="69">
        <v>47</v>
      </c>
      <c r="B492" s="69">
        <v>1975</v>
      </c>
      <c r="C492" s="74" t="s">
        <v>69</v>
      </c>
      <c r="D492" s="71">
        <v>0</v>
      </c>
      <c r="E492" s="71">
        <v>0</v>
      </c>
      <c r="F492" s="71">
        <v>0</v>
      </c>
      <c r="G492" s="71">
        <f t="shared" si="32"/>
        <v>0</v>
      </c>
      <c r="H492" s="65"/>
      <c r="I492" s="71">
        <v>0</v>
      </c>
      <c r="J492" s="71"/>
      <c r="K492" s="71">
        <v>0</v>
      </c>
      <c r="L492" s="71">
        <v>0</v>
      </c>
      <c r="M492" s="71">
        <f t="shared" si="33"/>
        <v>0</v>
      </c>
      <c r="N492" s="73">
        <f t="shared" si="34"/>
        <v>0</v>
      </c>
    </row>
    <row r="493" spans="1:14" ht="15" hidden="1">
      <c r="A493" s="69">
        <v>47</v>
      </c>
      <c r="B493" s="69">
        <v>1980</v>
      </c>
      <c r="C493" s="74" t="s">
        <v>46</v>
      </c>
      <c r="D493" s="71">
        <v>0</v>
      </c>
      <c r="E493" s="71">
        <v>0</v>
      </c>
      <c r="F493" s="71">
        <v>0</v>
      </c>
      <c r="G493" s="71">
        <f t="shared" si="32"/>
        <v>0</v>
      </c>
      <c r="H493" s="65"/>
      <c r="I493" s="71">
        <v>0</v>
      </c>
      <c r="J493" s="71"/>
      <c r="K493" s="71">
        <v>0</v>
      </c>
      <c r="L493" s="71">
        <v>0</v>
      </c>
      <c r="M493" s="71">
        <f t="shared" si="33"/>
        <v>0</v>
      </c>
      <c r="N493" s="73">
        <f t="shared" si="34"/>
        <v>0</v>
      </c>
    </row>
    <row r="494" spans="1:14" ht="15" hidden="1">
      <c r="A494" s="69">
        <v>47</v>
      </c>
      <c r="B494" s="69">
        <v>1985</v>
      </c>
      <c r="C494" s="74" t="s">
        <v>70</v>
      </c>
      <c r="D494" s="71">
        <v>0</v>
      </c>
      <c r="E494" s="71">
        <v>0</v>
      </c>
      <c r="F494" s="71">
        <v>0</v>
      </c>
      <c r="G494" s="71">
        <f t="shared" si="32"/>
        <v>0</v>
      </c>
      <c r="H494" s="65"/>
      <c r="I494" s="71">
        <v>0</v>
      </c>
      <c r="J494" s="71"/>
      <c r="K494" s="71">
        <v>0</v>
      </c>
      <c r="L494" s="71">
        <v>0</v>
      </c>
      <c r="M494" s="71">
        <f t="shared" si="33"/>
        <v>0</v>
      </c>
      <c r="N494" s="73">
        <f t="shared" si="34"/>
        <v>0</v>
      </c>
    </row>
    <row r="495" spans="1:14" ht="15" hidden="1">
      <c r="A495" s="52">
        <v>47</v>
      </c>
      <c r="B495" s="69">
        <v>1990</v>
      </c>
      <c r="C495" s="76" t="s">
        <v>71</v>
      </c>
      <c r="D495" s="71">
        <v>0</v>
      </c>
      <c r="E495" s="71">
        <v>0</v>
      </c>
      <c r="F495" s="71">
        <v>0</v>
      </c>
      <c r="G495" s="71">
        <f t="shared" si="32"/>
        <v>0</v>
      </c>
      <c r="H495" s="65"/>
      <c r="I495" s="71">
        <v>0</v>
      </c>
      <c r="J495" s="71"/>
      <c r="K495" s="71">
        <v>0</v>
      </c>
      <c r="L495" s="71">
        <v>0</v>
      </c>
      <c r="M495" s="71">
        <f t="shared" si="33"/>
        <v>0</v>
      </c>
      <c r="N495" s="73">
        <f t="shared" si="34"/>
        <v>0</v>
      </c>
    </row>
    <row r="496" spans="1:14" ht="15" hidden="1">
      <c r="A496" s="69">
        <v>47</v>
      </c>
      <c r="B496" s="69">
        <v>1995</v>
      </c>
      <c r="C496" s="74" t="s">
        <v>47</v>
      </c>
      <c r="D496" s="71">
        <v>0</v>
      </c>
      <c r="E496" s="71">
        <v>0</v>
      </c>
      <c r="F496" s="71">
        <v>0</v>
      </c>
      <c r="G496" s="71">
        <f t="shared" si="32"/>
        <v>0</v>
      </c>
      <c r="H496" s="65"/>
      <c r="I496" s="71">
        <v>0</v>
      </c>
      <c r="J496" s="71"/>
      <c r="K496" s="71">
        <v>0</v>
      </c>
      <c r="L496" s="71">
        <v>0</v>
      </c>
      <c r="M496" s="71">
        <f t="shared" si="33"/>
        <v>0</v>
      </c>
      <c r="N496" s="73">
        <f t="shared" si="34"/>
        <v>0</v>
      </c>
    </row>
    <row r="497" spans="1:14" ht="15" hidden="1">
      <c r="A497" s="77"/>
      <c r="B497" s="77">
        <v>2075</v>
      </c>
      <c r="C497" s="78" t="s">
        <v>48</v>
      </c>
      <c r="D497" s="71">
        <v>0</v>
      </c>
      <c r="E497" s="71">
        <v>0</v>
      </c>
      <c r="F497" s="71">
        <v>0</v>
      </c>
      <c r="G497" s="71">
        <f t="shared" si="32"/>
        <v>0</v>
      </c>
      <c r="H497" s="65"/>
      <c r="I497" s="71">
        <v>0</v>
      </c>
      <c r="J497" s="71"/>
      <c r="K497" s="71">
        <v>0</v>
      </c>
      <c r="L497" s="71">
        <v>0</v>
      </c>
      <c r="M497" s="71">
        <f t="shared" si="33"/>
        <v>0</v>
      </c>
      <c r="N497" s="73">
        <f t="shared" si="34"/>
        <v>0</v>
      </c>
    </row>
    <row r="498" spans="1:14" ht="15" hidden="1">
      <c r="A498" s="77"/>
      <c r="B498" s="77"/>
      <c r="C498" s="78"/>
      <c r="D498" s="71">
        <v>0</v>
      </c>
      <c r="E498" s="71">
        <v>0</v>
      </c>
      <c r="F498" s="71">
        <v>0</v>
      </c>
      <c r="G498" s="71">
        <f t="shared" si="32"/>
        <v>0</v>
      </c>
      <c r="H498" s="54"/>
      <c r="I498" s="71">
        <v>0</v>
      </c>
      <c r="J498" s="71"/>
      <c r="K498" s="71">
        <v>0</v>
      </c>
      <c r="L498" s="71">
        <v>0</v>
      </c>
      <c r="M498" s="71">
        <f t="shared" si="33"/>
        <v>0</v>
      </c>
      <c r="N498" s="73">
        <f t="shared" si="34"/>
        <v>0</v>
      </c>
    </row>
    <row r="499" spans="1:14" hidden="1">
      <c r="A499" s="77"/>
      <c r="B499" s="77"/>
      <c r="C499" s="64" t="s">
        <v>49</v>
      </c>
      <c r="D499" s="79">
        <f>SUM(D438:D498)</f>
        <v>0</v>
      </c>
      <c r="E499" s="79">
        <f>SUM(E438:E498)</f>
        <v>0</v>
      </c>
      <c r="F499" s="79">
        <f>SUM(F438:F498)</f>
        <v>0</v>
      </c>
      <c r="G499" s="79">
        <f>SUM(G438:G498)</f>
        <v>0</v>
      </c>
      <c r="H499" s="79"/>
      <c r="I499" s="79">
        <f>SUM(I438:I498)</f>
        <v>0</v>
      </c>
      <c r="J499" s="79"/>
      <c r="K499" s="79">
        <f>SUM(K438:K498)</f>
        <v>0</v>
      </c>
      <c r="L499" s="79">
        <f>SUM(L438:L498)</f>
        <v>0</v>
      </c>
      <c r="M499" s="79">
        <f>SUM(M438:M498)</f>
        <v>0</v>
      </c>
      <c r="N499" s="79">
        <f>SUM(N438:N498)</f>
        <v>0</v>
      </c>
    </row>
    <row r="500" spans="1:14" ht="25.5" hidden="1">
      <c r="A500" s="77"/>
      <c r="B500" s="77"/>
      <c r="C500" s="80" t="s">
        <v>50</v>
      </c>
      <c r="D500" s="78"/>
      <c r="E500" s="78"/>
      <c r="F500" s="78"/>
      <c r="G500" s="71">
        <f>D500+E500+F500</f>
        <v>0</v>
      </c>
      <c r="H500" s="54"/>
      <c r="I500" s="78"/>
      <c r="J500" s="78"/>
      <c r="K500" s="78"/>
      <c r="L500" s="78"/>
      <c r="M500" s="71">
        <f>I500+K500+L500</f>
        <v>0</v>
      </c>
      <c r="N500" s="73">
        <f>G500+M500</f>
        <v>0</v>
      </c>
    </row>
    <row r="501" spans="1:14" ht="24.75" hidden="1">
      <c r="A501" s="77"/>
      <c r="B501" s="77"/>
      <c r="C501" s="81" t="s">
        <v>51</v>
      </c>
      <c r="D501" s="78"/>
      <c r="E501" s="78"/>
      <c r="F501" s="78"/>
      <c r="G501" s="71">
        <f>D501+E501+F501</f>
        <v>0</v>
      </c>
      <c r="H501" s="54"/>
      <c r="I501" s="78"/>
      <c r="J501" s="78"/>
      <c r="K501" s="78"/>
      <c r="L501" s="78"/>
      <c r="M501" s="71">
        <f>I501+K501+L501</f>
        <v>0</v>
      </c>
      <c r="N501" s="73">
        <f>G501+M501</f>
        <v>0</v>
      </c>
    </row>
    <row r="502" spans="1:14" hidden="1">
      <c r="A502" s="77"/>
      <c r="B502" s="77"/>
      <c r="C502" s="64" t="s">
        <v>52</v>
      </c>
      <c r="D502" s="79">
        <f>SUM(D499:D501)</f>
        <v>0</v>
      </c>
      <c r="E502" s="79">
        <f>SUM(E499:E501)</f>
        <v>0</v>
      </c>
      <c r="F502" s="79">
        <f>SUM(F499:F501)</f>
        <v>0</v>
      </c>
      <c r="G502" s="79">
        <f>SUM(G499:G501)</f>
        <v>0</v>
      </c>
      <c r="H502" s="79"/>
      <c r="I502" s="79">
        <f>SUM(I499:I501)</f>
        <v>0</v>
      </c>
      <c r="J502" s="79"/>
      <c r="K502" s="79">
        <f>SUM(K499:K501)</f>
        <v>0</v>
      </c>
      <c r="L502" s="79">
        <f>SUM(L499:L501)</f>
        <v>0</v>
      </c>
      <c r="M502" s="79">
        <f>SUM(M499:M501)</f>
        <v>0</v>
      </c>
      <c r="N502" s="79">
        <f>SUM(N499:N501)</f>
        <v>0</v>
      </c>
    </row>
    <row r="503" spans="1:14" ht="15" hidden="1">
      <c r="A503" s="77"/>
      <c r="B503" s="77"/>
      <c r="C503" s="134" t="s">
        <v>81</v>
      </c>
      <c r="D503" s="135"/>
      <c r="E503" s="135"/>
      <c r="F503" s="135"/>
      <c r="G503" s="135"/>
      <c r="H503" s="135"/>
      <c r="I503" s="136"/>
      <c r="J503" s="122"/>
      <c r="K503" s="78"/>
      <c r="L503" s="54"/>
      <c r="M503" s="91"/>
      <c r="N503" s="96"/>
    </row>
    <row r="504" spans="1:14" ht="15" hidden="1">
      <c r="A504" s="77"/>
      <c r="B504" s="77"/>
      <c r="C504" s="134" t="s">
        <v>82</v>
      </c>
      <c r="D504" s="135"/>
      <c r="E504" s="135"/>
      <c r="F504" s="135"/>
      <c r="G504" s="135"/>
      <c r="H504" s="135"/>
      <c r="I504" s="136"/>
      <c r="J504" s="122"/>
      <c r="K504" s="79">
        <f>K502+K503</f>
        <v>0</v>
      </c>
      <c r="L504" s="54"/>
      <c r="M504" s="91"/>
      <c r="N504" s="96"/>
    </row>
    <row r="505" spans="1:14" hidden="1">
      <c r="A505" s="52"/>
      <c r="B505" s="52"/>
      <c r="C505" s="53"/>
      <c r="D505" s="53"/>
      <c r="E505" s="53"/>
      <c r="F505" s="53"/>
      <c r="G505" s="53"/>
      <c r="H505" s="54"/>
      <c r="I505" s="53"/>
      <c r="J505" s="53"/>
      <c r="K505" s="53"/>
      <c r="L505" s="53"/>
      <c r="M505" s="53"/>
      <c r="N505" s="53"/>
    </row>
    <row r="506" spans="1:14" hidden="1">
      <c r="A506" s="52"/>
      <c r="B506" s="52"/>
      <c r="C506" s="53"/>
      <c r="D506" s="53"/>
      <c r="E506" s="53"/>
      <c r="F506" s="53"/>
      <c r="G506" s="53"/>
      <c r="H506" s="54"/>
      <c r="I506" s="82" t="s">
        <v>53</v>
      </c>
      <c r="J506" s="82"/>
      <c r="K506" s="83"/>
      <c r="L506" s="53"/>
      <c r="M506" s="53"/>
      <c r="N506" s="53"/>
    </row>
    <row r="507" spans="1:14" ht="15" hidden="1">
      <c r="A507" s="77">
        <v>10</v>
      </c>
      <c r="B507" s="77"/>
      <c r="C507" s="78" t="s">
        <v>54</v>
      </c>
      <c r="D507" s="53"/>
      <c r="E507" s="53"/>
      <c r="F507" s="53"/>
      <c r="G507" s="53"/>
      <c r="H507" s="54"/>
      <c r="I507" s="83" t="s">
        <v>54</v>
      </c>
      <c r="J507" s="83"/>
      <c r="K507" s="83"/>
      <c r="L507" s="84"/>
      <c r="M507" s="53"/>
      <c r="N507" s="53"/>
    </row>
    <row r="508" spans="1:14" ht="15" hidden="1">
      <c r="A508" s="77">
        <v>8</v>
      </c>
      <c r="B508" s="77"/>
      <c r="C508" s="78" t="s">
        <v>40</v>
      </c>
      <c r="D508" s="53"/>
      <c r="E508" s="53"/>
      <c r="F508" s="53"/>
      <c r="G508" s="53"/>
      <c r="H508" s="54"/>
      <c r="I508" s="83" t="s">
        <v>40</v>
      </c>
      <c r="J508" s="83"/>
      <c r="K508" s="83"/>
      <c r="L508" s="85"/>
      <c r="M508" s="53"/>
      <c r="N508" s="53"/>
    </row>
    <row r="509" spans="1:14" ht="15" hidden="1">
      <c r="A509" s="52"/>
      <c r="B509" s="52"/>
      <c r="C509" s="53"/>
      <c r="D509" s="53"/>
      <c r="E509" s="53"/>
      <c r="F509" s="53"/>
      <c r="G509" s="53"/>
      <c r="H509" s="54"/>
      <c r="I509" s="86" t="s">
        <v>55</v>
      </c>
      <c r="J509" s="86"/>
      <c r="K509" s="53"/>
      <c r="L509" s="87">
        <f>K504-L507-L508</f>
        <v>0</v>
      </c>
      <c r="M509" s="53"/>
      <c r="N509" s="53"/>
    </row>
    <row r="510" spans="1:14" hidden="1">
      <c r="A510" s="52"/>
      <c r="B510" s="52"/>
      <c r="C510" s="53"/>
      <c r="D510" s="53"/>
      <c r="E510" s="53"/>
      <c r="F510" s="53"/>
      <c r="G510" s="53"/>
      <c r="H510" s="54"/>
      <c r="I510" s="53"/>
      <c r="J510" s="53"/>
      <c r="K510" s="53"/>
      <c r="L510" s="53"/>
      <c r="M510" s="53"/>
      <c r="N510" s="53"/>
    </row>
    <row r="511" spans="1:14" hidden="1">
      <c r="A511" s="97" t="s">
        <v>56</v>
      </c>
      <c r="B511" s="52"/>
      <c r="C511" s="53"/>
      <c r="D511" s="53"/>
      <c r="E511" s="53"/>
      <c r="F511" s="53"/>
      <c r="G511" s="53"/>
      <c r="H511" s="54"/>
      <c r="I511" s="53"/>
      <c r="J511" s="53"/>
      <c r="K511" s="53"/>
      <c r="L511" s="53"/>
      <c r="M511" s="53"/>
      <c r="N511" s="53"/>
    </row>
    <row r="512" spans="1:14" hidden="1">
      <c r="A512" s="52"/>
      <c r="B512" s="52"/>
      <c r="C512" s="53"/>
      <c r="D512" s="53"/>
      <c r="E512" s="53"/>
      <c r="F512" s="53"/>
      <c r="G512" s="53"/>
      <c r="H512" s="54"/>
      <c r="I512" s="53"/>
      <c r="J512" s="53"/>
      <c r="K512" s="53"/>
      <c r="L512" s="53"/>
      <c r="M512" s="53"/>
      <c r="N512" s="53"/>
    </row>
    <row r="513" spans="1:14" hidden="1">
      <c r="A513" s="52">
        <v>1</v>
      </c>
      <c r="B513" s="140" t="s">
        <v>57</v>
      </c>
      <c r="C513" s="140"/>
      <c r="D513" s="140"/>
      <c r="E513" s="140"/>
      <c r="F513" s="140"/>
      <c r="G513" s="140"/>
      <c r="H513" s="140"/>
      <c r="I513" s="140"/>
      <c r="J513" s="140"/>
      <c r="K513" s="140"/>
      <c r="L513" s="140"/>
      <c r="M513" s="140"/>
      <c r="N513" s="140"/>
    </row>
    <row r="514" spans="1:14" hidden="1">
      <c r="A514" s="52"/>
      <c r="B514" s="140"/>
      <c r="C514" s="140"/>
      <c r="D514" s="140"/>
      <c r="E514" s="140"/>
      <c r="F514" s="140"/>
      <c r="G514" s="140"/>
      <c r="H514" s="140"/>
      <c r="I514" s="140"/>
      <c r="J514" s="140"/>
      <c r="K514" s="140"/>
      <c r="L514" s="140"/>
      <c r="M514" s="140"/>
      <c r="N514" s="140"/>
    </row>
    <row r="515" spans="1:14" hidden="1">
      <c r="A515" s="52"/>
      <c r="B515" s="52"/>
      <c r="C515" s="53"/>
      <c r="D515" s="53"/>
      <c r="E515" s="53"/>
      <c r="F515" s="53"/>
      <c r="G515" s="53"/>
      <c r="H515" s="54"/>
      <c r="I515" s="53"/>
      <c r="J515" s="53"/>
      <c r="K515" s="53"/>
      <c r="L515" s="53"/>
      <c r="M515" s="53"/>
      <c r="N515" s="53"/>
    </row>
    <row r="516" spans="1:14" hidden="1">
      <c r="A516" s="52">
        <v>2</v>
      </c>
      <c r="B516" s="141" t="s">
        <v>58</v>
      </c>
      <c r="C516" s="141"/>
      <c r="D516" s="141"/>
      <c r="E516" s="141"/>
      <c r="F516" s="141"/>
      <c r="G516" s="141"/>
      <c r="H516" s="141"/>
      <c r="I516" s="141"/>
      <c r="J516" s="141"/>
      <c r="K516" s="141"/>
      <c r="L516" s="141"/>
      <c r="M516" s="141"/>
      <c r="N516" s="141"/>
    </row>
    <row r="517" spans="1:14" hidden="1">
      <c r="A517" s="52"/>
      <c r="B517" s="141"/>
      <c r="C517" s="141"/>
      <c r="D517" s="141"/>
      <c r="E517" s="141"/>
      <c r="F517" s="141"/>
      <c r="G517" s="141"/>
      <c r="H517" s="141"/>
      <c r="I517" s="141"/>
      <c r="J517" s="141"/>
      <c r="K517" s="141"/>
      <c r="L517" s="141"/>
      <c r="M517" s="141"/>
      <c r="N517" s="141"/>
    </row>
    <row r="518" spans="1:14" hidden="1">
      <c r="A518" s="52"/>
      <c r="B518" s="52"/>
      <c r="C518" s="53"/>
      <c r="D518" s="53"/>
      <c r="E518" s="53"/>
      <c r="F518" s="53"/>
      <c r="G518" s="53"/>
      <c r="H518" s="54"/>
      <c r="I518" s="53"/>
      <c r="J518" s="53"/>
      <c r="K518" s="53"/>
      <c r="L518" s="53"/>
      <c r="M518" s="53"/>
      <c r="N518" s="53"/>
    </row>
    <row r="519" spans="1:14" hidden="1">
      <c r="A519" s="52">
        <v>3</v>
      </c>
      <c r="B519" s="142" t="s">
        <v>59</v>
      </c>
      <c r="C519" s="142"/>
      <c r="D519" s="142"/>
      <c r="E519" s="142"/>
      <c r="F519" s="142"/>
      <c r="G519" s="142"/>
      <c r="H519" s="142"/>
      <c r="I519" s="142"/>
      <c r="J519" s="142"/>
      <c r="K519" s="142"/>
      <c r="L519" s="142"/>
      <c r="M519" s="142"/>
      <c r="N519" s="142"/>
    </row>
    <row r="520" spans="1:14" hidden="1">
      <c r="A520" s="52"/>
      <c r="B520" s="52"/>
      <c r="C520" s="53"/>
      <c r="D520" s="53"/>
      <c r="E520" s="53"/>
      <c r="F520" s="53"/>
      <c r="G520" s="53"/>
      <c r="H520" s="54"/>
      <c r="I520" s="53"/>
      <c r="J520" s="53"/>
      <c r="K520" s="53"/>
      <c r="L520" s="53"/>
      <c r="M520" s="53"/>
      <c r="N520" s="53"/>
    </row>
    <row r="521" spans="1:14" hidden="1">
      <c r="A521" s="52">
        <v>4</v>
      </c>
      <c r="B521" s="98" t="s">
        <v>60</v>
      </c>
      <c r="C521" s="55"/>
      <c r="D521" s="53"/>
      <c r="E521" s="53"/>
      <c r="F521" s="53"/>
      <c r="G521" s="53"/>
      <c r="H521" s="54"/>
      <c r="I521" s="53"/>
      <c r="J521" s="53"/>
      <c r="K521" s="53"/>
      <c r="L521" s="53"/>
      <c r="M521" s="53"/>
      <c r="N521" s="53"/>
    </row>
    <row r="522" spans="1:14" hidden="1">
      <c r="L522" s="99">
        <f>K341-L346</f>
        <v>-1683955.983921627</v>
      </c>
    </row>
    <row r="523" spans="1:14" ht="13.5" thickBot="1">
      <c r="L523" s="124">
        <f>K343-L346</f>
        <v>-2380781.983921627</v>
      </c>
    </row>
    <row r="524" spans="1:14">
      <c r="L524" s="100"/>
    </row>
    <row r="526" spans="1:14" ht="18">
      <c r="A526" s="130" t="s">
        <v>6</v>
      </c>
      <c r="B526" s="130"/>
      <c r="C526" s="130"/>
      <c r="D526" s="130"/>
      <c r="E526" s="130"/>
      <c r="F526" s="130"/>
      <c r="G526" s="130"/>
      <c r="H526" s="130"/>
      <c r="I526" s="130"/>
      <c r="J526" s="130"/>
      <c r="K526" s="130"/>
      <c r="L526" s="130"/>
      <c r="M526" s="130"/>
      <c r="N526" s="130"/>
    </row>
    <row r="527" spans="1:14" ht="18">
      <c r="A527" s="130" t="s">
        <v>79</v>
      </c>
      <c r="B527" s="130"/>
      <c r="C527" s="130"/>
      <c r="D527" s="130"/>
      <c r="E527" s="130"/>
      <c r="F527" s="130"/>
      <c r="G527" s="130"/>
      <c r="H527" s="130"/>
      <c r="I527" s="130"/>
      <c r="J527" s="130"/>
      <c r="K527" s="130"/>
      <c r="L527" s="130"/>
      <c r="M527" s="130"/>
      <c r="N527" s="130"/>
    </row>
    <row r="529" spans="1:14" ht="15">
      <c r="C529" s="10"/>
      <c r="E529" s="11" t="s">
        <v>8</v>
      </c>
      <c r="F529" s="12">
        <v>2015</v>
      </c>
      <c r="G529" s="112" t="s">
        <v>84</v>
      </c>
    </row>
    <row r="531" spans="1:14">
      <c r="D531" s="137" t="s">
        <v>9</v>
      </c>
      <c r="E531" s="138"/>
      <c r="F531" s="138"/>
      <c r="G531" s="139"/>
      <c r="I531" s="14"/>
      <c r="J531" s="125"/>
      <c r="K531" s="15" t="s">
        <v>10</v>
      </c>
      <c r="L531" s="15"/>
      <c r="M531" s="16"/>
      <c r="N531" s="3"/>
    </row>
    <row r="532" spans="1:14" ht="38.25">
      <c r="A532" s="17" t="s">
        <v>11</v>
      </c>
      <c r="B532" s="18" t="s">
        <v>12</v>
      </c>
      <c r="C532" s="19" t="s">
        <v>13</v>
      </c>
      <c r="D532" s="17" t="s">
        <v>14</v>
      </c>
      <c r="E532" s="18" t="s">
        <v>15</v>
      </c>
      <c r="F532" s="18" t="s">
        <v>16</v>
      </c>
      <c r="G532" s="17" t="s">
        <v>17</v>
      </c>
      <c r="H532" s="20"/>
      <c r="I532" s="21" t="s">
        <v>14</v>
      </c>
      <c r="J532" s="21" t="s">
        <v>112</v>
      </c>
      <c r="K532" s="22" t="s">
        <v>15</v>
      </c>
      <c r="L532" s="22" t="s">
        <v>16</v>
      </c>
      <c r="M532" s="23" t="s">
        <v>17</v>
      </c>
      <c r="N532" s="17" t="s">
        <v>18</v>
      </c>
    </row>
    <row r="533" spans="1:14" ht="25.5">
      <c r="A533" s="24">
        <v>12</v>
      </c>
      <c r="B533" s="24">
        <v>1611</v>
      </c>
      <c r="C533" s="25" t="s">
        <v>19</v>
      </c>
      <c r="D533" s="26">
        <f>G308</f>
        <v>797009.2</v>
      </c>
      <c r="E533" s="26">
        <v>215000</v>
      </c>
      <c r="F533" s="26">
        <v>0</v>
      </c>
      <c r="G533" s="27">
        <f>D533+E533+F533</f>
        <v>1012009.2</v>
      </c>
      <c r="H533" s="28"/>
      <c r="I533" s="29">
        <f>M308</f>
        <v>-452137.48</v>
      </c>
      <c r="J533" s="29"/>
      <c r="K533" s="26">
        <v>-124901</v>
      </c>
      <c r="L533" s="26">
        <v>0</v>
      </c>
      <c r="M533" s="27">
        <f>I533+K533+L533</f>
        <v>-577038.48</v>
      </c>
      <c r="N533" s="30">
        <f>G533+M533</f>
        <v>434970.72</v>
      </c>
    </row>
    <row r="534" spans="1:14" ht="15">
      <c r="A534" s="31" t="s">
        <v>20</v>
      </c>
      <c r="B534" s="31">
        <v>1805</v>
      </c>
      <c r="C534" s="32" t="s">
        <v>21</v>
      </c>
      <c r="D534" s="26">
        <f>G309</f>
        <v>338728.15000000014</v>
      </c>
      <c r="E534" s="26">
        <v>913474</v>
      </c>
      <c r="F534" s="26">
        <v>0</v>
      </c>
      <c r="G534" s="27">
        <f t="shared" ref="G534:G563" si="35">D534+E534+F534</f>
        <v>1252202.1500000001</v>
      </c>
      <c r="H534" s="28"/>
      <c r="I534" s="29">
        <f t="shared" ref="I534:I535" si="36">M309</f>
        <v>0</v>
      </c>
      <c r="J534" s="29"/>
      <c r="K534" s="26">
        <v>0</v>
      </c>
      <c r="L534" s="26">
        <v>0</v>
      </c>
      <c r="M534" s="27">
        <f t="shared" ref="M534:M562" si="37">I534+K534+L534</f>
        <v>0</v>
      </c>
      <c r="N534" s="30">
        <f t="shared" ref="N534:N562" si="38">G534+M534</f>
        <v>1252202.1500000001</v>
      </c>
    </row>
    <row r="535" spans="1:14" ht="15">
      <c r="A535" s="24">
        <v>47</v>
      </c>
      <c r="B535" s="24">
        <v>1808</v>
      </c>
      <c r="C535" s="33" t="s">
        <v>22</v>
      </c>
      <c r="D535" s="26">
        <f>G310</f>
        <v>1471352</v>
      </c>
      <c r="E535" s="26">
        <v>0</v>
      </c>
      <c r="F535" s="26">
        <v>0</v>
      </c>
      <c r="G535" s="27">
        <f t="shared" si="35"/>
        <v>1471352</v>
      </c>
      <c r="H535" s="28"/>
      <c r="I535" s="29">
        <f t="shared" si="36"/>
        <v>-1016204</v>
      </c>
      <c r="J535" s="29"/>
      <c r="K535" s="26">
        <f>-35767-3656</f>
        <v>-39423</v>
      </c>
      <c r="L535" s="26">
        <v>0</v>
      </c>
      <c r="M535" s="27">
        <f t="shared" si="37"/>
        <v>-1055627</v>
      </c>
      <c r="N535" s="30">
        <f t="shared" si="38"/>
        <v>415725</v>
      </c>
    </row>
    <row r="536" spans="1:14" ht="15">
      <c r="A536" s="24">
        <v>47</v>
      </c>
      <c r="B536" s="24">
        <v>1815</v>
      </c>
      <c r="C536" s="33" t="s">
        <v>85</v>
      </c>
      <c r="D536" s="26">
        <v>0</v>
      </c>
      <c r="E536" s="26">
        <v>13961840</v>
      </c>
      <c r="F536" s="26"/>
      <c r="G536" s="27">
        <f t="shared" si="35"/>
        <v>13961840</v>
      </c>
      <c r="H536" s="28"/>
      <c r="I536" s="29">
        <v>0</v>
      </c>
      <c r="J536" s="29">
        <v>-346870</v>
      </c>
      <c r="K536" s="26">
        <v>-320187</v>
      </c>
      <c r="L536" s="26"/>
      <c r="M536" s="27">
        <f>I536+K536+L536+J536</f>
        <v>-667057</v>
      </c>
      <c r="N536" s="30">
        <f t="shared" si="38"/>
        <v>13294783</v>
      </c>
    </row>
    <row r="537" spans="1:14" ht="15">
      <c r="A537" s="24">
        <v>47</v>
      </c>
      <c r="B537" s="24">
        <v>1820</v>
      </c>
      <c r="C537" s="33" t="s">
        <v>86</v>
      </c>
      <c r="D537" s="26">
        <f>G311</f>
        <v>1060333.8700000001</v>
      </c>
      <c r="E537" s="26">
        <v>0</v>
      </c>
      <c r="F537" s="26">
        <v>-58599</v>
      </c>
      <c r="G537" s="27">
        <f t="shared" si="35"/>
        <v>1001734.8700000001</v>
      </c>
      <c r="H537" s="28"/>
      <c r="I537" s="29">
        <f>M311</f>
        <v>-833371.32649305579</v>
      </c>
      <c r="J537" s="29"/>
      <c r="K537" s="26">
        <v>-27835</v>
      </c>
      <c r="L537" s="26">
        <v>57221</v>
      </c>
      <c r="M537" s="27">
        <f>I537+K537+L537</f>
        <v>-803985.32649305579</v>
      </c>
      <c r="N537" s="30">
        <f>G537+M537</f>
        <v>197749.54350694432</v>
      </c>
    </row>
    <row r="538" spans="1:14" ht="15">
      <c r="A538" s="24">
        <v>47</v>
      </c>
      <c r="B538" s="24">
        <v>1830</v>
      </c>
      <c r="C538" s="33" t="s">
        <v>25</v>
      </c>
      <c r="D538" s="26">
        <f t="shared" ref="D538:D563" si="39">G312</f>
        <v>15590364</v>
      </c>
      <c r="E538" s="26">
        <f>201792+49038+382954</f>
        <v>633784</v>
      </c>
      <c r="F538" s="26">
        <f>-19637-46179-35330-6645</f>
        <v>-107791</v>
      </c>
      <c r="G538" s="27">
        <f t="shared" si="35"/>
        <v>16116357</v>
      </c>
      <c r="H538" s="28"/>
      <c r="I538" s="29">
        <f t="shared" ref="I538:I563" si="40">M312</f>
        <v>-5880933</v>
      </c>
      <c r="J538" s="29"/>
      <c r="K538" s="26">
        <f>-77833-16889-165716-28328-9911</f>
        <v>-298677</v>
      </c>
      <c r="L538" s="26">
        <f>19637+45372+34460+6422</f>
        <v>105891</v>
      </c>
      <c r="M538" s="27">
        <f t="shared" si="37"/>
        <v>-6073719</v>
      </c>
      <c r="N538" s="30">
        <f t="shared" si="38"/>
        <v>10042638</v>
      </c>
    </row>
    <row r="539" spans="1:14" ht="15">
      <c r="A539" s="24">
        <v>47</v>
      </c>
      <c r="B539" s="24">
        <v>1835</v>
      </c>
      <c r="C539" s="33" t="s">
        <v>26</v>
      </c>
      <c r="D539" s="26">
        <f t="shared" si="39"/>
        <v>9594837</v>
      </c>
      <c r="E539" s="26">
        <f>47032+222184</f>
        <v>269216</v>
      </c>
      <c r="F539" s="26">
        <v>-99972</v>
      </c>
      <c r="G539" s="27">
        <f t="shared" si="35"/>
        <v>9764081</v>
      </c>
      <c r="H539" s="28"/>
      <c r="I539" s="29">
        <f t="shared" si="40"/>
        <v>-3430025</v>
      </c>
      <c r="J539" s="29"/>
      <c r="K539" s="26">
        <f>-89108-5058-1512</f>
        <v>-95678</v>
      </c>
      <c r="L539" s="26">
        <v>98802</v>
      </c>
      <c r="M539" s="27">
        <f t="shared" si="37"/>
        <v>-3426901</v>
      </c>
      <c r="N539" s="30">
        <f t="shared" si="38"/>
        <v>6337180</v>
      </c>
    </row>
    <row r="540" spans="1:14" ht="15">
      <c r="A540" s="24">
        <v>47</v>
      </c>
      <c r="B540" s="24">
        <v>1840</v>
      </c>
      <c r="C540" s="33" t="s">
        <v>27</v>
      </c>
      <c r="D540" s="26">
        <f t="shared" si="39"/>
        <v>5637137</v>
      </c>
      <c r="E540" s="26">
        <f>188546+54194</f>
        <v>242740</v>
      </c>
      <c r="F540" s="26">
        <f>-17348</f>
        <v>-17348</v>
      </c>
      <c r="G540" s="27">
        <f t="shared" si="35"/>
        <v>5862529</v>
      </c>
      <c r="H540" s="28"/>
      <c r="I540" s="29">
        <f t="shared" si="40"/>
        <v>-1846652</v>
      </c>
      <c r="J540" s="29"/>
      <c r="K540" s="26">
        <f>-77284-21405-7335</f>
        <v>-106024</v>
      </c>
      <c r="L540" s="26">
        <v>17348</v>
      </c>
      <c r="M540" s="27">
        <f t="shared" si="37"/>
        <v>-1935328</v>
      </c>
      <c r="N540" s="30">
        <f t="shared" si="38"/>
        <v>3927201</v>
      </c>
    </row>
    <row r="541" spans="1:14" ht="15">
      <c r="A541" s="24">
        <v>47</v>
      </c>
      <c r="B541" s="24">
        <v>1845</v>
      </c>
      <c r="C541" s="33" t="s">
        <v>28</v>
      </c>
      <c r="D541" s="26">
        <f t="shared" si="39"/>
        <v>17602032</v>
      </c>
      <c r="E541" s="26">
        <f>165000+110000</f>
        <v>275000</v>
      </c>
      <c r="F541" s="26">
        <v>-17868</v>
      </c>
      <c r="G541" s="27">
        <f t="shared" si="35"/>
        <v>17859164</v>
      </c>
      <c r="H541" s="28"/>
      <c r="I541" s="29">
        <f t="shared" si="40"/>
        <v>-11624268</v>
      </c>
      <c r="J541" s="29"/>
      <c r="K541" s="26">
        <f>-172952-34111</f>
        <v>-207063</v>
      </c>
      <c r="L541" s="26">
        <f>17868</f>
        <v>17868</v>
      </c>
      <c r="M541" s="27">
        <f t="shared" si="37"/>
        <v>-11813463</v>
      </c>
      <c r="N541" s="30">
        <f t="shared" si="38"/>
        <v>6045701</v>
      </c>
    </row>
    <row r="542" spans="1:14" ht="15">
      <c r="A542" s="24">
        <v>47</v>
      </c>
      <c r="B542" s="24">
        <v>1850</v>
      </c>
      <c r="C542" s="33" t="s">
        <v>80</v>
      </c>
      <c r="D542" s="26">
        <f t="shared" si="39"/>
        <v>12079798</v>
      </c>
      <c r="E542" s="26">
        <f>142403+142403</f>
        <v>284806</v>
      </c>
      <c r="F542" s="26">
        <f>-92592-13462</f>
        <v>-106054</v>
      </c>
      <c r="G542" s="27">
        <f t="shared" si="35"/>
        <v>12258550</v>
      </c>
      <c r="H542" s="28"/>
      <c r="I542" s="29">
        <f t="shared" si="40"/>
        <v>-6609706</v>
      </c>
      <c r="J542" s="29"/>
      <c r="K542" s="26">
        <f>-78820-110807</f>
        <v>-189627</v>
      </c>
      <c r="L542" s="26">
        <f>89583+13019</f>
        <v>102602</v>
      </c>
      <c r="M542" s="27">
        <f t="shared" si="37"/>
        <v>-6696731</v>
      </c>
      <c r="N542" s="30">
        <f t="shared" si="38"/>
        <v>5561819</v>
      </c>
    </row>
    <row r="543" spans="1:14" ht="15">
      <c r="A543" s="24">
        <v>47</v>
      </c>
      <c r="B543" s="24">
        <v>1855</v>
      </c>
      <c r="C543" s="33" t="s">
        <v>75</v>
      </c>
      <c r="D543" s="26">
        <f t="shared" si="39"/>
        <v>4869814</v>
      </c>
      <c r="E543" s="26">
        <f>145620+45334</f>
        <v>190954</v>
      </c>
      <c r="F543" s="26">
        <v>0</v>
      </c>
      <c r="G543" s="27">
        <f t="shared" si="35"/>
        <v>5060768</v>
      </c>
      <c r="H543" s="28"/>
      <c r="I543" s="29">
        <f t="shared" si="40"/>
        <v>-2803262</v>
      </c>
      <c r="J543" s="29"/>
      <c r="K543" s="26">
        <f>-66877-5420</f>
        <v>-72297</v>
      </c>
      <c r="L543" s="26">
        <v>0</v>
      </c>
      <c r="M543" s="27">
        <f t="shared" si="37"/>
        <v>-2875559</v>
      </c>
      <c r="N543" s="30">
        <f t="shared" si="38"/>
        <v>2185209</v>
      </c>
    </row>
    <row r="544" spans="1:14" ht="15">
      <c r="A544" s="24">
        <v>47</v>
      </c>
      <c r="B544" s="24">
        <v>1860</v>
      </c>
      <c r="C544" s="33" t="s">
        <v>31</v>
      </c>
      <c r="D544" s="26">
        <f t="shared" si="39"/>
        <v>5250358</v>
      </c>
      <c r="E544" s="26">
        <f>113750+8750+52500</f>
        <v>175000</v>
      </c>
      <c r="F544" s="26">
        <v>-1785</v>
      </c>
      <c r="G544" s="113">
        <f t="shared" si="35"/>
        <v>5423573</v>
      </c>
      <c r="H544" s="28"/>
      <c r="I544" s="29">
        <f t="shared" si="40"/>
        <v>-1910585</v>
      </c>
      <c r="J544" s="29"/>
      <c r="K544" s="26">
        <f>-37627-6917-23488-12540-414604</f>
        <v>-495176</v>
      </c>
      <c r="L544" s="26">
        <v>545</v>
      </c>
      <c r="M544" s="27">
        <f t="shared" si="37"/>
        <v>-2405216</v>
      </c>
      <c r="N544" s="30">
        <f t="shared" si="38"/>
        <v>3018357</v>
      </c>
    </row>
    <row r="545" spans="1:14" ht="15">
      <c r="A545" s="31"/>
      <c r="B545" s="31">
        <v>1890</v>
      </c>
      <c r="C545" s="32" t="s">
        <v>32</v>
      </c>
      <c r="D545" s="26">
        <f t="shared" si="39"/>
        <v>468946</v>
      </c>
      <c r="E545" s="26">
        <v>0</v>
      </c>
      <c r="F545" s="26">
        <v>0</v>
      </c>
      <c r="G545" s="27">
        <f t="shared" si="35"/>
        <v>468946</v>
      </c>
      <c r="H545" s="28"/>
      <c r="I545" s="29">
        <f t="shared" si="40"/>
        <v>0</v>
      </c>
      <c r="J545" s="29"/>
      <c r="K545" s="26">
        <v>0</v>
      </c>
      <c r="L545" s="26">
        <v>0</v>
      </c>
      <c r="M545" s="27">
        <f t="shared" si="37"/>
        <v>0</v>
      </c>
      <c r="N545" s="30">
        <f t="shared" si="38"/>
        <v>468946</v>
      </c>
    </row>
    <row r="546" spans="1:14" ht="15">
      <c r="A546" s="31"/>
      <c r="B546" s="31">
        <v>1905</v>
      </c>
      <c r="C546" s="32" t="s">
        <v>21</v>
      </c>
      <c r="D546" s="26">
        <f t="shared" si="39"/>
        <v>17041.330000000002</v>
      </c>
      <c r="E546" s="26">
        <v>0</v>
      </c>
      <c r="F546" s="26">
        <v>0</v>
      </c>
      <c r="G546" s="27">
        <f t="shared" si="35"/>
        <v>17041.330000000002</v>
      </c>
      <c r="H546" s="28"/>
      <c r="I546" s="29">
        <f t="shared" si="40"/>
        <v>-17041.330000000002</v>
      </c>
      <c r="J546" s="29"/>
      <c r="K546" s="26">
        <v>0</v>
      </c>
      <c r="L546" s="26">
        <v>0</v>
      </c>
      <c r="M546" s="27">
        <f t="shared" si="37"/>
        <v>-17041.330000000002</v>
      </c>
      <c r="N546" s="30">
        <f t="shared" si="38"/>
        <v>0</v>
      </c>
    </row>
    <row r="547" spans="1:14" ht="15">
      <c r="A547" s="24">
        <v>47</v>
      </c>
      <c r="B547" s="24">
        <v>1908</v>
      </c>
      <c r="C547" s="33" t="s">
        <v>33</v>
      </c>
      <c r="D547" s="26">
        <f t="shared" si="39"/>
        <v>601155</v>
      </c>
      <c r="E547" s="26">
        <v>90000</v>
      </c>
      <c r="F547" s="26">
        <v>0</v>
      </c>
      <c r="G547" s="27">
        <f t="shared" si="35"/>
        <v>691155</v>
      </c>
      <c r="H547" s="28"/>
      <c r="I547" s="29">
        <f t="shared" si="40"/>
        <v>-147965.11599999998</v>
      </c>
      <c r="J547" s="29"/>
      <c r="K547" s="26">
        <f>-14031-20977</f>
        <v>-35008</v>
      </c>
      <c r="L547" s="26">
        <v>0</v>
      </c>
      <c r="M547" s="27">
        <f t="shared" si="37"/>
        <v>-182973.11599999998</v>
      </c>
      <c r="N547" s="30">
        <f t="shared" si="38"/>
        <v>508181.88400000002</v>
      </c>
    </row>
    <row r="548" spans="1:14" ht="15">
      <c r="A548" s="24">
        <v>13</v>
      </c>
      <c r="B548" s="24">
        <v>1910</v>
      </c>
      <c r="C548" s="33" t="s">
        <v>34</v>
      </c>
      <c r="D548" s="26">
        <f t="shared" si="39"/>
        <v>21798</v>
      </c>
      <c r="E548" s="26">
        <v>0</v>
      </c>
      <c r="F548" s="26">
        <v>0</v>
      </c>
      <c r="G548" s="27">
        <f t="shared" si="35"/>
        <v>21798</v>
      </c>
      <c r="H548" s="28"/>
      <c r="I548" s="29">
        <f t="shared" si="40"/>
        <v>-21798.12</v>
      </c>
      <c r="J548" s="29"/>
      <c r="K548" s="26">
        <v>0</v>
      </c>
      <c r="L548" s="26">
        <v>0</v>
      </c>
      <c r="M548" s="27">
        <f t="shared" si="37"/>
        <v>-21798.12</v>
      </c>
      <c r="N548" s="30">
        <f t="shared" si="38"/>
        <v>-0.11999999999898137</v>
      </c>
    </row>
    <row r="549" spans="1:14" ht="15">
      <c r="A549" s="24">
        <v>8</v>
      </c>
      <c r="B549" s="24">
        <v>1915</v>
      </c>
      <c r="C549" s="33" t="s">
        <v>35</v>
      </c>
      <c r="D549" s="26">
        <f t="shared" si="39"/>
        <v>128061.15000000002</v>
      </c>
      <c r="E549" s="26">
        <v>0</v>
      </c>
      <c r="F549" s="26">
        <v>0</v>
      </c>
      <c r="G549" s="27">
        <f t="shared" si="35"/>
        <v>128061.15000000002</v>
      </c>
      <c r="H549" s="28"/>
      <c r="I549" s="29">
        <f t="shared" si="40"/>
        <v>-99706.710000000021</v>
      </c>
      <c r="J549" s="29"/>
      <c r="K549" s="26">
        <v>-5513</v>
      </c>
      <c r="L549" s="26">
        <v>0</v>
      </c>
      <c r="M549" s="27">
        <f t="shared" si="37"/>
        <v>-105219.71000000002</v>
      </c>
      <c r="N549" s="30">
        <f t="shared" si="38"/>
        <v>22841.440000000002</v>
      </c>
    </row>
    <row r="550" spans="1:14" ht="15">
      <c r="A550" s="24">
        <v>10</v>
      </c>
      <c r="B550" s="24">
        <v>1920</v>
      </c>
      <c r="C550" s="33" t="s">
        <v>36</v>
      </c>
      <c r="D550" s="26">
        <f t="shared" si="39"/>
        <v>0.4900000001071021</v>
      </c>
      <c r="E550" s="26">
        <v>0</v>
      </c>
      <c r="F550" s="26">
        <v>0</v>
      </c>
      <c r="G550" s="27">
        <f t="shared" si="35"/>
        <v>0.4900000001071021</v>
      </c>
      <c r="H550" s="28"/>
      <c r="I550" s="29">
        <f t="shared" si="40"/>
        <v>-0.48999999999068677</v>
      </c>
      <c r="J550" s="29"/>
      <c r="K550" s="26">
        <v>0</v>
      </c>
      <c r="L550" s="26">
        <v>0</v>
      </c>
      <c r="M550" s="27">
        <f t="shared" si="37"/>
        <v>-0.48999999999068677</v>
      </c>
      <c r="N550" s="30">
        <f t="shared" si="38"/>
        <v>1.1641532182693481E-10</v>
      </c>
    </row>
    <row r="551" spans="1:14" ht="15">
      <c r="A551" s="24">
        <v>45</v>
      </c>
      <c r="B551" s="34">
        <v>1920</v>
      </c>
      <c r="C551" s="25" t="s">
        <v>37</v>
      </c>
      <c r="D551" s="26">
        <f t="shared" si="39"/>
        <v>-0.14999999999417923</v>
      </c>
      <c r="E551" s="26">
        <v>0</v>
      </c>
      <c r="F551" s="26">
        <v>0</v>
      </c>
      <c r="G551" s="27">
        <f t="shared" si="35"/>
        <v>-0.14999999999417923</v>
      </c>
      <c r="H551" s="28"/>
      <c r="I551" s="29">
        <f t="shared" si="40"/>
        <v>0.14999999999417923</v>
      </c>
      <c r="J551" s="29"/>
      <c r="K551" s="26">
        <v>0</v>
      </c>
      <c r="L551" s="26">
        <v>0</v>
      </c>
      <c r="M551" s="27">
        <f t="shared" si="37"/>
        <v>0.14999999999417923</v>
      </c>
      <c r="N551" s="30">
        <f t="shared" si="38"/>
        <v>0</v>
      </c>
    </row>
    <row r="552" spans="1:14" ht="15">
      <c r="A552" s="24">
        <v>45.1</v>
      </c>
      <c r="B552" s="34">
        <v>1920</v>
      </c>
      <c r="C552" s="25" t="s">
        <v>38</v>
      </c>
      <c r="D552" s="26">
        <f t="shared" si="39"/>
        <v>517818.82000000007</v>
      </c>
      <c r="E552" s="26">
        <v>30000</v>
      </c>
      <c r="F552" s="26">
        <v>0</v>
      </c>
      <c r="G552" s="27">
        <f t="shared" si="35"/>
        <v>547818.82000000007</v>
      </c>
      <c r="H552" s="28"/>
      <c r="I552" s="29">
        <f t="shared" si="40"/>
        <v>-286140.85742857144</v>
      </c>
      <c r="J552" s="29"/>
      <c r="K552" s="26">
        <v>-81131</v>
      </c>
      <c r="L552" s="26">
        <v>0</v>
      </c>
      <c r="M552" s="27">
        <f t="shared" si="37"/>
        <v>-367271.85742857144</v>
      </c>
      <c r="N552" s="30">
        <f t="shared" si="38"/>
        <v>180546.96257142862</v>
      </c>
    </row>
    <row r="553" spans="1:14" ht="15">
      <c r="A553" s="24">
        <v>10</v>
      </c>
      <c r="B553" s="24">
        <v>1930</v>
      </c>
      <c r="C553" s="33" t="s">
        <v>39</v>
      </c>
      <c r="D553" s="26">
        <f t="shared" si="39"/>
        <v>3083105</v>
      </c>
      <c r="E553" s="26">
        <v>135000</v>
      </c>
      <c r="F553" s="26">
        <f>-36861-24221</f>
        <v>-61082</v>
      </c>
      <c r="G553" s="27">
        <f t="shared" si="35"/>
        <v>3157023</v>
      </c>
      <c r="H553" s="28"/>
      <c r="I553" s="29">
        <f t="shared" si="40"/>
        <v>-2235628</v>
      </c>
      <c r="J553" s="29"/>
      <c r="K553" s="26">
        <f>-110183-14030</f>
        <v>-124213</v>
      </c>
      <c r="L553" s="26">
        <v>61082</v>
      </c>
      <c r="M553" s="27">
        <f t="shared" si="37"/>
        <v>-2298759</v>
      </c>
      <c r="N553" s="30">
        <f t="shared" si="38"/>
        <v>858264</v>
      </c>
    </row>
    <row r="554" spans="1:14" ht="15">
      <c r="A554" s="24">
        <v>8</v>
      </c>
      <c r="B554" s="24">
        <v>1935</v>
      </c>
      <c r="C554" s="33" t="s">
        <v>40</v>
      </c>
      <c r="D554" s="26">
        <f t="shared" si="39"/>
        <v>36199.29</v>
      </c>
      <c r="E554" s="26">
        <v>0</v>
      </c>
      <c r="F554" s="26">
        <v>0</v>
      </c>
      <c r="G554" s="27">
        <f t="shared" si="35"/>
        <v>36199.29</v>
      </c>
      <c r="H554" s="28"/>
      <c r="I554" s="29">
        <f t="shared" si="40"/>
        <v>-36199.29</v>
      </c>
      <c r="J554" s="29"/>
      <c r="K554" s="26">
        <v>0</v>
      </c>
      <c r="L554" s="26">
        <v>0</v>
      </c>
      <c r="M554" s="27">
        <f t="shared" si="37"/>
        <v>-36199.29</v>
      </c>
      <c r="N554" s="30">
        <f t="shared" si="38"/>
        <v>0</v>
      </c>
    </row>
    <row r="555" spans="1:14" ht="15">
      <c r="A555" s="24">
        <v>8</v>
      </c>
      <c r="B555" s="24">
        <v>1940</v>
      </c>
      <c r="C555" s="33" t="s">
        <v>41</v>
      </c>
      <c r="D555" s="26">
        <f t="shared" si="39"/>
        <v>507540.82000000007</v>
      </c>
      <c r="E555" s="26">
        <v>30000</v>
      </c>
      <c r="F555" s="26">
        <v>0</v>
      </c>
      <c r="G555" s="27">
        <f t="shared" si="35"/>
        <v>537540.82000000007</v>
      </c>
      <c r="H555" s="28"/>
      <c r="I555" s="29">
        <f t="shared" si="40"/>
        <v>-374994.1100000001</v>
      </c>
      <c r="J555" s="29"/>
      <c r="K555" s="26">
        <v>-28839</v>
      </c>
      <c r="L555" s="26">
        <v>0</v>
      </c>
      <c r="M555" s="27">
        <f t="shared" si="37"/>
        <v>-403833.1100000001</v>
      </c>
      <c r="N555" s="30">
        <f t="shared" si="38"/>
        <v>133707.70999999996</v>
      </c>
    </row>
    <row r="556" spans="1:14" ht="15">
      <c r="A556" s="24">
        <v>8</v>
      </c>
      <c r="B556" s="24">
        <v>1945</v>
      </c>
      <c r="C556" s="33" t="s">
        <v>42</v>
      </c>
      <c r="D556" s="26">
        <f t="shared" si="39"/>
        <v>39170</v>
      </c>
      <c r="E556" s="26">
        <v>0</v>
      </c>
      <c r="F556" s="26">
        <v>0</v>
      </c>
      <c r="G556" s="27">
        <f t="shared" si="35"/>
        <v>39170</v>
      </c>
      <c r="H556" s="28"/>
      <c r="I556" s="29">
        <f t="shared" si="40"/>
        <v>-32731.16</v>
      </c>
      <c r="J556" s="29"/>
      <c r="K556" s="26">
        <v>-3220</v>
      </c>
      <c r="L556" s="26">
        <v>0</v>
      </c>
      <c r="M556" s="27">
        <f t="shared" si="37"/>
        <v>-35951.160000000003</v>
      </c>
      <c r="N556" s="30">
        <f t="shared" si="38"/>
        <v>3218.8399999999965</v>
      </c>
    </row>
    <row r="557" spans="1:14" ht="15">
      <c r="A557" s="24">
        <v>8</v>
      </c>
      <c r="B557" s="24">
        <v>1955</v>
      </c>
      <c r="C557" s="33" t="s">
        <v>43</v>
      </c>
      <c r="D557" s="26">
        <f t="shared" si="39"/>
        <v>45860</v>
      </c>
      <c r="E557" s="26">
        <v>0</v>
      </c>
      <c r="F557" s="26">
        <v>0</v>
      </c>
      <c r="G557" s="27">
        <f t="shared" si="35"/>
        <v>45860</v>
      </c>
      <c r="H557" s="28"/>
      <c r="I557" s="29">
        <f t="shared" si="40"/>
        <v>-45788.3</v>
      </c>
      <c r="J557" s="29"/>
      <c r="K557" s="26">
        <v>-36</v>
      </c>
      <c r="L557" s="26">
        <v>0</v>
      </c>
      <c r="M557" s="27">
        <f t="shared" si="37"/>
        <v>-45824.3</v>
      </c>
      <c r="N557" s="30">
        <f t="shared" si="38"/>
        <v>35.69999999999709</v>
      </c>
    </row>
    <row r="558" spans="1:14" ht="15">
      <c r="A558" s="34">
        <v>8</v>
      </c>
      <c r="B558" s="34">
        <v>1960</v>
      </c>
      <c r="C558" s="25" t="s">
        <v>44</v>
      </c>
      <c r="D558" s="26">
        <f t="shared" si="39"/>
        <v>7842</v>
      </c>
      <c r="E558" s="26">
        <v>0</v>
      </c>
      <c r="F558" s="26">
        <v>0</v>
      </c>
      <c r="G558" s="27">
        <f t="shared" si="35"/>
        <v>7842</v>
      </c>
      <c r="H558" s="28"/>
      <c r="I558" s="29">
        <f t="shared" si="40"/>
        <v>-5489.2199999999993</v>
      </c>
      <c r="J558" s="29"/>
      <c r="K558" s="26">
        <v>-784</v>
      </c>
      <c r="L558" s="26">
        <v>0</v>
      </c>
      <c r="M558" s="27">
        <f t="shared" si="37"/>
        <v>-6273.2199999999993</v>
      </c>
      <c r="N558" s="30">
        <f t="shared" si="38"/>
        <v>1568.7800000000007</v>
      </c>
    </row>
    <row r="559" spans="1:14" ht="15">
      <c r="A559" s="1">
        <v>47</v>
      </c>
      <c r="B559" s="34">
        <v>1970</v>
      </c>
      <c r="C559" s="33" t="s">
        <v>45</v>
      </c>
      <c r="D559" s="26">
        <f t="shared" si="39"/>
        <v>245119</v>
      </c>
      <c r="E559" s="26">
        <v>0</v>
      </c>
      <c r="F559" s="26">
        <v>0</v>
      </c>
      <c r="G559" s="27">
        <f t="shared" si="35"/>
        <v>245119</v>
      </c>
      <c r="H559" s="28"/>
      <c r="I559" s="29">
        <f t="shared" si="40"/>
        <v>-226068.14</v>
      </c>
      <c r="J559" s="29"/>
      <c r="K559" s="26">
        <v>-14808</v>
      </c>
      <c r="L559" s="26">
        <v>0</v>
      </c>
      <c r="M559" s="27">
        <f t="shared" si="37"/>
        <v>-240876.14</v>
      </c>
      <c r="N559" s="30">
        <f t="shared" si="38"/>
        <v>4242.859999999986</v>
      </c>
    </row>
    <row r="560" spans="1:14" ht="15">
      <c r="A560" s="24">
        <v>47</v>
      </c>
      <c r="B560" s="24">
        <v>1980</v>
      </c>
      <c r="C560" s="33" t="s">
        <v>46</v>
      </c>
      <c r="D560" s="26">
        <f t="shared" si="39"/>
        <v>427351</v>
      </c>
      <c r="E560" s="26">
        <v>50000</v>
      </c>
      <c r="F560" s="26">
        <v>0</v>
      </c>
      <c r="G560" s="27">
        <f t="shared" si="35"/>
        <v>477351</v>
      </c>
      <c r="H560" s="28"/>
      <c r="I560" s="29">
        <f t="shared" si="40"/>
        <v>-274400.71000000002</v>
      </c>
      <c r="J560" s="29"/>
      <c r="K560" s="26">
        <v>-15151</v>
      </c>
      <c r="L560" s="26">
        <v>0</v>
      </c>
      <c r="M560" s="27">
        <f t="shared" si="37"/>
        <v>-289551.71000000002</v>
      </c>
      <c r="N560" s="30">
        <f t="shared" si="38"/>
        <v>187799.28999999998</v>
      </c>
    </row>
    <row r="561" spans="1:14" ht="15">
      <c r="A561" s="24">
        <v>47</v>
      </c>
      <c r="B561" s="24">
        <v>1995</v>
      </c>
      <c r="C561" s="33" t="s">
        <v>47</v>
      </c>
      <c r="D561" s="26">
        <f t="shared" si="39"/>
        <v>-5046472.6700000009</v>
      </c>
      <c r="E561" s="26">
        <v>-150000</v>
      </c>
      <c r="F561" s="26">
        <v>0</v>
      </c>
      <c r="G561" s="27">
        <f t="shared" si="35"/>
        <v>-5196472.6700000009</v>
      </c>
      <c r="H561" s="28"/>
      <c r="I561" s="29">
        <f t="shared" si="40"/>
        <v>1498016.7</v>
      </c>
      <c r="J561" s="29"/>
      <c r="K561" s="26">
        <v>104632</v>
      </c>
      <c r="L561" s="26">
        <v>0</v>
      </c>
      <c r="M561" s="27">
        <f t="shared" si="37"/>
        <v>1602648.7</v>
      </c>
      <c r="N561" s="30">
        <f t="shared" si="38"/>
        <v>-3593823.9700000007</v>
      </c>
    </row>
    <row r="562" spans="1:14" ht="15">
      <c r="A562" s="35"/>
      <c r="B562" s="35">
        <v>2075</v>
      </c>
      <c r="C562" s="36" t="s">
        <v>48</v>
      </c>
      <c r="D562" s="26">
        <f t="shared" si="39"/>
        <v>294688</v>
      </c>
      <c r="E562" s="26">
        <v>0</v>
      </c>
      <c r="F562" s="26">
        <v>0</v>
      </c>
      <c r="G562" s="27">
        <f t="shared" si="35"/>
        <v>294688</v>
      </c>
      <c r="H562" s="28"/>
      <c r="I562" s="29">
        <f t="shared" si="40"/>
        <v>-51827</v>
      </c>
      <c r="J562" s="29"/>
      <c r="K562" s="26">
        <v>-14863</v>
      </c>
      <c r="L562" s="26">
        <v>0</v>
      </c>
      <c r="M562" s="27">
        <f t="shared" si="37"/>
        <v>-66690</v>
      </c>
      <c r="N562" s="30">
        <f t="shared" si="38"/>
        <v>227998</v>
      </c>
    </row>
    <row r="563" spans="1:14" ht="15">
      <c r="A563" s="35">
        <v>14</v>
      </c>
      <c r="B563" s="35">
        <v>1609</v>
      </c>
      <c r="C563" s="36" t="s">
        <v>61</v>
      </c>
      <c r="D563" s="26">
        <f t="shared" si="39"/>
        <v>1710026</v>
      </c>
      <c r="E563" s="26">
        <v>436468</v>
      </c>
      <c r="F563" s="26">
        <v>0</v>
      </c>
      <c r="G563" s="27">
        <f t="shared" si="35"/>
        <v>2146494</v>
      </c>
      <c r="I563" s="29">
        <f t="shared" si="40"/>
        <v>-77612</v>
      </c>
      <c r="J563" s="29">
        <v>-18914</v>
      </c>
      <c r="K563" s="26">
        <f>-32000-27334-36371+18914</f>
        <v>-76791</v>
      </c>
      <c r="L563" s="26">
        <v>0</v>
      </c>
      <c r="M563" s="27">
        <f>I563+K563+L563+J563</f>
        <v>-173317</v>
      </c>
      <c r="N563" s="30">
        <f>G563+M563</f>
        <v>1973177</v>
      </c>
    </row>
    <row r="564" spans="1:14">
      <c r="A564" s="35"/>
      <c r="B564" s="35"/>
      <c r="C564" s="38" t="s">
        <v>49</v>
      </c>
      <c r="D564" s="39">
        <f>SUM(D533:D563)</f>
        <v>77397012.299999982</v>
      </c>
      <c r="E564" s="39">
        <f>SUM(E533:E563)</f>
        <v>17783282</v>
      </c>
      <c r="F564" s="39">
        <f>SUM(F533:F563)</f>
        <v>-470499</v>
      </c>
      <c r="G564" s="39">
        <f>SUM(G533:G563)</f>
        <v>94709795.299999982</v>
      </c>
      <c r="H564" s="39"/>
      <c r="I564" s="39">
        <f>SUM(I533:I563)</f>
        <v>-38842517.509921618</v>
      </c>
      <c r="J564" s="39"/>
      <c r="K564" s="39">
        <f>SUM(K533:K563)</f>
        <v>-2272613</v>
      </c>
      <c r="L564" s="39">
        <f>SUM(L533:L563)</f>
        <v>461359</v>
      </c>
      <c r="M564" s="39">
        <f>SUM(M533:M563)</f>
        <v>-41019555.509921618</v>
      </c>
      <c r="N564" s="39">
        <f>SUM(N533:N563)</f>
        <v>53690239.790078387</v>
      </c>
    </row>
    <row r="565" spans="1:14" ht="25.5">
      <c r="A565" s="35"/>
      <c r="B565" s="35"/>
      <c r="C565" s="40" t="s">
        <v>50</v>
      </c>
      <c r="D565" s="37"/>
      <c r="E565" s="37"/>
      <c r="F565" s="37"/>
      <c r="G565" s="27">
        <f>D565+E565+F565</f>
        <v>0</v>
      </c>
      <c r="I565" s="37"/>
      <c r="J565" s="37"/>
      <c r="K565" s="37"/>
      <c r="L565" s="37"/>
      <c r="M565" s="27">
        <f>I565+K565+L565</f>
        <v>0</v>
      </c>
      <c r="N565" s="30">
        <f>G565+M565</f>
        <v>0</v>
      </c>
    </row>
    <row r="566" spans="1:14" ht="24.75">
      <c r="A566" s="35"/>
      <c r="B566" s="35"/>
      <c r="C566" s="41" t="s">
        <v>51</v>
      </c>
      <c r="D566" s="42">
        <f>-D562</f>
        <v>-294688</v>
      </c>
      <c r="E566" s="37"/>
      <c r="F566" s="37"/>
      <c r="G566" s="27">
        <f>D566+E566+F566</f>
        <v>-294688</v>
      </c>
      <c r="I566" s="42">
        <f>-I562</f>
        <v>51827</v>
      </c>
      <c r="J566" s="42"/>
      <c r="K566" s="42">
        <f>-K562</f>
        <v>14863</v>
      </c>
      <c r="L566" s="37"/>
      <c r="M566" s="27">
        <f>I566+K566+L566</f>
        <v>66690</v>
      </c>
      <c r="N566" s="30">
        <f>G566+M566</f>
        <v>-227998</v>
      </c>
    </row>
    <row r="567" spans="1:14">
      <c r="A567" s="35"/>
      <c r="B567" s="35"/>
      <c r="C567" s="38" t="s">
        <v>52</v>
      </c>
      <c r="D567" s="39">
        <f>SUM(D564:D566)</f>
        <v>77102324.299999982</v>
      </c>
      <c r="E567" s="39">
        <f>SUM(E564:E566)</f>
        <v>17783282</v>
      </c>
      <c r="F567" s="39">
        <f>SUM(F564:F566)</f>
        <v>-470499</v>
      </c>
      <c r="G567" s="39">
        <f>SUM(G564:G566)</f>
        <v>94415107.299999982</v>
      </c>
      <c r="H567" s="39"/>
      <c r="I567" s="39">
        <f>SUM(I564:I566)</f>
        <v>-38790690.509921618</v>
      </c>
      <c r="J567" s="39"/>
      <c r="K567" s="39">
        <f>SUM(K564:K566)</f>
        <v>-2257750</v>
      </c>
      <c r="L567" s="39">
        <f>SUM(L564:L566)</f>
        <v>461359</v>
      </c>
      <c r="M567" s="39">
        <f>SUM(M564:M566)</f>
        <v>-40952865.509921618</v>
      </c>
      <c r="N567" s="39">
        <f>SUM(N564:N566)</f>
        <v>53462241.790078387</v>
      </c>
    </row>
    <row r="568" spans="1:14" ht="15">
      <c r="A568" s="35"/>
      <c r="B568" s="35"/>
      <c r="C568" s="127" t="s">
        <v>81</v>
      </c>
      <c r="D568" s="128"/>
      <c r="E568" s="128"/>
      <c r="F568" s="128"/>
      <c r="G568" s="128"/>
      <c r="H568" s="128"/>
      <c r="I568" s="129"/>
      <c r="J568" s="121"/>
      <c r="K568" s="120">
        <v>-9140</v>
      </c>
      <c r="L568" s="114"/>
      <c r="M568" s="115"/>
      <c r="N568" s="116"/>
    </row>
    <row r="569" spans="1:14" ht="15">
      <c r="A569" s="35"/>
      <c r="B569" s="35"/>
      <c r="C569" s="127" t="s">
        <v>82</v>
      </c>
      <c r="D569" s="128"/>
      <c r="E569" s="128"/>
      <c r="F569" s="128"/>
      <c r="G569" s="128"/>
      <c r="H569" s="128"/>
      <c r="I569" s="129"/>
      <c r="J569" s="121"/>
      <c r="K569" s="39">
        <f>K567+K568</f>
        <v>-2266890</v>
      </c>
      <c r="L569" s="114"/>
      <c r="M569" s="115"/>
      <c r="N569" s="116"/>
    </row>
    <row r="571" spans="1:14">
      <c r="I571" s="43" t="s">
        <v>53</v>
      </c>
      <c r="J571" s="43"/>
      <c r="K571" s="44"/>
    </row>
    <row r="572" spans="1:14" ht="15">
      <c r="A572" s="35">
        <v>10</v>
      </c>
      <c r="B572" s="35"/>
      <c r="C572" s="36" t="s">
        <v>54</v>
      </c>
      <c r="I572" s="44" t="s">
        <v>54</v>
      </c>
      <c r="J572" s="44"/>
      <c r="K572" s="44"/>
      <c r="L572" s="45">
        <v>-156997</v>
      </c>
    </row>
    <row r="573" spans="1:14" ht="15">
      <c r="A573" s="35">
        <v>8</v>
      </c>
      <c r="B573" s="35"/>
      <c r="C573" s="36" t="s">
        <v>40</v>
      </c>
      <c r="I573" s="44" t="s">
        <v>40</v>
      </c>
      <c r="J573" s="44"/>
      <c r="K573" s="44"/>
      <c r="L573" s="46"/>
    </row>
    <row r="574" spans="1:14" ht="15">
      <c r="I574" s="47" t="s">
        <v>55</v>
      </c>
      <c r="J574" s="47"/>
      <c r="L574" s="48">
        <f>K569-L572-L573</f>
        <v>-2109893</v>
      </c>
    </row>
    <row r="576" spans="1:14">
      <c r="A576" s="2"/>
      <c r="B576" s="2"/>
      <c r="H576" s="2"/>
    </row>
    <row r="577" spans="1:8">
      <c r="A577" s="2"/>
      <c r="B577" s="2"/>
      <c r="H577" s="2"/>
    </row>
    <row r="578" spans="1:8">
      <c r="A578" s="2"/>
      <c r="B578" s="2"/>
      <c r="H578" s="2"/>
    </row>
    <row r="579" spans="1:8">
      <c r="A579" s="2"/>
      <c r="B579" s="2"/>
      <c r="H579" s="2"/>
    </row>
    <row r="580" spans="1:8">
      <c r="A580" s="2"/>
      <c r="B580" s="2"/>
      <c r="H580" s="2"/>
    </row>
    <row r="581" spans="1:8">
      <c r="A581" s="2"/>
      <c r="B581" s="2"/>
      <c r="H581" s="2"/>
    </row>
    <row r="582" spans="1:8">
      <c r="A582" s="2"/>
      <c r="B582" s="2"/>
      <c r="H582" s="2"/>
    </row>
    <row r="583" spans="1:8">
      <c r="A583" s="2"/>
      <c r="B583" s="2"/>
      <c r="H583" s="2"/>
    </row>
    <row r="584" spans="1:8">
      <c r="A584" s="2"/>
      <c r="B584" s="2"/>
      <c r="H584" s="2"/>
    </row>
    <row r="585" spans="1:8">
      <c r="A585" s="2"/>
      <c r="B585" s="2"/>
      <c r="H585" s="2"/>
    </row>
    <row r="586" spans="1:8">
      <c r="A586" s="2"/>
      <c r="B586" s="2"/>
      <c r="H586" s="2"/>
    </row>
    <row r="587" spans="1:8">
      <c r="A587" s="2"/>
      <c r="B587" s="2"/>
      <c r="H587" s="2"/>
    </row>
    <row r="588" spans="1:8">
      <c r="A588" s="2"/>
      <c r="B588" s="2"/>
      <c r="H588" s="2"/>
    </row>
    <row r="589" spans="1:8">
      <c r="A589" s="2"/>
      <c r="B589" s="2"/>
      <c r="H589" s="2"/>
    </row>
    <row r="590" spans="1:8">
      <c r="A590" s="2"/>
      <c r="B590" s="2"/>
      <c r="H590" s="2"/>
    </row>
    <row r="591" spans="1:8">
      <c r="A591" s="2"/>
      <c r="B591" s="2"/>
      <c r="H591" s="2"/>
    </row>
    <row r="592" spans="1:8">
      <c r="A592" s="2"/>
      <c r="B592" s="2"/>
      <c r="H592" s="2"/>
    </row>
    <row r="593" spans="1:8">
      <c r="A593" s="2"/>
      <c r="B593" s="2"/>
      <c r="H593" s="2"/>
    </row>
    <row r="594" spans="1:8">
      <c r="A594" s="2"/>
      <c r="B594" s="2"/>
      <c r="H594" s="2"/>
    </row>
    <row r="595" spans="1:8">
      <c r="A595" s="2"/>
      <c r="B595" s="2"/>
      <c r="H595" s="2"/>
    </row>
    <row r="596" spans="1:8">
      <c r="A596" s="2"/>
      <c r="B596" s="2"/>
      <c r="H596" s="2"/>
    </row>
    <row r="597" spans="1:8">
      <c r="A597" s="2"/>
      <c r="B597" s="2"/>
      <c r="H597" s="2"/>
    </row>
    <row r="598" spans="1:8">
      <c r="A598" s="2"/>
      <c r="B598" s="2"/>
      <c r="H598" s="2"/>
    </row>
    <row r="599" spans="1:8">
      <c r="A599" s="2"/>
      <c r="B599" s="2"/>
      <c r="H599" s="2"/>
    </row>
    <row r="600" spans="1:8">
      <c r="A600" s="2"/>
      <c r="B600" s="2"/>
      <c r="H600" s="2"/>
    </row>
    <row r="601" spans="1:8">
      <c r="A601" s="2"/>
      <c r="B601" s="2"/>
      <c r="H601" s="2"/>
    </row>
    <row r="602" spans="1:8">
      <c r="A602" s="2"/>
      <c r="B602" s="2"/>
      <c r="H602" s="2"/>
    </row>
    <row r="603" spans="1:8">
      <c r="A603" s="2"/>
      <c r="B603" s="2"/>
      <c r="H603" s="2"/>
    </row>
    <row r="604" spans="1:8">
      <c r="A604" s="2"/>
      <c r="B604" s="2"/>
      <c r="H604" s="2"/>
    </row>
    <row r="605" spans="1:8">
      <c r="A605" s="2"/>
      <c r="B605" s="2"/>
      <c r="H605" s="2"/>
    </row>
    <row r="606" spans="1:8">
      <c r="A606" s="2"/>
      <c r="B606" s="2"/>
      <c r="H606" s="2"/>
    </row>
    <row r="607" spans="1:8">
      <c r="A607" s="2"/>
      <c r="B607" s="2"/>
      <c r="H607" s="2"/>
    </row>
    <row r="608" spans="1:8">
      <c r="A608" s="2"/>
      <c r="B608" s="2"/>
      <c r="H608" s="2"/>
    </row>
    <row r="609" spans="1:8">
      <c r="A609" s="2"/>
      <c r="B609" s="2"/>
      <c r="H609" s="2"/>
    </row>
    <row r="610" spans="1:8">
      <c r="A610" s="2"/>
      <c r="B610" s="2"/>
      <c r="H610" s="2"/>
    </row>
    <row r="611" spans="1:8">
      <c r="A611" s="2"/>
      <c r="B611" s="2"/>
      <c r="H611" s="2"/>
    </row>
    <row r="612" spans="1:8">
      <c r="A612" s="2"/>
      <c r="B612" s="2"/>
      <c r="H612" s="2"/>
    </row>
    <row r="613" spans="1:8">
      <c r="A613" s="2"/>
      <c r="B613" s="2"/>
      <c r="H613" s="2"/>
    </row>
    <row r="614" spans="1:8">
      <c r="A614" s="2"/>
      <c r="B614" s="2"/>
      <c r="H614" s="2"/>
    </row>
    <row r="615" spans="1:8">
      <c r="A615" s="2"/>
      <c r="B615" s="2"/>
      <c r="H615" s="2"/>
    </row>
    <row r="616" spans="1:8">
      <c r="A616" s="2"/>
      <c r="B616" s="2"/>
      <c r="H616" s="2"/>
    </row>
    <row r="617" spans="1:8">
      <c r="A617" s="2"/>
      <c r="B617" s="2"/>
      <c r="H617" s="2"/>
    </row>
    <row r="618" spans="1:8">
      <c r="A618" s="2"/>
      <c r="B618" s="2"/>
      <c r="H618" s="2"/>
    </row>
    <row r="619" spans="1:8">
      <c r="A619" s="2"/>
      <c r="B619" s="2"/>
      <c r="H619" s="2"/>
    </row>
    <row r="620" spans="1:8">
      <c r="A620" s="2"/>
      <c r="B620" s="2"/>
      <c r="H620" s="2"/>
    </row>
    <row r="621" spans="1:8">
      <c r="A621" s="2"/>
      <c r="B621" s="2"/>
      <c r="H621" s="2"/>
    </row>
    <row r="622" spans="1:8">
      <c r="A622" s="2"/>
      <c r="B622" s="2"/>
      <c r="H622" s="2"/>
    </row>
    <row r="623" spans="1:8">
      <c r="A623" s="2"/>
      <c r="B623" s="2"/>
      <c r="H623" s="2"/>
    </row>
    <row r="624" spans="1:8">
      <c r="A624" s="2"/>
      <c r="B624" s="2"/>
      <c r="H624" s="2"/>
    </row>
    <row r="625" spans="1:8">
      <c r="A625" s="2"/>
      <c r="B625" s="2"/>
      <c r="H625" s="2"/>
    </row>
    <row r="626" spans="1:8">
      <c r="A626" s="2"/>
      <c r="B626" s="2"/>
      <c r="H626" s="2"/>
    </row>
    <row r="627" spans="1:8">
      <c r="A627" s="2"/>
      <c r="B627" s="2"/>
      <c r="H627" s="2"/>
    </row>
    <row r="628" spans="1:8">
      <c r="A628" s="2"/>
      <c r="B628" s="2"/>
      <c r="H628" s="2"/>
    </row>
    <row r="629" spans="1:8">
      <c r="A629" s="2"/>
      <c r="B629" s="2"/>
      <c r="H629" s="2"/>
    </row>
    <row r="630" spans="1:8">
      <c r="A630" s="2"/>
      <c r="B630" s="2"/>
      <c r="H630" s="2"/>
    </row>
    <row r="631" spans="1:8">
      <c r="A631" s="2"/>
      <c r="B631" s="2"/>
      <c r="H631" s="2"/>
    </row>
    <row r="632" spans="1:8">
      <c r="A632" s="2"/>
      <c r="B632" s="2"/>
      <c r="H632" s="2"/>
    </row>
    <row r="633" spans="1:8">
      <c r="A633" s="2"/>
      <c r="B633" s="2"/>
      <c r="H633" s="2"/>
    </row>
    <row r="634" spans="1:8">
      <c r="A634" s="2"/>
      <c r="B634" s="2"/>
      <c r="H634" s="2"/>
    </row>
    <row r="635" spans="1:8">
      <c r="A635" s="2"/>
      <c r="B635" s="2"/>
      <c r="H635" s="2"/>
    </row>
  </sheetData>
  <mergeCells count="39">
    <mergeCell ref="A123:N123"/>
    <mergeCell ref="A9:N9"/>
    <mergeCell ref="A10:N10"/>
    <mergeCell ref="D14:G14"/>
    <mergeCell ref="B59:N60"/>
    <mergeCell ref="B62:N63"/>
    <mergeCell ref="B65:N65"/>
    <mergeCell ref="A71:N71"/>
    <mergeCell ref="A72:N72"/>
    <mergeCell ref="D76:G76"/>
    <mergeCell ref="A122:N122"/>
    <mergeCell ref="A431:N431"/>
    <mergeCell ref="A432:N432"/>
    <mergeCell ref="D127:G127"/>
    <mergeCell ref="A170:N170"/>
    <mergeCell ref="A171:N171"/>
    <mergeCell ref="D175:G175"/>
    <mergeCell ref="D353:G353"/>
    <mergeCell ref="A250:N250"/>
    <mergeCell ref="A251:N251"/>
    <mergeCell ref="D255:G255"/>
    <mergeCell ref="A301:N301"/>
    <mergeCell ref="A302:N302"/>
    <mergeCell ref="D306:G306"/>
    <mergeCell ref="A348:N348"/>
    <mergeCell ref="A349:N349"/>
    <mergeCell ref="C342:I342"/>
    <mergeCell ref="C343:I343"/>
    <mergeCell ref="C568:I568"/>
    <mergeCell ref="C569:I569"/>
    <mergeCell ref="A526:N526"/>
    <mergeCell ref="D436:G436"/>
    <mergeCell ref="C503:I503"/>
    <mergeCell ref="C504:I504"/>
    <mergeCell ref="A527:N527"/>
    <mergeCell ref="D531:G531"/>
    <mergeCell ref="B513:N514"/>
    <mergeCell ref="B516:N517"/>
    <mergeCell ref="B519:N519"/>
  </mergeCells>
  <pageMargins left="0.70866141732283472" right="0.70866141732283472" top="0.74803149606299213" bottom="0.74803149606299213" header="0.31496062992125984" footer="0.31496062992125984"/>
  <pageSetup scale="44" fitToHeight="6"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M202"/>
  <sheetViews>
    <sheetView topLeftCell="A60" workbookViewId="0">
      <selection activeCell="M96" sqref="M96"/>
    </sheetView>
  </sheetViews>
  <sheetFormatPr defaultRowHeight="15"/>
  <cols>
    <col min="3" max="3" width="39.5703125" bestFit="1" customWidth="1"/>
    <col min="4" max="4" width="12.5703125" bestFit="1" customWidth="1"/>
    <col min="5" max="5" width="12.28515625" bestFit="1" customWidth="1"/>
    <col min="6" max="6" width="12.5703125" bestFit="1" customWidth="1"/>
    <col min="7" max="7" width="27.28515625" bestFit="1" customWidth="1"/>
    <col min="9" max="9" width="30.140625" bestFit="1" customWidth="1"/>
    <col min="10" max="10" width="25.5703125" bestFit="1" customWidth="1"/>
    <col min="11" max="11" width="12.28515625" bestFit="1" customWidth="1"/>
    <col min="12" max="12" width="12.5703125" bestFit="1" customWidth="1"/>
    <col min="13" max="13" width="12.28515625" bestFit="1" customWidth="1"/>
  </cols>
  <sheetData>
    <row r="1" spans="1:13" ht="18">
      <c r="A1" s="130" t="s">
        <v>6</v>
      </c>
      <c r="B1" s="130"/>
      <c r="C1" s="130"/>
      <c r="D1" s="130"/>
      <c r="E1" s="130"/>
      <c r="F1" s="130"/>
      <c r="G1" s="130"/>
      <c r="H1" s="130"/>
      <c r="I1" s="130"/>
      <c r="J1" s="130"/>
      <c r="K1" s="130"/>
      <c r="L1" s="130"/>
      <c r="M1" s="130"/>
    </row>
    <row r="2" spans="1:13" ht="18">
      <c r="A2" s="130" t="s">
        <v>7</v>
      </c>
      <c r="B2" s="130"/>
      <c r="C2" s="130"/>
      <c r="D2" s="130"/>
      <c r="E2" s="130"/>
      <c r="F2" s="130"/>
      <c r="G2" s="130"/>
      <c r="H2" s="130"/>
      <c r="I2" s="130"/>
      <c r="J2" s="130"/>
      <c r="K2" s="130"/>
      <c r="L2" s="130"/>
      <c r="M2" s="130"/>
    </row>
    <row r="3" spans="1:13">
      <c r="A3" s="1"/>
      <c r="B3" s="1"/>
      <c r="C3" s="2"/>
      <c r="D3" s="2"/>
      <c r="E3" s="2"/>
      <c r="F3" s="2"/>
      <c r="G3" s="2"/>
      <c r="H3" s="3"/>
      <c r="I3" s="2"/>
      <c r="J3" s="2"/>
      <c r="K3" s="2"/>
      <c r="L3" s="2"/>
      <c r="M3" s="2"/>
    </row>
    <row r="4" spans="1:13">
      <c r="A4" s="1"/>
      <c r="B4" s="1"/>
      <c r="C4" s="10"/>
      <c r="D4" s="2" t="s">
        <v>72</v>
      </c>
      <c r="E4" s="11" t="s">
        <v>8</v>
      </c>
      <c r="F4" s="12">
        <v>2013</v>
      </c>
      <c r="G4" s="88" t="s">
        <v>73</v>
      </c>
      <c r="H4" s="3"/>
      <c r="I4" s="2"/>
      <c r="J4" s="2"/>
      <c r="K4" s="2"/>
      <c r="L4" s="2"/>
      <c r="M4" s="2"/>
    </row>
    <row r="5" spans="1:13">
      <c r="A5" s="1"/>
      <c r="B5" s="1"/>
      <c r="C5" s="2"/>
      <c r="D5" s="2"/>
      <c r="E5" s="2"/>
      <c r="F5" s="2"/>
      <c r="G5" s="2"/>
      <c r="H5" s="3"/>
      <c r="I5" s="2"/>
      <c r="J5" s="2"/>
      <c r="K5" s="2"/>
      <c r="L5" s="2"/>
      <c r="M5" s="2"/>
    </row>
    <row r="6" spans="1:13">
      <c r="A6" s="1"/>
      <c r="B6" s="1"/>
      <c r="C6" s="2"/>
      <c r="D6" s="137" t="s">
        <v>9</v>
      </c>
      <c r="E6" s="138"/>
      <c r="F6" s="138"/>
      <c r="G6" s="139"/>
      <c r="H6" s="3"/>
      <c r="I6" s="14"/>
      <c r="J6" s="15" t="s">
        <v>10</v>
      </c>
      <c r="K6" s="15"/>
      <c r="L6" s="16"/>
      <c r="M6" s="3"/>
    </row>
    <row r="7" spans="1:13" ht="26.25">
      <c r="A7" s="17" t="s">
        <v>11</v>
      </c>
      <c r="B7" s="18" t="s">
        <v>12</v>
      </c>
      <c r="C7" s="19" t="s">
        <v>13</v>
      </c>
      <c r="D7" s="17" t="s">
        <v>14</v>
      </c>
      <c r="E7" s="18" t="s">
        <v>15</v>
      </c>
      <c r="F7" s="18" t="s">
        <v>16</v>
      </c>
      <c r="G7" s="17" t="s">
        <v>17</v>
      </c>
      <c r="H7" s="20"/>
      <c r="I7" s="21" t="s">
        <v>14</v>
      </c>
      <c r="J7" s="22" t="s">
        <v>15</v>
      </c>
      <c r="K7" s="22" t="s">
        <v>16</v>
      </c>
      <c r="L7" s="23" t="s">
        <v>17</v>
      </c>
      <c r="M7" s="17" t="s">
        <v>18</v>
      </c>
    </row>
    <row r="8" spans="1:13" ht="25.5">
      <c r="A8" s="24">
        <v>12</v>
      </c>
      <c r="B8" s="24">
        <v>1611</v>
      </c>
      <c r="C8" s="25" t="s">
        <v>19</v>
      </c>
      <c r="D8" s="26">
        <f>'2-BA'!G129</f>
        <v>723669.2</v>
      </c>
      <c r="E8" s="26">
        <v>92110</v>
      </c>
      <c r="F8" s="26">
        <f>'[2]App.2-BA1_Fix Asset Cont.CGAAP'!F346</f>
        <v>0</v>
      </c>
      <c r="G8" s="27">
        <f t="shared" ref="G8:G38" si="0">D8+E8+F8</f>
        <v>815779.2</v>
      </c>
      <c r="H8" s="28"/>
      <c r="I8" s="26">
        <f>'2-BA'!M129</f>
        <v>-565560.48</v>
      </c>
      <c r="J8" s="26">
        <v>-63112</v>
      </c>
      <c r="K8" s="26">
        <f>'[2]App.2-BA1_Fix Asset Cont.CGAAP'!K346</f>
        <v>0</v>
      </c>
      <c r="L8" s="27">
        <f t="shared" ref="L8:L38" si="1">I8+J8+K8</f>
        <v>-628672.48</v>
      </c>
      <c r="M8" s="30">
        <f t="shared" ref="M8:M38" si="2">G8+L8</f>
        <v>187106.71999999997</v>
      </c>
    </row>
    <row r="9" spans="1:13">
      <c r="A9" s="31" t="s">
        <v>20</v>
      </c>
      <c r="B9" s="31">
        <v>1805</v>
      </c>
      <c r="C9" s="32" t="s">
        <v>21</v>
      </c>
      <c r="D9" s="26">
        <f>'2-BA'!G130</f>
        <v>1239823.1500000001</v>
      </c>
      <c r="E9" s="26">
        <v>12379</v>
      </c>
      <c r="F9" s="26">
        <v>-913473</v>
      </c>
      <c r="G9" s="27">
        <f t="shared" si="0"/>
        <v>338729.15000000014</v>
      </c>
      <c r="H9" s="28"/>
      <c r="I9" s="26">
        <f>'2-BA'!M130</f>
        <v>0</v>
      </c>
      <c r="J9" s="26">
        <v>0</v>
      </c>
      <c r="K9" s="26">
        <f>'[2]App.2-BA1_Fix Asset Cont.CGAAP'!K348</f>
        <v>0</v>
      </c>
      <c r="L9" s="27">
        <f t="shared" si="1"/>
        <v>0</v>
      </c>
      <c r="M9" s="30">
        <f t="shared" si="2"/>
        <v>338729.15000000014</v>
      </c>
    </row>
    <row r="10" spans="1:13">
      <c r="A10" s="24">
        <v>47</v>
      </c>
      <c r="B10" s="24">
        <v>1808</v>
      </c>
      <c r="C10" s="33" t="s">
        <v>22</v>
      </c>
      <c r="D10" s="26">
        <f>'2-BA'!G131</f>
        <v>1679203</v>
      </c>
      <c r="E10" s="26">
        <f>'[2]App.2-BA1_Fix Asset Cont.CGAAP'!E349</f>
        <v>0</v>
      </c>
      <c r="F10" s="26">
        <f>'[2]App.2-BA1_Fix Asset Cont.CGAAP'!F349</f>
        <v>0</v>
      </c>
      <c r="G10" s="27">
        <f t="shared" si="0"/>
        <v>1679203</v>
      </c>
      <c r="H10" s="28"/>
      <c r="I10" s="26">
        <f>'2-BA'!M131</f>
        <v>-1076163.76</v>
      </c>
      <c r="J10" s="26">
        <f>-29089-2466</f>
        <v>-31555</v>
      </c>
      <c r="K10" s="26">
        <f>'[2]App.2-BA1_Fix Asset Cont.CGAAP'!K349</f>
        <v>0</v>
      </c>
      <c r="L10" s="27">
        <f t="shared" si="1"/>
        <v>-1107718.76</v>
      </c>
      <c r="M10" s="30">
        <f t="shared" si="2"/>
        <v>571484.24</v>
      </c>
    </row>
    <row r="11" spans="1:13">
      <c r="A11" s="24">
        <v>47</v>
      </c>
      <c r="B11" s="24">
        <v>1820</v>
      </c>
      <c r="C11" s="25" t="s">
        <v>24</v>
      </c>
      <c r="D11" s="26">
        <f>'2-BA'!G133</f>
        <v>1745895.87</v>
      </c>
      <c r="E11" s="26">
        <v>0</v>
      </c>
      <c r="F11" s="26">
        <f>'[2]App.2-BA1_Fix Asset Cont.CGAAP'!F355</f>
        <v>0</v>
      </c>
      <c r="G11" s="27">
        <f t="shared" si="0"/>
        <v>1745895.87</v>
      </c>
      <c r="H11" s="28"/>
      <c r="I11" s="26">
        <f>'2-BA'!M133</f>
        <v>-1446935.4400000002</v>
      </c>
      <c r="J11" s="26">
        <v>-40423</v>
      </c>
      <c r="K11" s="26">
        <f>'[2]App.2-BA1_Fix Asset Cont.CGAAP'!K355</f>
        <v>0</v>
      </c>
      <c r="L11" s="27">
        <f t="shared" si="1"/>
        <v>-1487358.4400000002</v>
      </c>
      <c r="M11" s="30">
        <f t="shared" si="2"/>
        <v>258537.42999999993</v>
      </c>
    </row>
    <row r="12" spans="1:13">
      <c r="A12" s="24">
        <v>47</v>
      </c>
      <c r="B12" s="24">
        <v>1830</v>
      </c>
      <c r="C12" s="33" t="s">
        <v>25</v>
      </c>
      <c r="D12" s="26">
        <f>'2-BA'!G134</f>
        <v>12352236.689999999</v>
      </c>
      <c r="E12" s="26">
        <f>328409+137818+368789</f>
        <v>835016</v>
      </c>
      <c r="F12" s="26">
        <v>0</v>
      </c>
      <c r="G12" s="27">
        <f t="shared" si="0"/>
        <v>13187252.689999999</v>
      </c>
      <c r="H12" s="28"/>
      <c r="I12" s="26">
        <f>'2-BA'!M134</f>
        <v>-5543776.7100000009</v>
      </c>
      <c r="J12" s="26">
        <f>-239952-61304-300774</f>
        <v>-602030</v>
      </c>
      <c r="K12" s="26">
        <f>'[2]App.2-BA1_Fix Asset Cont.CGAAP'!K357</f>
        <v>0</v>
      </c>
      <c r="L12" s="27">
        <f t="shared" si="1"/>
        <v>-6145806.7100000009</v>
      </c>
      <c r="M12" s="30">
        <f t="shared" si="2"/>
        <v>7041445.9799999986</v>
      </c>
    </row>
    <row r="13" spans="1:13">
      <c r="A13" s="24">
        <v>47</v>
      </c>
      <c r="B13" s="24">
        <v>1835</v>
      </c>
      <c r="C13" s="33" t="s">
        <v>26</v>
      </c>
      <c r="D13" s="26">
        <f>'2-BA'!G135</f>
        <v>13955142.319999998</v>
      </c>
      <c r="E13" s="26">
        <f>463251+95450</f>
        <v>558701</v>
      </c>
      <c r="F13" s="26">
        <f>'[2]App.2-BA1_Fix Asset Cont.CGAAP'!F362</f>
        <v>0</v>
      </c>
      <c r="G13" s="27">
        <f t="shared" si="0"/>
        <v>14513843.319999998</v>
      </c>
      <c r="H13" s="28"/>
      <c r="I13" s="26">
        <f>'2-BA'!M135</f>
        <v>-6417271.4100000001</v>
      </c>
      <c r="J13" s="26">
        <f>-293973-19951-59547-8656-1871</f>
        <v>-383998</v>
      </c>
      <c r="K13" s="26">
        <f>'[2]App.2-BA1_Fix Asset Cont.CGAAP'!K362</f>
        <v>0</v>
      </c>
      <c r="L13" s="27">
        <f t="shared" si="1"/>
        <v>-6801269.4100000001</v>
      </c>
      <c r="M13" s="30">
        <f t="shared" si="2"/>
        <v>7712573.9099999983</v>
      </c>
    </row>
    <row r="14" spans="1:13">
      <c r="A14" s="24">
        <v>47</v>
      </c>
      <c r="B14" s="24">
        <v>1840</v>
      </c>
      <c r="C14" s="33" t="s">
        <v>27</v>
      </c>
      <c r="D14" s="26">
        <f>'2-BA'!G136</f>
        <v>6938248.2199999997</v>
      </c>
      <c r="E14" s="26">
        <f>154444+85353</f>
        <v>239797</v>
      </c>
      <c r="F14" s="26">
        <f>'[2]App.2-BA1_Fix Asset Cont.CGAAP'!F365</f>
        <v>0</v>
      </c>
      <c r="G14" s="27">
        <f t="shared" si="0"/>
        <v>7178045.2199999997</v>
      </c>
      <c r="H14" s="28"/>
      <c r="I14" s="26">
        <f>'2-BA'!M136</f>
        <v>-4335146.51</v>
      </c>
      <c r="J14" s="26">
        <f>-224336-62140</f>
        <v>-286476</v>
      </c>
      <c r="K14" s="26">
        <f>'[2]App.2-BA1_Fix Asset Cont.CGAAP'!K365</f>
        <v>0</v>
      </c>
      <c r="L14" s="27">
        <f t="shared" si="1"/>
        <v>-4621622.51</v>
      </c>
      <c r="M14" s="30">
        <f t="shared" si="2"/>
        <v>2556422.71</v>
      </c>
    </row>
    <row r="15" spans="1:13">
      <c r="A15" s="24">
        <v>47</v>
      </c>
      <c r="B15" s="24">
        <v>1845</v>
      </c>
      <c r="C15" s="33" t="s">
        <v>28</v>
      </c>
      <c r="D15" s="26">
        <f>'2-BA'!G137</f>
        <v>17047553.190000001</v>
      </c>
      <c r="E15" s="26">
        <f>939970+113626</f>
        <v>1053596</v>
      </c>
      <c r="F15" s="26">
        <f>'[2]App.2-BA1_Fix Asset Cont.CGAAP'!F368</f>
        <v>0</v>
      </c>
      <c r="G15" s="27">
        <f t="shared" si="0"/>
        <v>18101149.190000001</v>
      </c>
      <c r="H15" s="28"/>
      <c r="I15" s="26">
        <f>'2-BA'!M137</f>
        <v>-11330744.460000001</v>
      </c>
      <c r="J15" s="26">
        <f>-358415-132563-39568</f>
        <v>-530546</v>
      </c>
      <c r="K15" s="26">
        <f>'[2]App.2-BA1_Fix Asset Cont.CGAAP'!K368</f>
        <v>0</v>
      </c>
      <c r="L15" s="27">
        <f t="shared" si="1"/>
        <v>-11861290.460000001</v>
      </c>
      <c r="M15" s="30">
        <f t="shared" si="2"/>
        <v>6239858.7300000004</v>
      </c>
    </row>
    <row r="16" spans="1:13">
      <c r="A16" s="24">
        <v>47</v>
      </c>
      <c r="B16" s="24">
        <v>1850</v>
      </c>
      <c r="C16" s="33" t="s">
        <v>29</v>
      </c>
      <c r="D16" s="26">
        <f>'2-BA'!G138</f>
        <v>15344243.16</v>
      </c>
      <c r="E16" s="26">
        <f>62963+253535</f>
        <v>316498</v>
      </c>
      <c r="F16" s="26">
        <f>'[2]App.2-BA1_Fix Asset Cont.CGAAP'!F370</f>
        <v>0</v>
      </c>
      <c r="G16" s="27">
        <f t="shared" si="0"/>
        <v>15660741.16</v>
      </c>
      <c r="H16" s="28"/>
      <c r="I16" s="26">
        <f>'2-BA'!M138</f>
        <v>-9487461.7400000002</v>
      </c>
      <c r="J16" s="26">
        <f>-196449-238865</f>
        <v>-435314</v>
      </c>
      <c r="K16" s="26">
        <f>'[2]App.2-BA1_Fix Asset Cont.CGAAP'!K370</f>
        <v>0</v>
      </c>
      <c r="L16" s="27">
        <f t="shared" si="1"/>
        <v>-9922775.7400000002</v>
      </c>
      <c r="M16" s="30">
        <f t="shared" si="2"/>
        <v>5737965.4199999999</v>
      </c>
    </row>
    <row r="17" spans="1:13">
      <c r="A17" s="24">
        <v>47</v>
      </c>
      <c r="B17" s="24">
        <v>1855</v>
      </c>
      <c r="C17" s="33" t="s">
        <v>30</v>
      </c>
      <c r="D17" s="26">
        <f>'2-BA'!G139</f>
        <v>5213840.3100000005</v>
      </c>
      <c r="E17" s="26">
        <f>99907+14375</f>
        <v>114282</v>
      </c>
      <c r="F17" s="26">
        <f>'[2]App.2-BA1_Fix Asset Cont.CGAAP'!F373</f>
        <v>0</v>
      </c>
      <c r="G17" s="27">
        <f t="shared" si="0"/>
        <v>5328122.3100000005</v>
      </c>
      <c r="H17" s="28"/>
      <c r="I17" s="26">
        <f>'2-BA'!M139</f>
        <v>-3020112.53</v>
      </c>
      <c r="J17" s="26">
        <f>-130791-24647</f>
        <v>-155438</v>
      </c>
      <c r="K17" s="26">
        <f>'[2]App.2-BA1_Fix Asset Cont.CGAAP'!K373</f>
        <v>0</v>
      </c>
      <c r="L17" s="27">
        <f t="shared" si="1"/>
        <v>-3175550.53</v>
      </c>
      <c r="M17" s="30">
        <f t="shared" si="2"/>
        <v>2152571.7800000007</v>
      </c>
    </row>
    <row r="18" spans="1:13">
      <c r="A18" s="24">
        <v>47</v>
      </c>
      <c r="B18" s="24">
        <v>1860</v>
      </c>
      <c r="C18" s="33" t="s">
        <v>31</v>
      </c>
      <c r="D18" s="26">
        <f>'2-BA'!G140</f>
        <v>7521030.4299999997</v>
      </c>
      <c r="E18" s="26">
        <f>36988+21062+34059</f>
        <v>92109</v>
      </c>
      <c r="F18" s="26">
        <f>'[2]App.2-BA1_Fix Asset Cont.CGAAP'!F375</f>
        <v>0</v>
      </c>
      <c r="G18" s="27">
        <f t="shared" si="0"/>
        <v>7613139.4299999997</v>
      </c>
      <c r="H18" s="28"/>
      <c r="I18" s="26">
        <f>'2-BA'!M140</f>
        <v>-3176767.8</v>
      </c>
      <c r="J18" s="26">
        <f>-58420-12834-16095-8885-239373</f>
        <v>-335607</v>
      </c>
      <c r="K18" s="26">
        <f>'[2]App.2-BA1_Fix Asset Cont.CGAAP'!K375</f>
        <v>0</v>
      </c>
      <c r="L18" s="27">
        <f t="shared" si="1"/>
        <v>-3512374.8</v>
      </c>
      <c r="M18" s="30">
        <f t="shared" si="2"/>
        <v>4100764.63</v>
      </c>
    </row>
    <row r="19" spans="1:13">
      <c r="A19" s="31">
        <v>47</v>
      </c>
      <c r="B19" s="31">
        <v>1890</v>
      </c>
      <c r="C19" s="32" t="s">
        <v>32</v>
      </c>
      <c r="D19" s="26">
        <f>'2-BA'!G141</f>
        <v>489209.32000000007</v>
      </c>
      <c r="E19" s="26">
        <v>0</v>
      </c>
      <c r="F19" s="26">
        <v>-20263</v>
      </c>
      <c r="G19" s="27">
        <f t="shared" si="0"/>
        <v>468946.32000000007</v>
      </c>
      <c r="H19" s="28"/>
      <c r="I19" s="26">
        <f>'2-BA'!M141</f>
        <v>0</v>
      </c>
      <c r="J19" s="26">
        <v>0</v>
      </c>
      <c r="K19" s="26">
        <f>'[2]App.2-BA1_Fix Asset Cont.CGAAP'!K380</f>
        <v>0</v>
      </c>
      <c r="L19" s="27">
        <f t="shared" si="1"/>
        <v>0</v>
      </c>
      <c r="M19" s="30">
        <f t="shared" si="2"/>
        <v>468946.32000000007</v>
      </c>
    </row>
    <row r="20" spans="1:13">
      <c r="A20" s="31" t="s">
        <v>20</v>
      </c>
      <c r="B20" s="31">
        <v>1905</v>
      </c>
      <c r="C20" s="32" t="s">
        <v>21</v>
      </c>
      <c r="D20" s="26">
        <f>'2-BA'!G142</f>
        <v>17041.330000000002</v>
      </c>
      <c r="E20" s="26">
        <v>0</v>
      </c>
      <c r="F20" s="26">
        <f>'[2]App.2-BA1_Fix Asset Cont.CGAAP'!F381</f>
        <v>0</v>
      </c>
      <c r="G20" s="27">
        <f t="shared" si="0"/>
        <v>17041.330000000002</v>
      </c>
      <c r="H20" s="28"/>
      <c r="I20" s="26">
        <f>'2-BA'!M142</f>
        <v>-17041.330000000002</v>
      </c>
      <c r="J20" s="26">
        <v>0</v>
      </c>
      <c r="K20" s="26">
        <f>'[2]App.2-BA1_Fix Asset Cont.CGAAP'!K381</f>
        <v>0</v>
      </c>
      <c r="L20" s="27">
        <f t="shared" si="1"/>
        <v>-17041.330000000002</v>
      </c>
      <c r="M20" s="30">
        <f t="shared" si="2"/>
        <v>0</v>
      </c>
    </row>
    <row r="21" spans="1:13">
      <c r="A21" s="24">
        <v>47</v>
      </c>
      <c r="B21" s="24">
        <v>1908</v>
      </c>
      <c r="C21" s="33" t="s">
        <v>33</v>
      </c>
      <c r="D21" s="26">
        <f>'2-BA'!G143</f>
        <v>532191.07999999996</v>
      </c>
      <c r="E21" s="26">
        <f>38227+7732</f>
        <v>45959</v>
      </c>
      <c r="F21" s="26">
        <f>'[2]App.2-BA1_Fix Asset Cont.CGAAP'!F383</f>
        <v>0</v>
      </c>
      <c r="G21" s="27">
        <f t="shared" si="0"/>
        <v>578150.07999999996</v>
      </c>
      <c r="H21" s="28"/>
      <c r="I21" s="26">
        <f>'2-BA'!M143</f>
        <v>-100613.76999999999</v>
      </c>
      <c r="J21" s="26">
        <f>-13590-7702</f>
        <v>-21292</v>
      </c>
      <c r="K21" s="26">
        <f>'[2]App.2-BA1_Fix Asset Cont.CGAAP'!K383</f>
        <v>0</v>
      </c>
      <c r="L21" s="27">
        <f t="shared" si="1"/>
        <v>-121905.76999999999</v>
      </c>
      <c r="M21" s="30">
        <f t="shared" si="2"/>
        <v>456244.30999999994</v>
      </c>
    </row>
    <row r="22" spans="1:13">
      <c r="A22" s="24">
        <v>13</v>
      </c>
      <c r="B22" s="24">
        <v>1910</v>
      </c>
      <c r="C22" s="33" t="s">
        <v>34</v>
      </c>
      <c r="D22" s="26">
        <f>'2-BA'!G144</f>
        <v>21798.12</v>
      </c>
      <c r="E22" s="26">
        <v>0</v>
      </c>
      <c r="F22" s="26">
        <f>'[2]App.2-BA1_Fix Asset Cont.CGAAP'!F384</f>
        <v>0</v>
      </c>
      <c r="G22" s="27">
        <f t="shared" si="0"/>
        <v>21798.12</v>
      </c>
      <c r="H22" s="28"/>
      <c r="I22" s="26">
        <f>'2-BA'!M144</f>
        <v>-21798.12</v>
      </c>
      <c r="J22" s="26">
        <v>0</v>
      </c>
      <c r="K22" s="26">
        <f>'[2]App.2-BA1_Fix Asset Cont.CGAAP'!K384</f>
        <v>0</v>
      </c>
      <c r="L22" s="27">
        <f t="shared" si="1"/>
        <v>-21798.12</v>
      </c>
      <c r="M22" s="30">
        <f t="shared" si="2"/>
        <v>0</v>
      </c>
    </row>
    <row r="23" spans="1:13">
      <c r="A23" s="24">
        <v>8</v>
      </c>
      <c r="B23" s="24">
        <v>1915</v>
      </c>
      <c r="C23" s="33" t="s">
        <v>35</v>
      </c>
      <c r="D23" s="26">
        <f>'2-BA'!G145</f>
        <v>381569.15</v>
      </c>
      <c r="E23" s="26">
        <v>3684</v>
      </c>
      <c r="F23" s="26">
        <f>'[2]App.2-BA1_Fix Asset Cont.CGAAP'!F385</f>
        <v>0</v>
      </c>
      <c r="G23" s="27">
        <f t="shared" si="0"/>
        <v>385253.15</v>
      </c>
      <c r="H23" s="28"/>
      <c r="I23" s="26">
        <f>'2-BA'!M145</f>
        <v>-343299.76</v>
      </c>
      <c r="J23" s="26">
        <v>-5828</v>
      </c>
      <c r="K23" s="26">
        <f>'[2]App.2-BA1_Fix Asset Cont.CGAAP'!K385</f>
        <v>0</v>
      </c>
      <c r="L23" s="27">
        <f t="shared" si="1"/>
        <v>-349127.76</v>
      </c>
      <c r="M23" s="30">
        <f t="shared" si="2"/>
        <v>36125.390000000014</v>
      </c>
    </row>
    <row r="24" spans="1:13">
      <c r="A24" s="24">
        <v>10</v>
      </c>
      <c r="B24" s="24">
        <v>1920</v>
      </c>
      <c r="C24" s="33" t="s">
        <v>36</v>
      </c>
      <c r="D24" s="26">
        <f>'2-BA'!G146</f>
        <v>540191.49000000011</v>
      </c>
      <c r="E24" s="26">
        <v>0</v>
      </c>
      <c r="F24" s="26">
        <f>'[2]App.2-BA1_Fix Asset Cont.CGAAP'!F387</f>
        <v>0</v>
      </c>
      <c r="G24" s="27">
        <f t="shared" si="0"/>
        <v>540191.49000000011</v>
      </c>
      <c r="H24" s="28"/>
      <c r="I24" s="26">
        <f>'2-BA'!M146</f>
        <v>-540191.49</v>
      </c>
      <c r="J24" s="26">
        <v>0</v>
      </c>
      <c r="K24" s="26">
        <f>'[2]App.2-BA1_Fix Asset Cont.CGAAP'!K387</f>
        <v>0</v>
      </c>
      <c r="L24" s="27">
        <f t="shared" si="1"/>
        <v>-540191.49</v>
      </c>
      <c r="M24" s="30">
        <f t="shared" si="2"/>
        <v>0</v>
      </c>
    </row>
    <row r="25" spans="1:13">
      <c r="A25" s="24">
        <v>45</v>
      </c>
      <c r="B25" s="34">
        <v>1920</v>
      </c>
      <c r="C25" s="25" t="s">
        <v>37</v>
      </c>
      <c r="D25" s="26">
        <f>'2-BA'!G147</f>
        <v>75673.850000000006</v>
      </c>
      <c r="E25" s="26">
        <v>0</v>
      </c>
      <c r="F25" s="26">
        <f>'[2]App.2-BA1_Fix Asset Cont.CGAAP'!F388</f>
        <v>0</v>
      </c>
      <c r="G25" s="27">
        <f t="shared" si="0"/>
        <v>75673.850000000006</v>
      </c>
      <c r="H25" s="28"/>
      <c r="I25" s="26">
        <f>'2-BA'!M147</f>
        <v>-75673.850000000006</v>
      </c>
      <c r="J25" s="26">
        <v>0</v>
      </c>
      <c r="K25" s="26">
        <f>'[2]App.2-BA1_Fix Asset Cont.CGAAP'!K388</f>
        <v>0</v>
      </c>
      <c r="L25" s="27">
        <f t="shared" si="1"/>
        <v>-75673.850000000006</v>
      </c>
      <c r="M25" s="30">
        <f t="shared" si="2"/>
        <v>0</v>
      </c>
    </row>
    <row r="26" spans="1:13">
      <c r="A26" s="24">
        <v>45.1</v>
      </c>
      <c r="B26" s="34">
        <v>1920</v>
      </c>
      <c r="C26" s="25" t="s">
        <v>38</v>
      </c>
      <c r="D26" s="26">
        <f>'2-BA'!G148</f>
        <v>484082.00000000006</v>
      </c>
      <c r="E26" s="26">
        <v>210756</v>
      </c>
      <c r="F26" s="26">
        <v>0</v>
      </c>
      <c r="G26" s="27">
        <f t="shared" si="0"/>
        <v>694838</v>
      </c>
      <c r="H26" s="28"/>
      <c r="I26" s="26">
        <f>'2-BA'!M148</f>
        <v>-360828.71</v>
      </c>
      <c r="J26" s="26">
        <v>-64314</v>
      </c>
      <c r="K26" s="26">
        <f>'[2]App.2-BA1_Fix Asset Cont.CGAAP'!K389</f>
        <v>0</v>
      </c>
      <c r="L26" s="27">
        <f t="shared" si="1"/>
        <v>-425142.71</v>
      </c>
      <c r="M26" s="30">
        <f t="shared" si="2"/>
        <v>269695.28999999998</v>
      </c>
    </row>
    <row r="27" spans="1:13">
      <c r="A27" s="24">
        <v>10</v>
      </c>
      <c r="B27" s="24">
        <v>1930</v>
      </c>
      <c r="C27" s="33" t="s">
        <v>39</v>
      </c>
      <c r="D27" s="26">
        <f>'2-BA'!G149</f>
        <v>3056370.21</v>
      </c>
      <c r="E27" s="26">
        <v>32154</v>
      </c>
      <c r="F27" s="26">
        <v>-30930</v>
      </c>
      <c r="G27" s="27">
        <f t="shared" si="0"/>
        <v>3057594.21</v>
      </c>
      <c r="H27" s="28"/>
      <c r="I27" s="26">
        <f>'2-BA'!M149</f>
        <v>-2072728.9600000002</v>
      </c>
      <c r="J27" s="26">
        <f>-225593-19940</f>
        <v>-245533</v>
      </c>
      <c r="K27" s="26">
        <v>30930</v>
      </c>
      <c r="L27" s="27">
        <f t="shared" si="1"/>
        <v>-2287331.96</v>
      </c>
      <c r="M27" s="30">
        <f t="shared" si="2"/>
        <v>770262.25</v>
      </c>
    </row>
    <row r="28" spans="1:13">
      <c r="A28" s="24">
        <v>8</v>
      </c>
      <c r="B28" s="24">
        <v>1935</v>
      </c>
      <c r="C28" s="33" t="s">
        <v>40</v>
      </c>
      <c r="D28" s="26">
        <f>'2-BA'!G150</f>
        <v>36199.29</v>
      </c>
      <c r="E28" s="26">
        <v>0</v>
      </c>
      <c r="F28" s="26">
        <f>'[2]App.2-BA1_Fix Asset Cont.CGAAP'!F392</f>
        <v>0</v>
      </c>
      <c r="G28" s="27">
        <f t="shared" si="0"/>
        <v>36199.29</v>
      </c>
      <c r="H28" s="28"/>
      <c r="I28" s="26">
        <f>'2-BA'!M150</f>
        <v>-36199.29</v>
      </c>
      <c r="J28" s="26">
        <v>0</v>
      </c>
      <c r="K28" s="26">
        <f>'[2]App.2-BA1_Fix Asset Cont.CGAAP'!K392</f>
        <v>0</v>
      </c>
      <c r="L28" s="27">
        <f t="shared" si="1"/>
        <v>-36199.29</v>
      </c>
      <c r="M28" s="30">
        <f t="shared" si="2"/>
        <v>0</v>
      </c>
    </row>
    <row r="29" spans="1:13">
      <c r="A29" s="24">
        <v>8</v>
      </c>
      <c r="B29" s="24">
        <v>1940</v>
      </c>
      <c r="C29" s="33" t="s">
        <v>41</v>
      </c>
      <c r="D29" s="26">
        <f>'2-BA'!G151</f>
        <v>805780.91</v>
      </c>
      <c r="E29" s="26">
        <v>20797</v>
      </c>
      <c r="F29" s="26">
        <f>'[2]App.2-BA1_Fix Asset Cont.CGAAP'!F393</f>
        <v>0</v>
      </c>
      <c r="G29" s="27">
        <f t="shared" si="0"/>
        <v>826577.91</v>
      </c>
      <c r="H29" s="28"/>
      <c r="I29" s="26">
        <f>'2-BA'!M151</f>
        <v>-664501.1100000001</v>
      </c>
      <c r="J29" s="26">
        <v>-29740</v>
      </c>
      <c r="K29" s="26">
        <f>'[2]App.2-BA1_Fix Asset Cont.CGAAP'!K393</f>
        <v>0</v>
      </c>
      <c r="L29" s="27">
        <f t="shared" si="1"/>
        <v>-694241.1100000001</v>
      </c>
      <c r="M29" s="30">
        <f t="shared" si="2"/>
        <v>132336.79999999993</v>
      </c>
    </row>
    <row r="30" spans="1:13">
      <c r="A30" s="24">
        <v>8</v>
      </c>
      <c r="B30" s="24">
        <v>1945</v>
      </c>
      <c r="C30" s="33" t="s">
        <v>42</v>
      </c>
      <c r="D30" s="26">
        <f>'2-BA'!G152</f>
        <v>39169.78</v>
      </c>
      <c r="E30" s="26">
        <v>0</v>
      </c>
      <c r="F30" s="26">
        <f>'[2]App.2-BA1_Fix Asset Cont.CGAAP'!F394</f>
        <v>0</v>
      </c>
      <c r="G30" s="27">
        <f t="shared" si="0"/>
        <v>39169.78</v>
      </c>
      <c r="H30" s="28"/>
      <c r="I30" s="26">
        <f>'2-BA'!M152</f>
        <v>-26291.16</v>
      </c>
      <c r="J30" s="26">
        <v>-3220</v>
      </c>
      <c r="K30" s="26">
        <f>'[2]App.2-BA1_Fix Asset Cont.CGAAP'!K394</f>
        <v>0</v>
      </c>
      <c r="L30" s="27">
        <f t="shared" si="1"/>
        <v>-29511.16</v>
      </c>
      <c r="M30" s="30">
        <f t="shared" si="2"/>
        <v>9658.619999999999</v>
      </c>
    </row>
    <row r="31" spans="1:13">
      <c r="A31" s="24">
        <v>8</v>
      </c>
      <c r="B31" s="24">
        <v>1955</v>
      </c>
      <c r="C31" s="33" t="s">
        <v>43</v>
      </c>
      <c r="D31" s="26">
        <f>'2-BA'!G153</f>
        <v>106527.86</v>
      </c>
      <c r="E31" s="26">
        <v>0</v>
      </c>
      <c r="F31" s="26">
        <f>'[2]App.2-BA1_Fix Asset Cont.CGAAP'!F396</f>
        <v>0</v>
      </c>
      <c r="G31" s="27">
        <f t="shared" si="0"/>
        <v>106527.86</v>
      </c>
      <c r="H31" s="28"/>
      <c r="I31" s="26">
        <f>'2-BA'!M153</f>
        <v>-105866.3</v>
      </c>
      <c r="J31" s="26">
        <v>-295</v>
      </c>
      <c r="K31" s="26">
        <f>'[2]App.2-BA1_Fix Asset Cont.CGAAP'!K396</f>
        <v>0</v>
      </c>
      <c r="L31" s="27">
        <f t="shared" si="1"/>
        <v>-106161.3</v>
      </c>
      <c r="M31" s="30">
        <f t="shared" si="2"/>
        <v>366.55999999999767</v>
      </c>
    </row>
    <row r="32" spans="1:13">
      <c r="A32" s="34">
        <v>8</v>
      </c>
      <c r="B32" s="34">
        <v>1960</v>
      </c>
      <c r="C32" s="25" t="s">
        <v>44</v>
      </c>
      <c r="D32" s="26">
        <f>'2-BA'!G154</f>
        <v>7842.42</v>
      </c>
      <c r="E32" s="26">
        <v>0</v>
      </c>
      <c r="F32" s="26">
        <f>'[2]App.2-BA1_Fix Asset Cont.CGAAP'!F398</f>
        <v>0</v>
      </c>
      <c r="G32" s="27">
        <f t="shared" si="0"/>
        <v>7842.42</v>
      </c>
      <c r="H32" s="28"/>
      <c r="I32" s="26">
        <f>'2-BA'!M154</f>
        <v>-3921.2199999999993</v>
      </c>
      <c r="J32" s="26">
        <v>-784</v>
      </c>
      <c r="K32" s="26">
        <f>'[2]App.2-BA1_Fix Asset Cont.CGAAP'!K398</f>
        <v>0</v>
      </c>
      <c r="L32" s="27">
        <f t="shared" si="1"/>
        <v>-4705.2199999999993</v>
      </c>
      <c r="M32" s="30">
        <f t="shared" si="2"/>
        <v>3137.2000000000007</v>
      </c>
    </row>
    <row r="33" spans="1:13" ht="25.5">
      <c r="A33" s="1">
        <v>47</v>
      </c>
      <c r="B33" s="34">
        <v>1970</v>
      </c>
      <c r="C33" s="33" t="s">
        <v>45</v>
      </c>
      <c r="D33" s="26">
        <f>'2-BA'!G155</f>
        <v>245119.26</v>
      </c>
      <c r="E33" s="26">
        <v>0</v>
      </c>
      <c r="F33" s="26">
        <v>0</v>
      </c>
      <c r="G33" s="27">
        <f t="shared" si="0"/>
        <v>245119.26</v>
      </c>
      <c r="H33" s="28"/>
      <c r="I33" s="26">
        <f>'2-BA'!M155</f>
        <v>-176672.14</v>
      </c>
      <c r="J33" s="26">
        <v>-24512</v>
      </c>
      <c r="K33" s="26">
        <v>0</v>
      </c>
      <c r="L33" s="27">
        <f t="shared" si="1"/>
        <v>-201184.14</v>
      </c>
      <c r="M33" s="30">
        <f t="shared" si="2"/>
        <v>43935.119999999995</v>
      </c>
    </row>
    <row r="34" spans="1:13">
      <c r="A34" s="24">
        <v>47</v>
      </c>
      <c r="B34" s="24">
        <v>1980</v>
      </c>
      <c r="C34" s="33" t="s">
        <v>46</v>
      </c>
      <c r="D34" s="26">
        <f>'2-BA'!G156</f>
        <v>353503.71</v>
      </c>
      <c r="E34" s="26">
        <v>23847</v>
      </c>
      <c r="F34" s="26">
        <f>'[2]App.2-BA1_Fix Asset Cont.CGAAP'!F401</f>
        <v>0</v>
      </c>
      <c r="G34" s="27">
        <f t="shared" si="0"/>
        <v>377350.71</v>
      </c>
      <c r="H34" s="28"/>
      <c r="I34" s="26">
        <f>'2-BA'!M156</f>
        <v>-253227.71000000002</v>
      </c>
      <c r="J34" s="26">
        <v>-17476</v>
      </c>
      <c r="K34" s="26">
        <f>'[2]App.2-BA1_Fix Asset Cont.CGAAP'!K401</f>
        <v>0</v>
      </c>
      <c r="L34" s="27">
        <f t="shared" si="1"/>
        <v>-270703.71000000002</v>
      </c>
      <c r="M34" s="30">
        <f t="shared" si="2"/>
        <v>106647</v>
      </c>
    </row>
    <row r="35" spans="1:13">
      <c r="A35" s="24">
        <v>47</v>
      </c>
      <c r="B35" s="24">
        <v>1995</v>
      </c>
      <c r="C35" s="33" t="s">
        <v>47</v>
      </c>
      <c r="D35" s="26">
        <f>'2-BA'!G157</f>
        <v>-4747714.6700000009</v>
      </c>
      <c r="E35" s="26">
        <v>-148758</v>
      </c>
      <c r="F35" s="26">
        <f>'[2]App.2-BA1_Fix Asset Cont.CGAAP'!F404</f>
        <v>0</v>
      </c>
      <c r="G35" s="27">
        <f t="shared" si="0"/>
        <v>-4896472.6700000009</v>
      </c>
      <c r="H35" s="28"/>
      <c r="I35" s="26">
        <f>'2-BA'!M157</f>
        <v>1299486.7</v>
      </c>
      <c r="J35" s="26">
        <v>192884</v>
      </c>
      <c r="K35" s="26">
        <f>'[2]App.2-BA1_Fix Asset Cont.CGAAP'!K404</f>
        <v>0</v>
      </c>
      <c r="L35" s="27">
        <f t="shared" si="1"/>
        <v>1492370.7</v>
      </c>
      <c r="M35" s="30">
        <f t="shared" si="2"/>
        <v>-3404101.9700000007</v>
      </c>
    </row>
    <row r="36" spans="1:13">
      <c r="A36" s="24">
        <v>14</v>
      </c>
      <c r="B36" s="24">
        <v>1609</v>
      </c>
      <c r="C36" s="33" t="s">
        <v>61</v>
      </c>
      <c r="D36" s="26">
        <f>'2-BA'!G158</f>
        <v>535630</v>
      </c>
      <c r="E36" s="26">
        <v>1610864</v>
      </c>
      <c r="F36" s="26">
        <v>-436468</v>
      </c>
      <c r="G36" s="27">
        <f t="shared" si="0"/>
        <v>1710026</v>
      </c>
      <c r="H36" s="28"/>
      <c r="I36" s="26">
        <f>'2-BA'!M158</f>
        <v>0</v>
      </c>
      <c r="J36" s="26">
        <v>-18278</v>
      </c>
      <c r="K36" s="26">
        <f>'[2]App.2-BA1_Fix Asset Cont.CGAAP'!K405</f>
        <v>0</v>
      </c>
      <c r="L36" s="27">
        <f t="shared" si="1"/>
        <v>-18278</v>
      </c>
      <c r="M36" s="30">
        <f t="shared" si="2"/>
        <v>1691748</v>
      </c>
    </row>
    <row r="37" spans="1:13">
      <c r="A37" s="35">
        <v>43.2</v>
      </c>
      <c r="B37" s="35">
        <v>2075</v>
      </c>
      <c r="C37" s="36" t="s">
        <v>48</v>
      </c>
      <c r="D37" s="26">
        <f>'2-BA'!G159</f>
        <v>294688.49</v>
      </c>
      <c r="E37" s="26">
        <f>'[2]App.2-BA1_Fix Asset Cont.CGAAP'!E406</f>
        <v>0</v>
      </c>
      <c r="F37" s="26">
        <f>'[2]App.2-BA1_Fix Asset Cont.CGAAP'!F406</f>
        <v>0</v>
      </c>
      <c r="G37" s="27">
        <f t="shared" si="0"/>
        <v>294688.49</v>
      </c>
      <c r="H37" s="28"/>
      <c r="I37" s="26">
        <f>'2-BA'!M159</f>
        <v>-22101.63</v>
      </c>
      <c r="J37" s="26">
        <v>-14734</v>
      </c>
      <c r="K37" s="26">
        <f>'[2]App.2-BA1_Fix Asset Cont.CGAAP'!K406</f>
        <v>0</v>
      </c>
      <c r="L37" s="27">
        <f t="shared" si="1"/>
        <v>-36835.630000000005</v>
      </c>
      <c r="M37" s="30">
        <f t="shared" si="2"/>
        <v>257852.86</v>
      </c>
    </row>
    <row r="38" spans="1:13">
      <c r="A38" s="35">
        <v>47</v>
      </c>
      <c r="B38" s="35">
        <v>2055</v>
      </c>
      <c r="C38" s="36" t="s">
        <v>62</v>
      </c>
      <c r="D38" s="26">
        <f>'2-BA'!G160</f>
        <v>8113559</v>
      </c>
      <c r="E38" s="26">
        <v>5850974</v>
      </c>
      <c r="F38" s="26">
        <v>-13964533</v>
      </c>
      <c r="G38" s="27">
        <f t="shared" si="0"/>
        <v>0</v>
      </c>
      <c r="H38" s="28"/>
      <c r="I38" s="26">
        <f>'2-BA'!M160</f>
        <v>0</v>
      </c>
      <c r="J38" s="26">
        <v>0</v>
      </c>
      <c r="K38" s="26">
        <f>'[2]App.2-BA1_Fix Asset Cont.CGAAP'!K407</f>
        <v>0</v>
      </c>
      <c r="L38" s="27">
        <f t="shared" si="1"/>
        <v>0</v>
      </c>
      <c r="M38" s="30">
        <f t="shared" si="2"/>
        <v>0</v>
      </c>
    </row>
    <row r="39" spans="1:13">
      <c r="A39" s="35"/>
      <c r="B39" s="35"/>
      <c r="C39" s="38" t="s">
        <v>49</v>
      </c>
      <c r="D39" s="39">
        <f>SUM(D8:D38)</f>
        <v>95149318.139999971</v>
      </c>
      <c r="E39" s="39">
        <f>SUM(E8:E38)</f>
        <v>10964765</v>
      </c>
      <c r="F39" s="39">
        <f>SUM(F8:F38)</f>
        <v>-15365667</v>
      </c>
      <c r="G39" s="39">
        <f>SUM(G8:G38)</f>
        <v>90748416.139999971</v>
      </c>
      <c r="H39" s="39"/>
      <c r="I39" s="39">
        <f>SUM(I8:I38)</f>
        <v>-49921410.689999998</v>
      </c>
      <c r="J39" s="39">
        <f>SUM(J8:J38)</f>
        <v>-3117621</v>
      </c>
      <c r="K39" s="39">
        <f>SUM(K8:K38)</f>
        <v>30930</v>
      </c>
      <c r="L39" s="39">
        <f>SUM(L8:L38)</f>
        <v>-53008101.689999998</v>
      </c>
      <c r="M39" s="39">
        <f>SUM(M8:M38)</f>
        <v>37740314.450000003</v>
      </c>
    </row>
    <row r="40" spans="1:13" ht="25.5">
      <c r="A40" s="35"/>
      <c r="B40" s="35"/>
      <c r="C40" s="40" t="s">
        <v>50</v>
      </c>
      <c r="D40" s="26">
        <v>0</v>
      </c>
      <c r="E40" s="37"/>
      <c r="F40" s="37"/>
      <c r="G40" s="27">
        <f>D40+E40+F40</f>
        <v>0</v>
      </c>
      <c r="H40" s="28"/>
      <c r="I40" s="29">
        <f>'2-BA'!M237</f>
        <v>0</v>
      </c>
      <c r="J40" s="37"/>
      <c r="K40" s="37"/>
      <c r="L40" s="27">
        <f>I40+J40+K40</f>
        <v>0</v>
      </c>
      <c r="M40" s="30">
        <f>G40+L40</f>
        <v>0</v>
      </c>
    </row>
    <row r="41" spans="1:13" ht="25.5">
      <c r="A41" s="35"/>
      <c r="B41" s="35"/>
      <c r="C41" s="41" t="s">
        <v>51</v>
      </c>
      <c r="D41" s="26">
        <v>-9853163</v>
      </c>
      <c r="E41" s="42">
        <v>-5756000</v>
      </c>
      <c r="F41" s="42">
        <f>-F38-F37-F36-F9</f>
        <v>15314474</v>
      </c>
      <c r="G41" s="27">
        <f>D41+E41+F41</f>
        <v>-294689</v>
      </c>
      <c r="H41" s="28"/>
      <c r="I41" s="29">
        <v>22102</v>
      </c>
      <c r="J41" s="42">
        <v>14734</v>
      </c>
      <c r="K41" s="37"/>
      <c r="L41" s="27">
        <f>I41+J41+K41</f>
        <v>36836</v>
      </c>
      <c r="M41" s="30">
        <f>G41+L41</f>
        <v>-257853</v>
      </c>
    </row>
    <row r="42" spans="1:13">
      <c r="A42" s="35"/>
      <c r="B42" s="35"/>
      <c r="C42" s="38" t="s">
        <v>52</v>
      </c>
      <c r="D42" s="39">
        <f>SUM(D39:D41)</f>
        <v>85296155.139999971</v>
      </c>
      <c r="E42" s="39">
        <f>SUM(E39:E41)</f>
        <v>5208765</v>
      </c>
      <c r="F42" s="39">
        <f>SUM(F39:F41)</f>
        <v>-51193</v>
      </c>
      <c r="G42" s="39">
        <f>SUM(G39:G41)</f>
        <v>90453727.139999971</v>
      </c>
      <c r="H42" s="39"/>
      <c r="I42" s="39">
        <f>SUM(I39:I41)</f>
        <v>-49899308.689999998</v>
      </c>
      <c r="J42" s="39">
        <f>SUM(J39:J41)</f>
        <v>-3102887</v>
      </c>
      <c r="K42" s="39">
        <f>SUM(K39:K41)</f>
        <v>30930</v>
      </c>
      <c r="L42" s="39">
        <f>SUM(L39:L41)</f>
        <v>-52971265.689999998</v>
      </c>
      <c r="M42" s="39">
        <f>SUM(M39:M41)</f>
        <v>37482461.450000003</v>
      </c>
    </row>
    <row r="43" spans="1:13">
      <c r="A43" s="1"/>
      <c r="B43" s="1"/>
      <c r="C43" s="2"/>
      <c r="D43" s="2"/>
      <c r="E43" s="2"/>
      <c r="F43" s="2"/>
      <c r="G43" s="2"/>
      <c r="H43" s="3"/>
      <c r="I43" s="2"/>
      <c r="J43" s="2"/>
      <c r="K43" s="2"/>
      <c r="L43" s="2"/>
      <c r="M43" s="2"/>
    </row>
    <row r="44" spans="1:13">
      <c r="A44" s="1"/>
      <c r="B44" s="1"/>
      <c r="C44" s="2"/>
      <c r="D44" s="2"/>
      <c r="E44" s="2"/>
      <c r="F44" s="2"/>
      <c r="G44" s="2"/>
      <c r="H44" s="3"/>
      <c r="I44" s="43" t="s">
        <v>53</v>
      </c>
      <c r="J44" s="44"/>
      <c r="K44" s="2"/>
      <c r="L44" s="2"/>
      <c r="M44" s="2"/>
    </row>
    <row r="45" spans="1:13">
      <c r="A45" s="35">
        <v>10</v>
      </c>
      <c r="B45" s="35"/>
      <c r="C45" s="36" t="s">
        <v>54</v>
      </c>
      <c r="D45" s="2"/>
      <c r="E45" s="2"/>
      <c r="F45" s="2"/>
      <c r="G45" s="2"/>
      <c r="H45" s="3"/>
      <c r="I45" s="44" t="s">
        <v>54</v>
      </c>
      <c r="J45" s="44"/>
      <c r="K45" s="45"/>
      <c r="L45" s="2"/>
      <c r="M45" s="2"/>
    </row>
    <row r="46" spans="1:13">
      <c r="A46" s="35">
        <v>8</v>
      </c>
      <c r="B46" s="35"/>
      <c r="C46" s="36" t="s">
        <v>40</v>
      </c>
      <c r="D46" s="2"/>
      <c r="E46" s="2"/>
      <c r="F46" s="2"/>
      <c r="G46" s="2"/>
      <c r="H46" s="3"/>
      <c r="I46" s="44" t="s">
        <v>40</v>
      </c>
      <c r="J46" s="44"/>
      <c r="K46" s="46"/>
      <c r="L46" s="2"/>
      <c r="M46" s="2"/>
    </row>
    <row r="47" spans="1:13">
      <c r="A47" s="1"/>
      <c r="B47" s="1"/>
      <c r="C47" s="2"/>
      <c r="D47" s="2"/>
      <c r="E47" s="2"/>
      <c r="F47" s="2"/>
      <c r="G47" s="2"/>
      <c r="H47" s="3"/>
      <c r="I47" s="47" t="s">
        <v>55</v>
      </c>
      <c r="J47" s="2"/>
      <c r="K47" s="48">
        <f>J42-K45-K46</f>
        <v>-3102887</v>
      </c>
      <c r="L47" s="2"/>
      <c r="M47" s="2"/>
    </row>
    <row r="49" spans="1:13" ht="18">
      <c r="A49" s="130" t="s">
        <v>6</v>
      </c>
      <c r="B49" s="130"/>
      <c r="C49" s="130"/>
      <c r="D49" s="130"/>
      <c r="E49" s="130"/>
      <c r="F49" s="130"/>
      <c r="G49" s="130"/>
      <c r="H49" s="130"/>
      <c r="I49" s="130"/>
      <c r="J49" s="130"/>
      <c r="K49" s="130"/>
      <c r="L49" s="130"/>
      <c r="M49" s="130"/>
    </row>
    <row r="50" spans="1:13" ht="18">
      <c r="A50" s="130" t="s">
        <v>7</v>
      </c>
      <c r="B50" s="130"/>
      <c r="C50" s="130"/>
      <c r="D50" s="130"/>
      <c r="E50" s="130"/>
      <c r="F50" s="130"/>
      <c r="G50" s="130"/>
      <c r="H50" s="130"/>
      <c r="I50" s="130"/>
      <c r="J50" s="130"/>
      <c r="K50" s="130"/>
      <c r="L50" s="130"/>
      <c r="M50" s="130"/>
    </row>
    <row r="51" spans="1:13">
      <c r="A51" s="1"/>
      <c r="B51" s="1"/>
      <c r="C51" s="2"/>
      <c r="D51" s="2"/>
      <c r="E51" s="2"/>
      <c r="F51" s="2"/>
      <c r="G51" s="2"/>
      <c r="H51" s="3"/>
      <c r="I51" s="2"/>
      <c r="J51" s="2"/>
      <c r="K51" s="2"/>
      <c r="L51" s="2"/>
      <c r="M51" s="2"/>
    </row>
    <row r="52" spans="1:13">
      <c r="A52" s="1"/>
      <c r="B52" s="1"/>
      <c r="C52" s="10"/>
      <c r="D52" s="2" t="s">
        <v>72</v>
      </c>
      <c r="E52" s="11" t="s">
        <v>8</v>
      </c>
      <c r="F52" s="12">
        <v>2014</v>
      </c>
      <c r="G52" s="88" t="s">
        <v>73</v>
      </c>
      <c r="H52" s="3"/>
      <c r="I52" s="2"/>
      <c r="J52" s="2"/>
      <c r="K52" s="2"/>
      <c r="L52" s="2"/>
      <c r="M52" s="2"/>
    </row>
    <row r="53" spans="1:13">
      <c r="A53" s="1"/>
      <c r="B53" s="1"/>
      <c r="C53" s="2"/>
      <c r="D53" s="2"/>
      <c r="E53" s="2"/>
      <c r="F53" s="2"/>
      <c r="G53" s="2"/>
      <c r="H53" s="3"/>
      <c r="I53" s="2"/>
      <c r="J53" s="2"/>
      <c r="K53" s="2"/>
      <c r="L53" s="2"/>
      <c r="M53" s="2"/>
    </row>
    <row r="54" spans="1:13">
      <c r="A54" s="1"/>
      <c r="B54" s="1"/>
      <c r="C54" s="2"/>
      <c r="D54" s="137" t="s">
        <v>9</v>
      </c>
      <c r="E54" s="138"/>
      <c r="F54" s="138"/>
      <c r="G54" s="139"/>
      <c r="H54" s="3"/>
      <c r="I54" s="14"/>
      <c r="J54" s="15" t="s">
        <v>10</v>
      </c>
      <c r="K54" s="15"/>
      <c r="L54" s="16"/>
      <c r="M54" s="3"/>
    </row>
    <row r="55" spans="1:13" ht="26.25">
      <c r="A55" s="17" t="s">
        <v>11</v>
      </c>
      <c r="B55" s="18" t="s">
        <v>12</v>
      </c>
      <c r="C55" s="19" t="s">
        <v>13</v>
      </c>
      <c r="D55" s="17" t="s">
        <v>14</v>
      </c>
      <c r="E55" s="18" t="s">
        <v>15</v>
      </c>
      <c r="F55" s="18" t="s">
        <v>16</v>
      </c>
      <c r="G55" s="17" t="s">
        <v>17</v>
      </c>
      <c r="H55" s="20"/>
      <c r="I55" s="21" t="s">
        <v>14</v>
      </c>
      <c r="J55" s="22" t="s">
        <v>15</v>
      </c>
      <c r="K55" s="22" t="s">
        <v>16</v>
      </c>
      <c r="L55" s="23" t="s">
        <v>17</v>
      </c>
      <c r="M55" s="17" t="s">
        <v>18</v>
      </c>
    </row>
    <row r="56" spans="1:13" ht="25.5">
      <c r="A56" s="24">
        <v>12</v>
      </c>
      <c r="B56" s="24">
        <v>1611</v>
      </c>
      <c r="C56" s="25" t="s">
        <v>19</v>
      </c>
      <c r="D56" s="26">
        <f>'2-BA Comparative tables'!G8</f>
        <v>815779.2</v>
      </c>
      <c r="E56" s="26">
        <v>252000</v>
      </c>
      <c r="F56" s="26"/>
      <c r="G56" s="27">
        <f t="shared" ref="G56:G86" si="3">D56+E56+F56</f>
        <v>1067779.2</v>
      </c>
      <c r="H56" s="28"/>
      <c r="I56" s="26">
        <f>'2-BA Comparative tables'!L8</f>
        <v>-628672.48</v>
      </c>
      <c r="J56" s="26">
        <v>-94235</v>
      </c>
      <c r="K56" s="26"/>
      <c r="L56" s="27">
        <f t="shared" ref="L56:L86" si="4">I56+J56+K56</f>
        <v>-722907.48</v>
      </c>
      <c r="M56" s="30">
        <f t="shared" ref="M56:M86" si="5">G56+L56</f>
        <v>344871.72</v>
      </c>
    </row>
    <row r="57" spans="1:13">
      <c r="A57" s="31" t="s">
        <v>20</v>
      </c>
      <c r="B57" s="31">
        <v>1805</v>
      </c>
      <c r="C57" s="32" t="s">
        <v>21</v>
      </c>
      <c r="D57" s="26">
        <f>'2-BA Comparative tables'!G9</f>
        <v>338729.15000000014</v>
      </c>
      <c r="E57" s="26"/>
      <c r="F57" s="26"/>
      <c r="G57" s="27">
        <f t="shared" si="3"/>
        <v>338729.15000000014</v>
      </c>
      <c r="H57" s="28"/>
      <c r="I57" s="26">
        <f>'2-BA Comparative tables'!L9</f>
        <v>0</v>
      </c>
      <c r="J57" s="26"/>
      <c r="K57" s="26"/>
      <c r="L57" s="27">
        <f t="shared" si="4"/>
        <v>0</v>
      </c>
      <c r="M57" s="30">
        <f t="shared" si="5"/>
        <v>338729.15000000014</v>
      </c>
    </row>
    <row r="58" spans="1:13">
      <c r="A58" s="24">
        <v>47</v>
      </c>
      <c r="B58" s="24">
        <v>1808</v>
      </c>
      <c r="C58" s="33" t="s">
        <v>22</v>
      </c>
      <c r="D58" s="26">
        <f>'2-BA Comparative tables'!G10</f>
        <v>1679203</v>
      </c>
      <c r="E58" s="26"/>
      <c r="F58" s="26"/>
      <c r="G58" s="27">
        <f t="shared" si="3"/>
        <v>1679203</v>
      </c>
      <c r="H58" s="28"/>
      <c r="I58" s="26">
        <v>-1107719</v>
      </c>
      <c r="J58" s="26">
        <f>-28878-2466</f>
        <v>-31344</v>
      </c>
      <c r="K58" s="26"/>
      <c r="L58" s="27">
        <f t="shared" si="4"/>
        <v>-1139063</v>
      </c>
      <c r="M58" s="30">
        <f t="shared" si="5"/>
        <v>540140</v>
      </c>
    </row>
    <row r="59" spans="1:13">
      <c r="A59" s="24">
        <v>47</v>
      </c>
      <c r="B59" s="24">
        <v>1820</v>
      </c>
      <c r="C59" s="25" t="s">
        <v>24</v>
      </c>
      <c r="D59" s="26">
        <f>'2-BA Comparative tables'!G11</f>
        <v>1745895.87</v>
      </c>
      <c r="E59" s="26"/>
      <c r="F59" s="26"/>
      <c r="G59" s="27">
        <f t="shared" si="3"/>
        <v>1745895.87</v>
      </c>
      <c r="H59" s="28"/>
      <c r="I59" s="26">
        <v>-1487358</v>
      </c>
      <c r="J59" s="26">
        <v>-37446</v>
      </c>
      <c r="K59" s="26"/>
      <c r="L59" s="27">
        <f t="shared" si="4"/>
        <v>-1524804</v>
      </c>
      <c r="M59" s="30">
        <f t="shared" si="5"/>
        <v>221091.87000000011</v>
      </c>
    </row>
    <row r="60" spans="1:13">
      <c r="A60" s="24">
        <v>47</v>
      </c>
      <c r="B60" s="24">
        <v>1830</v>
      </c>
      <c r="C60" s="33" t="s">
        <v>25</v>
      </c>
      <c r="D60" s="26">
        <f>'2-BA Comparative tables'!G12</f>
        <v>13187252.689999999</v>
      </c>
      <c r="E60" s="26">
        <f>280988+68283+482955</f>
        <v>832226</v>
      </c>
      <c r="F60" s="26"/>
      <c r="G60" s="27">
        <f t="shared" si="3"/>
        <v>14019478.689999999</v>
      </c>
      <c r="H60" s="28"/>
      <c r="I60" s="26">
        <v>-6145807</v>
      </c>
      <c r="J60" s="26">
        <f>-247052-55654-310831</f>
        <v>-613537</v>
      </c>
      <c r="K60" s="26"/>
      <c r="L60" s="27">
        <f t="shared" si="4"/>
        <v>-6759344</v>
      </c>
      <c r="M60" s="30">
        <f t="shared" si="5"/>
        <v>7260134.6899999995</v>
      </c>
    </row>
    <row r="61" spans="1:13">
      <c r="A61" s="24">
        <v>47</v>
      </c>
      <c r="B61" s="24">
        <v>1835</v>
      </c>
      <c r="C61" s="33" t="s">
        <v>26</v>
      </c>
      <c r="D61" s="26">
        <f>'2-BA Comparative tables'!G13</f>
        <v>14513843.319999998</v>
      </c>
      <c r="E61" s="26">
        <f>309381+64538</f>
        <v>373919</v>
      </c>
      <c r="F61" s="26"/>
      <c r="G61" s="27">
        <f t="shared" si="3"/>
        <v>14887762.319999998</v>
      </c>
      <c r="H61" s="28"/>
      <c r="I61" s="26">
        <v>-6801269</v>
      </c>
      <c r="J61" s="26">
        <f>-303530-19951-61682-8656-1871</f>
        <v>-395690</v>
      </c>
      <c r="K61" s="26"/>
      <c r="L61" s="27">
        <f t="shared" si="4"/>
        <v>-7196959</v>
      </c>
      <c r="M61" s="30">
        <f t="shared" si="5"/>
        <v>7690803.3199999984</v>
      </c>
    </row>
    <row r="62" spans="1:13">
      <c r="A62" s="24">
        <v>47</v>
      </c>
      <c r="B62" s="24">
        <v>1840</v>
      </c>
      <c r="C62" s="33" t="s">
        <v>27</v>
      </c>
      <c r="D62" s="26">
        <f>'2-BA Comparative tables'!G14</f>
        <v>7178045.2199999997</v>
      </c>
      <c r="E62" s="26">
        <f>201187+55957</f>
        <v>257144</v>
      </c>
      <c r="F62" s="26"/>
      <c r="G62" s="27">
        <f t="shared" si="3"/>
        <v>7435189.2199999997</v>
      </c>
      <c r="H62" s="28"/>
      <c r="I62" s="26">
        <v>-4621623</v>
      </c>
      <c r="J62" s="26">
        <f>-224961-64351</f>
        <v>-289312</v>
      </c>
      <c r="K62" s="26"/>
      <c r="L62" s="27">
        <f t="shared" si="4"/>
        <v>-4910935</v>
      </c>
      <c r="M62" s="30">
        <f t="shared" si="5"/>
        <v>2524254.2199999997</v>
      </c>
    </row>
    <row r="63" spans="1:13">
      <c r="A63" s="24">
        <v>47</v>
      </c>
      <c r="B63" s="24">
        <v>1845</v>
      </c>
      <c r="C63" s="33" t="s">
        <v>28</v>
      </c>
      <c r="D63" s="26">
        <f>'2-BA Comparative tables'!G15</f>
        <v>18101149.190000001</v>
      </c>
      <c r="E63" s="26">
        <f>176329+118269</f>
        <v>294598</v>
      </c>
      <c r="F63" s="26"/>
      <c r="G63" s="27">
        <f t="shared" si="3"/>
        <v>18395747.190000001</v>
      </c>
      <c r="H63" s="28"/>
      <c r="I63" s="26">
        <v>-11861290</v>
      </c>
      <c r="J63" s="26">
        <f>-376384-116305-43128</f>
        <v>-535817</v>
      </c>
      <c r="K63" s="26"/>
      <c r="L63" s="27">
        <f t="shared" si="4"/>
        <v>-12397107</v>
      </c>
      <c r="M63" s="30">
        <f t="shared" si="5"/>
        <v>5998640.1900000013</v>
      </c>
    </row>
    <row r="64" spans="1:13">
      <c r="A64" s="24">
        <v>47</v>
      </c>
      <c r="B64" s="24">
        <v>1850</v>
      </c>
      <c r="C64" s="33" t="s">
        <v>29</v>
      </c>
      <c r="D64" s="26">
        <f>'2-BA Comparative tables'!G16</f>
        <v>15660741.16</v>
      </c>
      <c r="E64" s="26">
        <f>139510+139510</f>
        <v>279020</v>
      </c>
      <c r="F64" s="26"/>
      <c r="G64" s="27">
        <f t="shared" si="3"/>
        <v>15939761.16</v>
      </c>
      <c r="H64" s="28"/>
      <c r="I64" s="26">
        <v>-9922776</v>
      </c>
      <c r="J64" s="26">
        <f>-148954-249498</f>
        <v>-398452</v>
      </c>
      <c r="K64" s="26"/>
      <c r="L64" s="27">
        <f t="shared" si="4"/>
        <v>-10321228</v>
      </c>
      <c r="M64" s="30">
        <f t="shared" si="5"/>
        <v>5618533.1600000001</v>
      </c>
    </row>
    <row r="65" spans="1:13">
      <c r="A65" s="24">
        <v>47</v>
      </c>
      <c r="B65" s="24">
        <v>1855</v>
      </c>
      <c r="C65" s="33" t="s">
        <v>30</v>
      </c>
      <c r="D65" s="26">
        <f>'2-BA Comparative tables'!G17</f>
        <v>5328122.3100000005</v>
      </c>
      <c r="E65" s="26">
        <f>154054+47960</f>
        <v>202014</v>
      </c>
      <c r="F65" s="26"/>
      <c r="G65" s="27">
        <f t="shared" si="3"/>
        <v>5530136.3100000005</v>
      </c>
      <c r="H65" s="28"/>
      <c r="I65" s="26">
        <v>-3175551</v>
      </c>
      <c r="J65" s="26">
        <f>-132262-25375</f>
        <v>-157637</v>
      </c>
      <c r="K65" s="26"/>
      <c r="L65" s="27">
        <f t="shared" si="4"/>
        <v>-3333188</v>
      </c>
      <c r="M65" s="30">
        <f t="shared" si="5"/>
        <v>2196948.3100000005</v>
      </c>
    </row>
    <row r="66" spans="1:13">
      <c r="A66" s="24">
        <v>47</v>
      </c>
      <c r="B66" s="24">
        <v>1860</v>
      </c>
      <c r="C66" s="33" t="s">
        <v>31</v>
      </c>
      <c r="D66" s="26">
        <f>'2-BA Comparative tables'!G18</f>
        <v>7613139.4299999997</v>
      </c>
      <c r="E66" s="26">
        <f>124732+9595+57569</f>
        <v>191896</v>
      </c>
      <c r="F66" s="26"/>
      <c r="G66" s="27">
        <f t="shared" si="3"/>
        <v>7805035.4299999997</v>
      </c>
      <c r="H66" s="28"/>
      <c r="I66" s="26">
        <v>-3512375</v>
      </c>
      <c r="J66" s="26">
        <f>-58668-13106-16095-8885-242390</f>
        <v>-339144</v>
      </c>
      <c r="K66" s="26"/>
      <c r="L66" s="27">
        <f t="shared" si="4"/>
        <v>-3851519</v>
      </c>
      <c r="M66" s="30">
        <f t="shared" si="5"/>
        <v>3953516.4299999997</v>
      </c>
    </row>
    <row r="67" spans="1:13">
      <c r="A67" s="31">
        <v>47</v>
      </c>
      <c r="B67" s="31">
        <v>1890</v>
      </c>
      <c r="C67" s="32" t="s">
        <v>32</v>
      </c>
      <c r="D67" s="26">
        <f>'2-BA Comparative tables'!G19</f>
        <v>468946.32000000007</v>
      </c>
      <c r="E67" s="26"/>
      <c r="F67" s="26"/>
      <c r="G67" s="27">
        <f t="shared" si="3"/>
        <v>468946.32000000007</v>
      </c>
      <c r="H67" s="28"/>
      <c r="I67" s="26">
        <f>'2-BA Comparative tables'!L19</f>
        <v>0</v>
      </c>
      <c r="J67" s="26"/>
      <c r="K67" s="26"/>
      <c r="L67" s="27">
        <f t="shared" si="4"/>
        <v>0</v>
      </c>
      <c r="M67" s="30">
        <f t="shared" si="5"/>
        <v>468946.32000000007</v>
      </c>
    </row>
    <row r="68" spans="1:13">
      <c r="A68" s="31" t="s">
        <v>20</v>
      </c>
      <c r="B68" s="31">
        <v>1905</v>
      </c>
      <c r="C68" s="32" t="s">
        <v>21</v>
      </c>
      <c r="D68" s="26">
        <f>'2-BA Comparative tables'!G20</f>
        <v>17041.330000000002</v>
      </c>
      <c r="E68" s="26"/>
      <c r="F68" s="26"/>
      <c r="G68" s="27">
        <f t="shared" si="3"/>
        <v>17041.330000000002</v>
      </c>
      <c r="H68" s="28"/>
      <c r="I68" s="26">
        <f>'2-BA Comparative tables'!L20</f>
        <v>-17041.330000000002</v>
      </c>
      <c r="J68" s="26"/>
      <c r="K68" s="26"/>
      <c r="L68" s="27">
        <f t="shared" si="4"/>
        <v>-17041.330000000002</v>
      </c>
      <c r="M68" s="30">
        <f t="shared" si="5"/>
        <v>0</v>
      </c>
    </row>
    <row r="69" spans="1:13">
      <c r="A69" s="24">
        <v>47</v>
      </c>
      <c r="B69" s="24">
        <v>1908</v>
      </c>
      <c r="C69" s="33" t="s">
        <v>33</v>
      </c>
      <c r="D69" s="26">
        <f>'2-BA Comparative tables'!G21</f>
        <v>578150.07999999996</v>
      </c>
      <c r="E69" s="26">
        <v>80000</v>
      </c>
      <c r="F69" s="26"/>
      <c r="G69" s="27">
        <f t="shared" si="3"/>
        <v>658150.07999999996</v>
      </c>
      <c r="H69" s="28"/>
      <c r="I69" s="26">
        <v>-121906</v>
      </c>
      <c r="J69" s="26">
        <f>-15218-9088</f>
        <v>-24306</v>
      </c>
      <c r="K69" s="26"/>
      <c r="L69" s="27">
        <f t="shared" si="4"/>
        <v>-146212</v>
      </c>
      <c r="M69" s="30">
        <f t="shared" si="5"/>
        <v>511938.07999999996</v>
      </c>
    </row>
    <row r="70" spans="1:13">
      <c r="A70" s="24">
        <v>13</v>
      </c>
      <c r="B70" s="24">
        <v>1910</v>
      </c>
      <c r="C70" s="33" t="s">
        <v>34</v>
      </c>
      <c r="D70" s="26">
        <f>'2-BA Comparative tables'!G22</f>
        <v>21798.12</v>
      </c>
      <c r="E70" s="26"/>
      <c r="F70" s="26"/>
      <c r="G70" s="27">
        <f t="shared" si="3"/>
        <v>21798.12</v>
      </c>
      <c r="H70" s="28"/>
      <c r="I70" s="26">
        <f>'2-BA Comparative tables'!L22</f>
        <v>-21798.12</v>
      </c>
      <c r="J70" s="26"/>
      <c r="K70" s="26"/>
      <c r="L70" s="27">
        <f t="shared" si="4"/>
        <v>-21798.12</v>
      </c>
      <c r="M70" s="30">
        <f t="shared" si="5"/>
        <v>0</v>
      </c>
    </row>
    <row r="71" spans="1:13">
      <c r="A71" s="24">
        <v>8</v>
      </c>
      <c r="B71" s="24">
        <v>1915</v>
      </c>
      <c r="C71" s="33" t="s">
        <v>35</v>
      </c>
      <c r="D71" s="26">
        <f>'2-BA Comparative tables'!G23</f>
        <v>385253.15</v>
      </c>
      <c r="E71" s="26"/>
      <c r="F71" s="26"/>
      <c r="G71" s="27">
        <f t="shared" si="3"/>
        <v>385253.15</v>
      </c>
      <c r="H71" s="28"/>
      <c r="I71" s="26">
        <v>-349128</v>
      </c>
      <c r="J71" s="26">
        <v>-5733</v>
      </c>
      <c r="K71" s="26"/>
      <c r="L71" s="27">
        <f t="shared" si="4"/>
        <v>-354861</v>
      </c>
      <c r="M71" s="30">
        <f t="shared" si="5"/>
        <v>30392.150000000023</v>
      </c>
    </row>
    <row r="72" spans="1:13">
      <c r="A72" s="24">
        <v>10</v>
      </c>
      <c r="B72" s="24">
        <v>1920</v>
      </c>
      <c r="C72" s="33" t="s">
        <v>36</v>
      </c>
      <c r="D72" s="26">
        <f>'2-BA Comparative tables'!G24</f>
        <v>540191.49000000011</v>
      </c>
      <c r="E72" s="26"/>
      <c r="F72" s="26"/>
      <c r="G72" s="27">
        <f t="shared" si="3"/>
        <v>540191.49000000011</v>
      </c>
      <c r="H72" s="28"/>
      <c r="I72" s="26">
        <v>-540191</v>
      </c>
      <c r="J72" s="26"/>
      <c r="K72" s="26"/>
      <c r="L72" s="27">
        <f t="shared" si="4"/>
        <v>-540191</v>
      </c>
      <c r="M72" s="30">
        <f t="shared" si="5"/>
        <v>0.4900000001071021</v>
      </c>
    </row>
    <row r="73" spans="1:13">
      <c r="A73" s="24">
        <v>45</v>
      </c>
      <c r="B73" s="34">
        <v>1920</v>
      </c>
      <c r="C73" s="25" t="s">
        <v>37</v>
      </c>
      <c r="D73" s="26">
        <f>'2-BA Comparative tables'!G25</f>
        <v>75673.850000000006</v>
      </c>
      <c r="E73" s="26"/>
      <c r="F73" s="26"/>
      <c r="G73" s="27">
        <f t="shared" si="3"/>
        <v>75673.850000000006</v>
      </c>
      <c r="H73" s="28"/>
      <c r="I73" s="26">
        <f>'2-BA Comparative tables'!L25</f>
        <v>-75673.850000000006</v>
      </c>
      <c r="J73" s="26"/>
      <c r="K73" s="26"/>
      <c r="L73" s="27">
        <f t="shared" si="4"/>
        <v>-75673.850000000006</v>
      </c>
      <c r="M73" s="30">
        <f t="shared" si="5"/>
        <v>0</v>
      </c>
    </row>
    <row r="74" spans="1:13">
      <c r="A74" s="24">
        <v>45.1</v>
      </c>
      <c r="B74" s="34">
        <v>1920</v>
      </c>
      <c r="C74" s="25" t="s">
        <v>38</v>
      </c>
      <c r="D74" s="26">
        <f>'2-BA Comparative tables'!G26</f>
        <v>694838</v>
      </c>
      <c r="E74" s="26">
        <v>38000</v>
      </c>
      <c r="F74" s="26"/>
      <c r="G74" s="27">
        <f t="shared" si="3"/>
        <v>732838</v>
      </c>
      <c r="H74" s="28"/>
      <c r="I74" s="26">
        <v>-425143</v>
      </c>
      <c r="J74" s="26">
        <v>-76041</v>
      </c>
      <c r="K74" s="26"/>
      <c r="L74" s="27">
        <f t="shared" si="4"/>
        <v>-501184</v>
      </c>
      <c r="M74" s="30">
        <f t="shared" si="5"/>
        <v>231654</v>
      </c>
    </row>
    <row r="75" spans="1:13">
      <c r="A75" s="24">
        <v>10</v>
      </c>
      <c r="B75" s="24">
        <v>1930</v>
      </c>
      <c r="C75" s="33" t="s">
        <v>39</v>
      </c>
      <c r="D75" s="26">
        <f>'2-BA Comparative tables'!G27</f>
        <v>3057594.21</v>
      </c>
      <c r="E75" s="26">
        <v>60000</v>
      </c>
      <c r="F75" s="26"/>
      <c r="G75" s="27">
        <f t="shared" si="3"/>
        <v>3117594.21</v>
      </c>
      <c r="H75" s="28"/>
      <c r="I75" s="26">
        <v>-2287332</v>
      </c>
      <c r="J75" s="26">
        <f>-211465-26155</f>
        <v>-237620</v>
      </c>
      <c r="K75" s="26"/>
      <c r="L75" s="27">
        <f t="shared" si="4"/>
        <v>-2524952</v>
      </c>
      <c r="M75" s="30">
        <f t="shared" si="5"/>
        <v>592642.21</v>
      </c>
    </row>
    <row r="76" spans="1:13">
      <c r="A76" s="24">
        <v>8</v>
      </c>
      <c r="B76" s="24">
        <v>1935</v>
      </c>
      <c r="C76" s="33" t="s">
        <v>40</v>
      </c>
      <c r="D76" s="26">
        <f>'2-BA Comparative tables'!G28</f>
        <v>36199.29</v>
      </c>
      <c r="E76" s="26"/>
      <c r="F76" s="26"/>
      <c r="G76" s="27">
        <f t="shared" si="3"/>
        <v>36199.29</v>
      </c>
      <c r="H76" s="28"/>
      <c r="I76" s="26">
        <f>'2-BA Comparative tables'!L28</f>
        <v>-36199.29</v>
      </c>
      <c r="J76" s="26"/>
      <c r="K76" s="26"/>
      <c r="L76" s="27">
        <f t="shared" si="4"/>
        <v>-36199.29</v>
      </c>
      <c r="M76" s="30">
        <f t="shared" si="5"/>
        <v>0</v>
      </c>
    </row>
    <row r="77" spans="1:13">
      <c r="A77" s="24">
        <v>8</v>
      </c>
      <c r="B77" s="24">
        <v>1940</v>
      </c>
      <c r="C77" s="33" t="s">
        <v>41</v>
      </c>
      <c r="D77" s="26">
        <f>'2-BA Comparative tables'!G29</f>
        <v>826577.91</v>
      </c>
      <c r="E77" s="26">
        <v>30000</v>
      </c>
      <c r="F77" s="26"/>
      <c r="G77" s="27">
        <f t="shared" si="3"/>
        <v>856577.91</v>
      </c>
      <c r="H77" s="28"/>
      <c r="I77" s="26">
        <f>'2-BA Comparative tables'!L29</f>
        <v>-694241.1100000001</v>
      </c>
      <c r="J77" s="26">
        <v>-29790</v>
      </c>
      <c r="K77" s="26"/>
      <c r="L77" s="27">
        <f t="shared" si="4"/>
        <v>-724031.1100000001</v>
      </c>
      <c r="M77" s="30">
        <f t="shared" si="5"/>
        <v>132546.79999999993</v>
      </c>
    </row>
    <row r="78" spans="1:13">
      <c r="A78" s="24">
        <v>8</v>
      </c>
      <c r="B78" s="24">
        <v>1945</v>
      </c>
      <c r="C78" s="33" t="s">
        <v>42</v>
      </c>
      <c r="D78" s="26">
        <f>'2-BA Comparative tables'!G30</f>
        <v>39169.78</v>
      </c>
      <c r="E78" s="26"/>
      <c r="F78" s="26"/>
      <c r="G78" s="27">
        <f t="shared" si="3"/>
        <v>39169.78</v>
      </c>
      <c r="H78" s="28"/>
      <c r="I78" s="26">
        <f>'2-BA Comparative tables'!L30</f>
        <v>-29511.16</v>
      </c>
      <c r="J78" s="26">
        <v>-3220</v>
      </c>
      <c r="K78" s="26"/>
      <c r="L78" s="27">
        <f t="shared" si="4"/>
        <v>-32731.16</v>
      </c>
      <c r="M78" s="30">
        <f t="shared" si="5"/>
        <v>6438.619999999999</v>
      </c>
    </row>
    <row r="79" spans="1:13">
      <c r="A79" s="24">
        <v>8</v>
      </c>
      <c r="B79" s="24">
        <v>1955</v>
      </c>
      <c r="C79" s="33" t="s">
        <v>43</v>
      </c>
      <c r="D79" s="26">
        <f>'2-BA Comparative tables'!G31</f>
        <v>106527.86</v>
      </c>
      <c r="E79" s="26"/>
      <c r="F79" s="26"/>
      <c r="G79" s="27">
        <f t="shared" si="3"/>
        <v>106527.86</v>
      </c>
      <c r="H79" s="28"/>
      <c r="I79" s="26">
        <f>'2-BA Comparative tables'!L31</f>
        <v>-106161.3</v>
      </c>
      <c r="J79" s="26">
        <v>-295</v>
      </c>
      <c r="K79" s="26"/>
      <c r="L79" s="27">
        <f t="shared" si="4"/>
        <v>-106456.3</v>
      </c>
      <c r="M79" s="30">
        <f t="shared" si="5"/>
        <v>71.559999999997672</v>
      </c>
    </row>
    <row r="80" spans="1:13">
      <c r="A80" s="34">
        <v>8</v>
      </c>
      <c r="B80" s="34">
        <v>1960</v>
      </c>
      <c r="C80" s="25" t="s">
        <v>44</v>
      </c>
      <c r="D80" s="26">
        <f>'2-BA Comparative tables'!G32</f>
        <v>7842.42</v>
      </c>
      <c r="E80" s="26"/>
      <c r="F80" s="26"/>
      <c r="G80" s="27">
        <f t="shared" si="3"/>
        <v>7842.42</v>
      </c>
      <c r="H80" s="28"/>
      <c r="I80" s="26">
        <f>'2-BA Comparative tables'!L32</f>
        <v>-4705.2199999999993</v>
      </c>
      <c r="J80" s="26">
        <v>-784</v>
      </c>
      <c r="K80" s="26"/>
      <c r="L80" s="27">
        <f t="shared" si="4"/>
        <v>-5489.2199999999993</v>
      </c>
      <c r="M80" s="30">
        <f t="shared" si="5"/>
        <v>2353.2000000000007</v>
      </c>
    </row>
    <row r="81" spans="1:13" ht="25.5">
      <c r="A81" s="1">
        <v>47</v>
      </c>
      <c r="B81" s="34">
        <v>1970</v>
      </c>
      <c r="C81" s="33" t="s">
        <v>45</v>
      </c>
      <c r="D81" s="26">
        <f>'2-BA Comparative tables'!G33</f>
        <v>245119.26</v>
      </c>
      <c r="E81" s="26"/>
      <c r="F81" s="26"/>
      <c r="G81" s="27">
        <f t="shared" si="3"/>
        <v>245119.26</v>
      </c>
      <c r="H81" s="28"/>
      <c r="I81" s="26">
        <v>-201184</v>
      </c>
      <c r="J81" s="26">
        <v>-24512</v>
      </c>
      <c r="K81" s="26"/>
      <c r="L81" s="27">
        <f t="shared" si="4"/>
        <v>-225696</v>
      </c>
      <c r="M81" s="30">
        <f t="shared" si="5"/>
        <v>19423.260000000009</v>
      </c>
    </row>
    <row r="82" spans="1:13">
      <c r="A82" s="24">
        <v>47</v>
      </c>
      <c r="B82" s="24">
        <v>1980</v>
      </c>
      <c r="C82" s="33" t="s">
        <v>46</v>
      </c>
      <c r="D82" s="26">
        <f>'2-BA Comparative tables'!G34</f>
        <v>377350.71</v>
      </c>
      <c r="E82" s="26">
        <v>50000</v>
      </c>
      <c r="F82" s="26"/>
      <c r="G82" s="27">
        <f t="shared" si="3"/>
        <v>427350.71</v>
      </c>
      <c r="H82" s="28"/>
      <c r="I82" s="26">
        <v>-270704</v>
      </c>
      <c r="J82" s="26">
        <v>-19938</v>
      </c>
      <c r="K82" s="26"/>
      <c r="L82" s="27">
        <f t="shared" si="4"/>
        <v>-290642</v>
      </c>
      <c r="M82" s="30">
        <f t="shared" si="5"/>
        <v>136708.71000000002</v>
      </c>
    </row>
    <row r="83" spans="1:13">
      <c r="A83" s="24">
        <v>47</v>
      </c>
      <c r="B83" s="24">
        <v>1995</v>
      </c>
      <c r="C83" s="33" t="s">
        <v>47</v>
      </c>
      <c r="D83" s="26">
        <f>'2-BA Comparative tables'!G35</f>
        <v>-4896472.6700000009</v>
      </c>
      <c r="E83" s="26">
        <v>-150000</v>
      </c>
      <c r="F83" s="26"/>
      <c r="G83" s="27">
        <f t="shared" si="3"/>
        <v>-5046472.6700000009</v>
      </c>
      <c r="H83" s="28"/>
      <c r="I83" s="26">
        <v>1492371</v>
      </c>
      <c r="J83" s="26">
        <v>198859</v>
      </c>
      <c r="K83" s="26"/>
      <c r="L83" s="27">
        <f t="shared" si="4"/>
        <v>1691230</v>
      </c>
      <c r="M83" s="30">
        <f t="shared" si="5"/>
        <v>-3355242.6700000009</v>
      </c>
    </row>
    <row r="84" spans="1:13">
      <c r="A84" s="24">
        <v>14</v>
      </c>
      <c r="B84" s="24">
        <v>1609</v>
      </c>
      <c r="C84" s="33" t="s">
        <v>61</v>
      </c>
      <c r="D84" s="26">
        <f>'2-BA Comparative tables'!G36</f>
        <v>1710026</v>
      </c>
      <c r="E84" s="26"/>
      <c r="F84" s="26"/>
      <c r="G84" s="27">
        <f t="shared" si="3"/>
        <v>1710026</v>
      </c>
      <c r="H84" s="28"/>
      <c r="I84" s="26">
        <f>'2-BA Comparative tables'!L36</f>
        <v>-18278</v>
      </c>
      <c r="J84" s="26">
        <v>-59334</v>
      </c>
      <c r="K84" s="26"/>
      <c r="L84" s="27">
        <f t="shared" si="4"/>
        <v>-77612</v>
      </c>
      <c r="M84" s="30">
        <f t="shared" si="5"/>
        <v>1632414</v>
      </c>
    </row>
    <row r="85" spans="1:13">
      <c r="A85" s="35">
        <v>43.2</v>
      </c>
      <c r="B85" s="35">
        <v>2075</v>
      </c>
      <c r="C85" s="36" t="s">
        <v>48</v>
      </c>
      <c r="D85" s="26">
        <f>'2-BA Comparative tables'!G37</f>
        <v>294688.49</v>
      </c>
      <c r="E85" s="26"/>
      <c r="F85" s="26"/>
      <c r="G85" s="27">
        <f t="shared" si="3"/>
        <v>294688.49</v>
      </c>
      <c r="H85" s="28"/>
      <c r="I85" s="26">
        <v>-36836</v>
      </c>
      <c r="J85" s="26">
        <v>-14734</v>
      </c>
      <c r="K85" s="26"/>
      <c r="L85" s="27">
        <f t="shared" si="4"/>
        <v>-51570</v>
      </c>
      <c r="M85" s="30">
        <f t="shared" si="5"/>
        <v>243118.49</v>
      </c>
    </row>
    <row r="86" spans="1:13">
      <c r="A86" s="35">
        <v>47</v>
      </c>
      <c r="B86" s="35">
        <v>2055</v>
      </c>
      <c r="C86" s="36" t="s">
        <v>62</v>
      </c>
      <c r="D86" s="26">
        <f>'2-BA Comparative tables'!G38</f>
        <v>0</v>
      </c>
      <c r="E86" s="26"/>
      <c r="F86" s="26"/>
      <c r="G86" s="27">
        <f t="shared" si="3"/>
        <v>0</v>
      </c>
      <c r="H86" s="28"/>
      <c r="I86" s="26">
        <f>'2-BA Comparative tables'!L38</f>
        <v>0</v>
      </c>
      <c r="J86" s="26"/>
      <c r="K86" s="26"/>
      <c r="L86" s="27">
        <f t="shared" si="4"/>
        <v>0</v>
      </c>
      <c r="M86" s="30">
        <f t="shared" si="5"/>
        <v>0</v>
      </c>
    </row>
    <row r="87" spans="1:13">
      <c r="A87" s="35"/>
      <c r="B87" s="35"/>
      <c r="C87" s="38" t="s">
        <v>49</v>
      </c>
      <c r="D87" s="39">
        <f>SUM(D56:D86)</f>
        <v>90748416.139999971</v>
      </c>
      <c r="E87" s="39">
        <f>SUM(E56:E86)</f>
        <v>2790817</v>
      </c>
      <c r="F87" s="39">
        <f>SUM(F56:F86)</f>
        <v>0</v>
      </c>
      <c r="G87" s="39">
        <f>SUM(G56:G86)</f>
        <v>93539233.139999971</v>
      </c>
      <c r="H87" s="39"/>
      <c r="I87" s="39">
        <f>SUM(I56:I86)</f>
        <v>-53008102.859999992</v>
      </c>
      <c r="J87" s="39">
        <f>SUM(J56:J86)</f>
        <v>-3190062</v>
      </c>
      <c r="K87" s="39">
        <f>SUM(K56:K86)</f>
        <v>0</v>
      </c>
      <c r="L87" s="39">
        <f>SUM(L56:L86)</f>
        <v>-56198164.859999992</v>
      </c>
      <c r="M87" s="39">
        <f>SUM(M56:M86)</f>
        <v>37341068.280000001</v>
      </c>
    </row>
    <row r="88" spans="1:13" ht="25.5">
      <c r="A88" s="35"/>
      <c r="B88" s="35"/>
      <c r="C88" s="40" t="s">
        <v>50</v>
      </c>
      <c r="D88" s="26">
        <f>'2-BA Comparative tables'!G40</f>
        <v>0</v>
      </c>
      <c r="E88" s="37"/>
      <c r="F88" s="37"/>
      <c r="G88" s="27">
        <f>D88+E88+F88</f>
        <v>0</v>
      </c>
      <c r="H88" s="28"/>
      <c r="I88" s="26">
        <f>'2-BA Comparative tables'!L40</f>
        <v>0</v>
      </c>
      <c r="J88" s="37"/>
      <c r="K88" s="37"/>
      <c r="L88" s="27">
        <f>I88+J88+K88</f>
        <v>0</v>
      </c>
      <c r="M88" s="30">
        <f>G88+L88</f>
        <v>0</v>
      </c>
    </row>
    <row r="89" spans="1:13" ht="25.5">
      <c r="A89" s="35"/>
      <c r="B89" s="35"/>
      <c r="C89" s="41" t="s">
        <v>51</v>
      </c>
      <c r="D89" s="26">
        <f>'2-BA Comparative tables'!G41</f>
        <v>-294689</v>
      </c>
      <c r="E89" s="42">
        <v>0</v>
      </c>
      <c r="F89" s="42">
        <f>-F86-F85-F84-F57</f>
        <v>0</v>
      </c>
      <c r="G89" s="27">
        <f>D89+E89+F89</f>
        <v>-294689</v>
      </c>
      <c r="H89" s="28"/>
      <c r="I89" s="26">
        <f>'2-BA Comparative tables'!L41</f>
        <v>36836</v>
      </c>
      <c r="J89" s="42">
        <v>14734</v>
      </c>
      <c r="K89" s="37"/>
      <c r="L89" s="27">
        <f>I89+J89+K89</f>
        <v>51570</v>
      </c>
      <c r="M89" s="30">
        <f>G89+L89</f>
        <v>-243119</v>
      </c>
    </row>
    <row r="90" spans="1:13">
      <c r="A90" s="35"/>
      <c r="B90" s="35"/>
      <c r="C90" s="38" t="s">
        <v>52</v>
      </c>
      <c r="D90" s="39">
        <f>SUM(D87:D89)</f>
        <v>90453727.139999971</v>
      </c>
      <c r="E90" s="39">
        <f>SUM(E87:E89)</f>
        <v>2790817</v>
      </c>
      <c r="F90" s="39">
        <f>SUM(F87:F89)</f>
        <v>0</v>
      </c>
      <c r="G90" s="39">
        <f>SUM(G87:G89)</f>
        <v>93244544.139999971</v>
      </c>
      <c r="H90" s="39"/>
      <c r="I90" s="39">
        <f>SUM(I87:I89)</f>
        <v>-52971266.859999992</v>
      </c>
      <c r="J90" s="39">
        <f>SUM(J87:J89)</f>
        <v>-3175328</v>
      </c>
      <c r="K90" s="39">
        <f>SUM(K87:K89)</f>
        <v>0</v>
      </c>
      <c r="L90" s="39">
        <f>SUM(L87:L89)</f>
        <v>-56146594.859999992</v>
      </c>
      <c r="M90" s="39">
        <f>SUM(M87:M89)</f>
        <v>37097949.280000001</v>
      </c>
    </row>
    <row r="91" spans="1:13">
      <c r="A91" s="1"/>
      <c r="B91" s="1"/>
      <c r="C91" s="2"/>
      <c r="D91" s="2"/>
      <c r="E91" s="2"/>
      <c r="F91" s="2"/>
      <c r="G91" s="2"/>
      <c r="H91" s="3"/>
      <c r="I91" s="2"/>
      <c r="J91" s="2"/>
      <c r="K91" s="2"/>
      <c r="L91" s="2"/>
      <c r="M91" s="2"/>
    </row>
    <row r="92" spans="1:13">
      <c r="A92" s="1"/>
      <c r="B92" s="1"/>
      <c r="C92" s="2"/>
      <c r="D92" s="2"/>
      <c r="E92" s="2"/>
      <c r="F92" s="2"/>
      <c r="G92" s="2"/>
      <c r="H92" s="3"/>
      <c r="I92" s="43" t="s">
        <v>53</v>
      </c>
      <c r="J92" s="44"/>
      <c r="K92" s="2"/>
      <c r="L92" s="2"/>
      <c r="M92" s="2"/>
    </row>
    <row r="93" spans="1:13">
      <c r="A93" s="35">
        <v>10</v>
      </c>
      <c r="B93" s="35"/>
      <c r="C93" s="36" t="s">
        <v>54</v>
      </c>
      <c r="D93" s="2"/>
      <c r="E93" s="2"/>
      <c r="F93" s="2"/>
      <c r="G93" s="2"/>
      <c r="H93" s="3"/>
      <c r="I93" s="44" t="s">
        <v>54</v>
      </c>
      <c r="J93" s="44"/>
      <c r="K93" s="45"/>
      <c r="L93" s="2"/>
      <c r="M93" s="2"/>
    </row>
    <row r="94" spans="1:13">
      <c r="A94" s="35">
        <v>8</v>
      </c>
      <c r="B94" s="35"/>
      <c r="C94" s="36" t="s">
        <v>40</v>
      </c>
      <c r="D94" s="2"/>
      <c r="E94" s="2"/>
      <c r="F94" s="2"/>
      <c r="G94" s="2"/>
      <c r="H94" s="3"/>
      <c r="I94" s="44" t="s">
        <v>40</v>
      </c>
      <c r="J94" s="44"/>
      <c r="K94" s="46"/>
      <c r="L94" s="2"/>
      <c r="M94" s="2"/>
    </row>
    <row r="95" spans="1:13">
      <c r="A95" s="1"/>
      <c r="B95" s="1"/>
      <c r="C95" s="2"/>
      <c r="D95" s="2"/>
      <c r="E95" s="2"/>
      <c r="F95" s="2"/>
      <c r="G95" s="2"/>
      <c r="H95" s="3"/>
      <c r="I95" s="47" t="s">
        <v>55</v>
      </c>
      <c r="J95" s="2"/>
      <c r="K95" s="48">
        <f>J90-K93-K94</f>
        <v>-3175328</v>
      </c>
      <c r="L95" s="2"/>
      <c r="M95" s="2"/>
    </row>
    <row r="97" spans="1:13" ht="15.75">
      <c r="A97" s="143" t="s">
        <v>6</v>
      </c>
      <c r="B97" s="143"/>
      <c r="C97" s="143"/>
      <c r="D97" s="143"/>
      <c r="E97" s="143"/>
      <c r="F97" s="143"/>
      <c r="G97" s="143"/>
      <c r="H97" s="143"/>
      <c r="I97" s="143"/>
      <c r="J97" s="143"/>
      <c r="K97" s="143"/>
      <c r="L97" s="143"/>
      <c r="M97" s="143"/>
    </row>
    <row r="98" spans="1:13" ht="15.75">
      <c r="A98" s="143" t="s">
        <v>7</v>
      </c>
      <c r="B98" s="143"/>
      <c r="C98" s="143"/>
      <c r="D98" s="143"/>
      <c r="E98" s="143"/>
      <c r="F98" s="143"/>
      <c r="G98" s="143"/>
      <c r="H98" s="143"/>
      <c r="I98" s="143"/>
      <c r="J98" s="143"/>
      <c r="K98" s="143"/>
      <c r="L98" s="143"/>
      <c r="M98" s="143"/>
    </row>
    <row r="99" spans="1:13">
      <c r="A99" s="101"/>
      <c r="B99" s="101"/>
      <c r="C99" s="102"/>
      <c r="D99" s="101"/>
      <c r="E99" s="101"/>
      <c r="F99" s="101"/>
      <c r="G99" s="101"/>
      <c r="H99" s="101"/>
      <c r="I99" s="101"/>
      <c r="J99" s="101"/>
      <c r="K99" s="101"/>
      <c r="L99" s="101"/>
      <c r="M99" s="101"/>
    </row>
    <row r="100" spans="1:13">
      <c r="A100" s="101"/>
      <c r="B100" s="101"/>
      <c r="C100" s="103"/>
      <c r="D100" s="101"/>
      <c r="E100" s="11" t="s">
        <v>8</v>
      </c>
      <c r="F100" s="12">
        <v>2014</v>
      </c>
      <c r="G100" s="13" t="s">
        <v>83</v>
      </c>
      <c r="H100" s="101"/>
      <c r="I100" s="101"/>
      <c r="J100" s="101"/>
      <c r="K100" s="101"/>
      <c r="L100" s="101"/>
      <c r="M100" s="101"/>
    </row>
    <row r="101" spans="1:13">
      <c r="A101" s="101"/>
      <c r="B101" s="101"/>
      <c r="C101" s="102"/>
      <c r="D101" s="101"/>
      <c r="E101" s="101"/>
      <c r="F101" s="101"/>
      <c r="G101" s="101"/>
      <c r="H101" s="101"/>
      <c r="I101" s="101"/>
      <c r="J101" s="101"/>
      <c r="K101" s="101"/>
      <c r="L101" s="101"/>
      <c r="M101" s="101"/>
    </row>
    <row r="102" spans="1:13">
      <c r="A102" s="101"/>
      <c r="B102" s="101"/>
      <c r="C102" s="102"/>
      <c r="D102" s="137" t="s">
        <v>9</v>
      </c>
      <c r="E102" s="138"/>
      <c r="F102" s="138"/>
      <c r="G102" s="139"/>
      <c r="H102" s="101"/>
      <c r="I102" s="14"/>
      <c r="J102" s="15" t="s">
        <v>10</v>
      </c>
      <c r="K102" s="15"/>
      <c r="L102" s="16"/>
      <c r="M102" s="3"/>
    </row>
    <row r="103" spans="1:13" ht="26.25">
      <c r="A103" s="17" t="s">
        <v>11</v>
      </c>
      <c r="B103" s="18" t="s">
        <v>12</v>
      </c>
      <c r="C103" s="104" t="s">
        <v>13</v>
      </c>
      <c r="D103" s="17" t="s">
        <v>14</v>
      </c>
      <c r="E103" s="18" t="s">
        <v>15</v>
      </c>
      <c r="F103" s="18" t="s">
        <v>16</v>
      </c>
      <c r="G103" s="17" t="s">
        <v>17</v>
      </c>
      <c r="H103" s="20"/>
      <c r="I103" s="21" t="s">
        <v>14</v>
      </c>
      <c r="J103" s="22" t="s">
        <v>15</v>
      </c>
      <c r="K103" s="22" t="s">
        <v>16</v>
      </c>
      <c r="L103" s="23" t="s">
        <v>17</v>
      </c>
      <c r="M103" s="17" t="s">
        <v>18</v>
      </c>
    </row>
    <row r="104" spans="1:13" ht="25.5">
      <c r="A104" s="24">
        <v>12</v>
      </c>
      <c r="B104" s="24">
        <v>1611</v>
      </c>
      <c r="C104" s="25" t="s">
        <v>19</v>
      </c>
      <c r="D104" s="105">
        <v>815779.2</v>
      </c>
      <c r="E104" s="105">
        <v>252000</v>
      </c>
      <c r="F104" s="105">
        <v>-270770</v>
      </c>
      <c r="G104" s="106">
        <f t="shared" ref="G104:G133" si="6">SUM(D104:F104)</f>
        <v>797009.2</v>
      </c>
      <c r="H104" s="28"/>
      <c r="I104" s="107">
        <v>-628672.48</v>
      </c>
      <c r="J104" s="105">
        <v>-94235</v>
      </c>
      <c r="K104" s="105">
        <v>270770</v>
      </c>
      <c r="L104" s="106">
        <f t="shared" ref="L104:L133" si="7">SUM(I104:K104)</f>
        <v>-452137.48</v>
      </c>
      <c r="M104" s="30">
        <v>344871.72</v>
      </c>
    </row>
    <row r="105" spans="1:13">
      <c r="A105" s="31" t="s">
        <v>20</v>
      </c>
      <c r="B105" s="31">
        <v>1805</v>
      </c>
      <c r="C105" s="32" t="s">
        <v>21</v>
      </c>
      <c r="D105" s="105">
        <v>338728.15000000014</v>
      </c>
      <c r="E105" s="105"/>
      <c r="F105" s="105">
        <v>0</v>
      </c>
      <c r="G105" s="106">
        <f t="shared" si="6"/>
        <v>338728.15000000014</v>
      </c>
      <c r="H105" s="28"/>
      <c r="I105" s="107">
        <v>0</v>
      </c>
      <c r="J105" s="105">
        <v>0</v>
      </c>
      <c r="K105" s="105">
        <v>0</v>
      </c>
      <c r="L105" s="106">
        <f t="shared" si="7"/>
        <v>0</v>
      </c>
      <c r="M105" s="30">
        <v>338728.15000000014</v>
      </c>
    </row>
    <row r="106" spans="1:13">
      <c r="A106" s="24">
        <v>47</v>
      </c>
      <c r="B106" s="24">
        <v>1808</v>
      </c>
      <c r="C106" s="33" t="s">
        <v>22</v>
      </c>
      <c r="D106" s="105">
        <v>1672115</v>
      </c>
      <c r="E106" s="105"/>
      <c r="F106" s="105">
        <v>-200763</v>
      </c>
      <c r="G106" s="106">
        <f t="shared" si="6"/>
        <v>1471352</v>
      </c>
      <c r="H106" s="28"/>
      <c r="I106" s="107">
        <v>-1101927</v>
      </c>
      <c r="J106" s="105">
        <v>-39423</v>
      </c>
      <c r="K106" s="105">
        <v>125146</v>
      </c>
      <c r="L106" s="106">
        <f t="shared" si="7"/>
        <v>-1016204</v>
      </c>
      <c r="M106" s="30">
        <v>455148</v>
      </c>
    </row>
    <row r="107" spans="1:13">
      <c r="A107" s="24">
        <v>47</v>
      </c>
      <c r="B107" s="24">
        <v>1820</v>
      </c>
      <c r="C107" s="25" t="s">
        <v>24</v>
      </c>
      <c r="D107" s="105">
        <v>1745895.87</v>
      </c>
      <c r="E107" s="105"/>
      <c r="F107" s="105">
        <v>-685562</v>
      </c>
      <c r="G107" s="106">
        <f t="shared" si="6"/>
        <v>1060333.8700000001</v>
      </c>
      <c r="H107" s="28"/>
      <c r="I107" s="107">
        <v>-1491098.4400000002</v>
      </c>
      <c r="J107" s="105">
        <v>-27835</v>
      </c>
      <c r="K107" s="105">
        <v>685562</v>
      </c>
      <c r="L107" s="106">
        <f t="shared" si="7"/>
        <v>-833371.44000000018</v>
      </c>
      <c r="M107" s="30">
        <v>226962.42999999993</v>
      </c>
    </row>
    <row r="108" spans="1:13">
      <c r="A108" s="24">
        <v>47</v>
      </c>
      <c r="B108" s="24">
        <v>1830</v>
      </c>
      <c r="C108" s="33" t="s">
        <v>25</v>
      </c>
      <c r="D108" s="105">
        <v>17090269</v>
      </c>
      <c r="E108" s="105">
        <v>754104</v>
      </c>
      <c r="F108" s="105">
        <v>-2116412</v>
      </c>
      <c r="G108" s="106">
        <f t="shared" si="6"/>
        <v>15727961</v>
      </c>
      <c r="H108" s="28"/>
      <c r="I108" s="107">
        <v>-7751551</v>
      </c>
      <c r="J108" s="105">
        <v>-248353</v>
      </c>
      <c r="K108" s="105">
        <v>1987810</v>
      </c>
      <c r="L108" s="106">
        <f t="shared" si="7"/>
        <v>-6012094</v>
      </c>
      <c r="M108" s="30">
        <v>9715867</v>
      </c>
    </row>
    <row r="109" spans="1:13">
      <c r="A109" s="24">
        <v>47</v>
      </c>
      <c r="B109" s="24">
        <v>1835</v>
      </c>
      <c r="C109" s="33" t="s">
        <v>26</v>
      </c>
      <c r="D109" s="105">
        <v>10606249</v>
      </c>
      <c r="E109" s="105">
        <v>338896</v>
      </c>
      <c r="F109" s="105">
        <v>-1487905</v>
      </c>
      <c r="G109" s="106">
        <f t="shared" si="6"/>
        <v>9457240</v>
      </c>
      <c r="H109" s="28"/>
      <c r="I109" s="107">
        <v>-4577546</v>
      </c>
      <c r="J109" s="105">
        <v>-129627</v>
      </c>
      <c r="K109" s="105">
        <v>1408309</v>
      </c>
      <c r="L109" s="106">
        <f t="shared" si="7"/>
        <v>-3298864</v>
      </c>
      <c r="M109" s="30">
        <v>6158376</v>
      </c>
    </row>
    <row r="110" spans="1:13">
      <c r="A110" s="24">
        <v>47</v>
      </c>
      <c r="B110" s="24">
        <v>1840</v>
      </c>
      <c r="C110" s="33" t="s">
        <v>27</v>
      </c>
      <c r="D110" s="105">
        <v>9231616</v>
      </c>
      <c r="E110" s="105">
        <v>240730</v>
      </c>
      <c r="F110" s="105">
        <v>0</v>
      </c>
      <c r="G110" s="106">
        <f t="shared" si="6"/>
        <v>9472346</v>
      </c>
      <c r="H110" s="28"/>
      <c r="I110" s="107">
        <v>-5529343</v>
      </c>
      <c r="J110" s="105">
        <v>-93952</v>
      </c>
      <c r="K110" s="105">
        <v>0</v>
      </c>
      <c r="L110" s="106">
        <f t="shared" si="7"/>
        <v>-5623295</v>
      </c>
      <c r="M110" s="30">
        <v>3849051</v>
      </c>
    </row>
    <row r="111" spans="1:13">
      <c r="A111" s="24">
        <v>47</v>
      </c>
      <c r="B111" s="24">
        <v>1845</v>
      </c>
      <c r="C111" s="33" t="s">
        <v>28</v>
      </c>
      <c r="D111" s="105">
        <v>17672658</v>
      </c>
      <c r="E111" s="105">
        <v>274000</v>
      </c>
      <c r="F111" s="105">
        <v>-4179835</v>
      </c>
      <c r="G111" s="106">
        <f t="shared" si="6"/>
        <v>13766823</v>
      </c>
      <c r="H111" s="28"/>
      <c r="I111" s="107">
        <v>-11752384</v>
      </c>
      <c r="J111" s="105">
        <v>-207823</v>
      </c>
      <c r="K111" s="105">
        <v>4112582</v>
      </c>
      <c r="L111" s="106">
        <f t="shared" si="7"/>
        <v>-7847625</v>
      </c>
      <c r="M111" s="30">
        <v>5919198</v>
      </c>
    </row>
    <row r="112" spans="1:13">
      <c r="A112" s="24">
        <v>47</v>
      </c>
      <c r="B112" s="24">
        <v>1850</v>
      </c>
      <c r="C112" s="33" t="s">
        <v>29</v>
      </c>
      <c r="D112" s="105">
        <v>14436876</v>
      </c>
      <c r="E112" s="105">
        <v>276512</v>
      </c>
      <c r="F112" s="105">
        <v>-2633590</v>
      </c>
      <c r="G112" s="106">
        <f t="shared" si="6"/>
        <v>12079798</v>
      </c>
      <c r="H112" s="28"/>
      <c r="I112" s="107">
        <v>-8956976</v>
      </c>
      <c r="J112" s="105">
        <v>-182877</v>
      </c>
      <c r="K112" s="105">
        <v>2530147</v>
      </c>
      <c r="L112" s="106">
        <f t="shared" si="7"/>
        <v>-6609706</v>
      </c>
      <c r="M112" s="30">
        <v>5470092</v>
      </c>
    </row>
    <row r="113" spans="1:13">
      <c r="A113" s="24">
        <v>47</v>
      </c>
      <c r="B113" s="24">
        <v>1855</v>
      </c>
      <c r="C113" s="33" t="s">
        <v>75</v>
      </c>
      <c r="D113" s="105">
        <v>4681055</v>
      </c>
      <c r="E113" s="105">
        <v>188759</v>
      </c>
      <c r="F113" s="105">
        <v>0</v>
      </c>
      <c r="G113" s="106">
        <f t="shared" si="6"/>
        <v>4869814</v>
      </c>
      <c r="H113" s="28"/>
      <c r="I113" s="107">
        <v>-2735336</v>
      </c>
      <c r="J113" s="105">
        <v>-67926</v>
      </c>
      <c r="K113" s="105">
        <v>0</v>
      </c>
      <c r="L113" s="106">
        <f t="shared" si="7"/>
        <v>-2803262</v>
      </c>
      <c r="M113" s="30">
        <v>2066552</v>
      </c>
    </row>
    <row r="114" spans="1:13">
      <c r="A114" s="24">
        <v>47</v>
      </c>
      <c r="B114" s="24">
        <v>1860</v>
      </c>
      <c r="C114" s="33" t="s">
        <v>31</v>
      </c>
      <c r="D114" s="105">
        <v>7612305</v>
      </c>
      <c r="E114" s="105">
        <v>190000</v>
      </c>
      <c r="F114" s="105">
        <v>-2551947</v>
      </c>
      <c r="G114" s="106">
        <f t="shared" si="6"/>
        <v>5250358</v>
      </c>
      <c r="H114" s="28"/>
      <c r="I114" s="107">
        <v>-3746430</v>
      </c>
      <c r="J114" s="105">
        <v>-481565</v>
      </c>
      <c r="K114" s="105">
        <v>2267939</v>
      </c>
      <c r="L114" s="106">
        <f t="shared" si="7"/>
        <v>-1960056</v>
      </c>
      <c r="M114" s="30">
        <v>3290302</v>
      </c>
    </row>
    <row r="115" spans="1:13">
      <c r="A115" s="31"/>
      <c r="B115" s="31">
        <v>1890</v>
      </c>
      <c r="C115" s="32" t="s">
        <v>32</v>
      </c>
      <c r="D115" s="105">
        <v>468946</v>
      </c>
      <c r="E115" s="105"/>
      <c r="F115" s="105">
        <v>0</v>
      </c>
      <c r="G115" s="106">
        <f t="shared" si="6"/>
        <v>468946</v>
      </c>
      <c r="H115" s="28"/>
      <c r="I115" s="107">
        <v>0</v>
      </c>
      <c r="J115" s="105"/>
      <c r="K115" s="105">
        <v>0</v>
      </c>
      <c r="L115" s="106">
        <f t="shared" si="7"/>
        <v>0</v>
      </c>
      <c r="M115" s="30">
        <v>468946</v>
      </c>
    </row>
    <row r="116" spans="1:13">
      <c r="A116" s="31"/>
      <c r="B116" s="31">
        <v>1905</v>
      </c>
      <c r="C116" s="32" t="s">
        <v>21</v>
      </c>
      <c r="D116" s="105">
        <v>17041.330000000002</v>
      </c>
      <c r="E116" s="105"/>
      <c r="F116" s="105">
        <v>0</v>
      </c>
      <c r="G116" s="106">
        <f t="shared" si="6"/>
        <v>17041.330000000002</v>
      </c>
      <c r="H116" s="28"/>
      <c r="I116" s="107">
        <v>-17041.330000000002</v>
      </c>
      <c r="J116" s="105"/>
      <c r="K116" s="105">
        <v>0</v>
      </c>
      <c r="L116" s="106">
        <f t="shared" si="7"/>
        <v>-17041.330000000002</v>
      </c>
      <c r="M116" s="30">
        <v>0</v>
      </c>
    </row>
    <row r="117" spans="1:13">
      <c r="A117" s="24">
        <v>47</v>
      </c>
      <c r="B117" s="24">
        <v>1908</v>
      </c>
      <c r="C117" s="33" t="s">
        <v>33</v>
      </c>
      <c r="D117" s="105">
        <v>584985</v>
      </c>
      <c r="E117" s="105">
        <v>80000</v>
      </c>
      <c r="F117" s="105">
        <v>-63830</v>
      </c>
      <c r="G117" s="106">
        <f t="shared" si="6"/>
        <v>601155</v>
      </c>
      <c r="H117" s="28"/>
      <c r="I117" s="107">
        <v>-170262.11599999998</v>
      </c>
      <c r="J117" s="105">
        <v>-33755</v>
      </c>
      <c r="K117" s="105">
        <v>56052</v>
      </c>
      <c r="L117" s="106">
        <f t="shared" si="7"/>
        <v>-147965.11599999998</v>
      </c>
      <c r="M117" s="30">
        <v>453189.88400000002</v>
      </c>
    </row>
    <row r="118" spans="1:13">
      <c r="A118" s="24">
        <v>13</v>
      </c>
      <c r="B118" s="24">
        <v>1910</v>
      </c>
      <c r="C118" s="33" t="s">
        <v>34</v>
      </c>
      <c r="D118" s="105">
        <v>21798</v>
      </c>
      <c r="E118" s="105"/>
      <c r="F118" s="105">
        <v>0</v>
      </c>
      <c r="G118" s="106">
        <f t="shared" si="6"/>
        <v>21798</v>
      </c>
      <c r="H118" s="28"/>
      <c r="I118" s="107">
        <v>-21798.12</v>
      </c>
      <c r="J118" s="105"/>
      <c r="K118" s="105">
        <v>0</v>
      </c>
      <c r="L118" s="106">
        <f t="shared" si="7"/>
        <v>-21798.12</v>
      </c>
      <c r="M118" s="30">
        <v>-0.11999999999898137</v>
      </c>
    </row>
    <row r="119" spans="1:13">
      <c r="A119" s="24">
        <v>8</v>
      </c>
      <c r="B119" s="24">
        <v>1915</v>
      </c>
      <c r="C119" s="33" t="s">
        <v>35</v>
      </c>
      <c r="D119" s="105">
        <v>385253.15</v>
      </c>
      <c r="E119" s="105"/>
      <c r="F119" s="105">
        <v>-257192</v>
      </c>
      <c r="G119" s="106">
        <f t="shared" si="6"/>
        <v>128061.15000000002</v>
      </c>
      <c r="H119" s="28"/>
      <c r="I119" s="107">
        <v>-351165.76</v>
      </c>
      <c r="J119" s="105">
        <v>-5733</v>
      </c>
      <c r="K119" s="105">
        <v>257192</v>
      </c>
      <c r="L119" s="106">
        <f t="shared" si="7"/>
        <v>-99706.760000000009</v>
      </c>
      <c r="M119" s="30">
        <v>28354.390000000014</v>
      </c>
    </row>
    <row r="120" spans="1:13">
      <c r="A120" s="24">
        <v>10</v>
      </c>
      <c r="B120" s="24">
        <v>1920</v>
      </c>
      <c r="C120" s="33" t="s">
        <v>36</v>
      </c>
      <c r="D120" s="105">
        <v>540191.49000000011</v>
      </c>
      <c r="E120" s="105"/>
      <c r="F120" s="105">
        <v>-540191</v>
      </c>
      <c r="G120" s="106">
        <f t="shared" si="6"/>
        <v>0.4900000001071021</v>
      </c>
      <c r="H120" s="28"/>
      <c r="I120" s="107">
        <v>-540191.49</v>
      </c>
      <c r="J120" s="105"/>
      <c r="K120" s="105">
        <v>540191</v>
      </c>
      <c r="L120" s="106">
        <f t="shared" si="7"/>
        <v>-0.48999999999068677</v>
      </c>
      <c r="M120" s="30">
        <v>1.1641532182693481E-10</v>
      </c>
    </row>
    <row r="121" spans="1:13">
      <c r="A121" s="24">
        <v>45</v>
      </c>
      <c r="B121" s="34">
        <v>1920</v>
      </c>
      <c r="C121" s="25" t="s">
        <v>37</v>
      </c>
      <c r="D121" s="105">
        <v>75673.850000000006</v>
      </c>
      <c r="E121" s="105"/>
      <c r="F121" s="105">
        <v>-75674</v>
      </c>
      <c r="G121" s="106">
        <f t="shared" si="6"/>
        <v>-0.14999999999417923</v>
      </c>
      <c r="H121" s="28"/>
      <c r="I121" s="107">
        <v>-75673.850000000006</v>
      </c>
      <c r="J121" s="105"/>
      <c r="K121" s="105">
        <v>75674</v>
      </c>
      <c r="L121" s="106">
        <f t="shared" si="7"/>
        <v>0.14999999999417923</v>
      </c>
      <c r="M121" s="30">
        <v>0</v>
      </c>
    </row>
    <row r="122" spans="1:13">
      <c r="A122" s="24">
        <v>45.1</v>
      </c>
      <c r="B122" s="34">
        <v>1920</v>
      </c>
      <c r="C122" s="25" t="s">
        <v>38</v>
      </c>
      <c r="D122" s="105">
        <v>694837.82000000007</v>
      </c>
      <c r="E122" s="105">
        <v>38000</v>
      </c>
      <c r="F122" s="105">
        <v>-215019</v>
      </c>
      <c r="G122" s="106">
        <f t="shared" si="6"/>
        <v>517818.82000000007</v>
      </c>
      <c r="H122" s="28"/>
      <c r="I122" s="107">
        <v>-425130.71</v>
      </c>
      <c r="J122" s="105">
        <v>-76029</v>
      </c>
      <c r="K122" s="105">
        <v>215019</v>
      </c>
      <c r="L122" s="106">
        <f t="shared" si="7"/>
        <v>-286140.71000000002</v>
      </c>
      <c r="M122" s="30">
        <v>231678.11000000004</v>
      </c>
    </row>
    <row r="123" spans="1:13">
      <c r="A123" s="24">
        <v>10</v>
      </c>
      <c r="B123" s="24">
        <v>1930</v>
      </c>
      <c r="C123" s="33" t="s">
        <v>39</v>
      </c>
      <c r="D123" s="105">
        <v>3057594</v>
      </c>
      <c r="E123" s="105">
        <v>60000</v>
      </c>
      <c r="F123" s="105">
        <v>-34489</v>
      </c>
      <c r="G123" s="106">
        <f t="shared" si="6"/>
        <v>3083105</v>
      </c>
      <c r="H123" s="28"/>
      <c r="I123" s="107">
        <v>-2154029</v>
      </c>
      <c r="J123" s="105">
        <v>-116088</v>
      </c>
      <c r="K123" s="105">
        <v>34489</v>
      </c>
      <c r="L123" s="106">
        <f t="shared" si="7"/>
        <v>-2235628</v>
      </c>
      <c r="M123" s="30">
        <v>847477</v>
      </c>
    </row>
    <row r="124" spans="1:13">
      <c r="A124" s="24">
        <v>8</v>
      </c>
      <c r="B124" s="24">
        <v>1935</v>
      </c>
      <c r="C124" s="33" t="s">
        <v>40</v>
      </c>
      <c r="D124" s="105">
        <v>36199.29</v>
      </c>
      <c r="E124" s="105"/>
      <c r="F124" s="105">
        <v>0</v>
      </c>
      <c r="G124" s="106">
        <f t="shared" si="6"/>
        <v>36199.29</v>
      </c>
      <c r="H124" s="28"/>
      <c r="I124" s="107">
        <v>-36199.29</v>
      </c>
      <c r="J124" s="105"/>
      <c r="K124" s="105">
        <v>0</v>
      </c>
      <c r="L124" s="106">
        <f t="shared" si="7"/>
        <v>-36199.29</v>
      </c>
      <c r="M124" s="30">
        <v>0</v>
      </c>
    </row>
    <row r="125" spans="1:13">
      <c r="A125" s="24">
        <v>8</v>
      </c>
      <c r="B125" s="24">
        <v>1940</v>
      </c>
      <c r="C125" s="33" t="s">
        <v>41</v>
      </c>
      <c r="D125" s="105">
        <v>826577.82000000007</v>
      </c>
      <c r="E125" s="105">
        <v>30000</v>
      </c>
      <c r="F125" s="105">
        <v>-349037</v>
      </c>
      <c r="G125" s="106">
        <f t="shared" si="6"/>
        <v>507540.82000000007</v>
      </c>
      <c r="H125" s="28"/>
      <c r="I125" s="107">
        <v>-694241.1100000001</v>
      </c>
      <c r="J125" s="105">
        <v>-29790</v>
      </c>
      <c r="K125" s="105">
        <v>349037</v>
      </c>
      <c r="L125" s="106">
        <f t="shared" si="7"/>
        <v>-374994.1100000001</v>
      </c>
      <c r="M125" s="30">
        <v>132546.70999999996</v>
      </c>
    </row>
    <row r="126" spans="1:13">
      <c r="A126" s="24">
        <v>8</v>
      </c>
      <c r="B126" s="24">
        <v>1945</v>
      </c>
      <c r="C126" s="33" t="s">
        <v>42</v>
      </c>
      <c r="D126" s="105">
        <v>39170</v>
      </c>
      <c r="E126" s="105"/>
      <c r="F126" s="105">
        <v>0</v>
      </c>
      <c r="G126" s="106">
        <f t="shared" si="6"/>
        <v>39170</v>
      </c>
      <c r="H126" s="28"/>
      <c r="I126" s="107">
        <v>-29511.16</v>
      </c>
      <c r="J126" s="105">
        <v>-3220</v>
      </c>
      <c r="K126" s="105">
        <v>0</v>
      </c>
      <c r="L126" s="106">
        <f t="shared" si="7"/>
        <v>-32731.16</v>
      </c>
      <c r="M126" s="30">
        <v>6438.84</v>
      </c>
    </row>
    <row r="127" spans="1:13">
      <c r="A127" s="24">
        <v>8</v>
      </c>
      <c r="B127" s="24">
        <v>1955</v>
      </c>
      <c r="C127" s="33" t="s">
        <v>43</v>
      </c>
      <c r="D127" s="105">
        <v>106528</v>
      </c>
      <c r="E127" s="105"/>
      <c r="F127" s="105">
        <v>-60668</v>
      </c>
      <c r="G127" s="106">
        <f t="shared" si="6"/>
        <v>45860</v>
      </c>
      <c r="H127" s="28"/>
      <c r="I127" s="107">
        <v>-106161.3</v>
      </c>
      <c r="J127" s="107">
        <v>-295</v>
      </c>
      <c r="K127" s="105">
        <v>60668</v>
      </c>
      <c r="L127" s="106">
        <f t="shared" si="7"/>
        <v>-45788.3</v>
      </c>
      <c r="M127" s="30">
        <v>71.69999999999709</v>
      </c>
    </row>
    <row r="128" spans="1:13">
      <c r="A128" s="34">
        <v>8</v>
      </c>
      <c r="B128" s="34">
        <v>1960</v>
      </c>
      <c r="C128" s="25" t="s">
        <v>44</v>
      </c>
      <c r="D128" s="105">
        <v>7842</v>
      </c>
      <c r="E128" s="105"/>
      <c r="F128" s="105">
        <v>0</v>
      </c>
      <c r="G128" s="106">
        <f t="shared" si="6"/>
        <v>7842</v>
      </c>
      <c r="H128" s="28"/>
      <c r="I128" s="107">
        <v>-4705.2199999999993</v>
      </c>
      <c r="J128" s="107">
        <v>-784</v>
      </c>
      <c r="K128" s="105">
        <v>0</v>
      </c>
      <c r="L128" s="106">
        <f t="shared" si="7"/>
        <v>-5489.2199999999993</v>
      </c>
      <c r="M128" s="30">
        <v>2352.7800000000007</v>
      </c>
    </row>
    <row r="129" spans="1:13" ht="25.5">
      <c r="A129" s="1">
        <v>47</v>
      </c>
      <c r="B129" s="34">
        <v>1970</v>
      </c>
      <c r="C129" s="33" t="s">
        <v>45</v>
      </c>
      <c r="D129" s="105">
        <v>245119</v>
      </c>
      <c r="E129" s="105"/>
      <c r="F129" s="105">
        <v>0</v>
      </c>
      <c r="G129" s="106">
        <f t="shared" si="6"/>
        <v>245119</v>
      </c>
      <c r="H129" s="28"/>
      <c r="I129" s="107">
        <v>-201370.14</v>
      </c>
      <c r="J129" s="107">
        <v>-24698</v>
      </c>
      <c r="K129" s="105">
        <v>0</v>
      </c>
      <c r="L129" s="106">
        <f t="shared" si="7"/>
        <v>-226068.14</v>
      </c>
      <c r="M129" s="30">
        <v>19050.859999999986</v>
      </c>
    </row>
    <row r="130" spans="1:13">
      <c r="A130" s="24">
        <v>47</v>
      </c>
      <c r="B130" s="24">
        <v>1980</v>
      </c>
      <c r="C130" s="33" t="s">
        <v>46</v>
      </c>
      <c r="D130" s="105">
        <v>377351</v>
      </c>
      <c r="E130" s="105">
        <v>50000</v>
      </c>
      <c r="F130" s="105">
        <v>0</v>
      </c>
      <c r="G130" s="106">
        <f t="shared" si="6"/>
        <v>427351</v>
      </c>
      <c r="H130" s="28"/>
      <c r="I130" s="107">
        <v>-262583.71000000002</v>
      </c>
      <c r="J130" s="105">
        <v>-11817</v>
      </c>
      <c r="K130" s="105">
        <v>0</v>
      </c>
      <c r="L130" s="106">
        <f t="shared" si="7"/>
        <v>-274400.71000000002</v>
      </c>
      <c r="M130" s="30">
        <v>152950.28999999998</v>
      </c>
    </row>
    <row r="131" spans="1:13">
      <c r="A131" s="24">
        <v>47</v>
      </c>
      <c r="B131" s="24">
        <v>1995</v>
      </c>
      <c r="C131" s="33" t="s">
        <v>47</v>
      </c>
      <c r="D131" s="105">
        <v>-4896472.6700000009</v>
      </c>
      <c r="E131" s="105">
        <v>-150000</v>
      </c>
      <c r="F131" s="105">
        <v>0</v>
      </c>
      <c r="G131" s="106">
        <f t="shared" si="6"/>
        <v>-5046472.6700000009</v>
      </c>
      <c r="H131" s="28"/>
      <c r="I131" s="105">
        <v>1396894.7</v>
      </c>
      <c r="J131" s="105">
        <v>101122</v>
      </c>
      <c r="K131" s="105">
        <v>0</v>
      </c>
      <c r="L131" s="106">
        <f t="shared" si="7"/>
        <v>1498016.7</v>
      </c>
      <c r="M131" s="30">
        <v>-3548455.9700000007</v>
      </c>
    </row>
    <row r="132" spans="1:13">
      <c r="A132" s="35"/>
      <c r="B132" s="35">
        <v>2075</v>
      </c>
      <c r="C132" s="108" t="s">
        <v>48</v>
      </c>
      <c r="D132" s="105">
        <v>294688</v>
      </c>
      <c r="E132" s="105"/>
      <c r="F132" s="105">
        <v>0</v>
      </c>
      <c r="G132" s="106">
        <f t="shared" si="6"/>
        <v>294688</v>
      </c>
      <c r="H132" s="101"/>
      <c r="I132" s="105">
        <v>-36964</v>
      </c>
      <c r="J132" s="105">
        <v>-14863</v>
      </c>
      <c r="K132" s="105">
        <v>0</v>
      </c>
      <c r="L132" s="106">
        <f t="shared" si="7"/>
        <v>-51827</v>
      </c>
      <c r="M132" s="30">
        <v>242861</v>
      </c>
    </row>
    <row r="133" spans="1:13">
      <c r="A133" s="35">
        <v>14</v>
      </c>
      <c r="B133" s="35">
        <v>1609</v>
      </c>
      <c r="C133" s="108" t="s">
        <v>61</v>
      </c>
      <c r="D133" s="105">
        <v>1710026</v>
      </c>
      <c r="E133" s="105"/>
      <c r="F133" s="105"/>
      <c r="G133" s="106">
        <f t="shared" si="6"/>
        <v>1710026</v>
      </c>
      <c r="H133" s="101"/>
      <c r="I133" s="105">
        <v>-18278</v>
      </c>
      <c r="J133" s="105">
        <v>-59334</v>
      </c>
      <c r="K133" s="105"/>
      <c r="L133" s="106">
        <f t="shared" si="7"/>
        <v>-77612</v>
      </c>
      <c r="M133" s="30">
        <v>1632414</v>
      </c>
    </row>
    <row r="134" spans="1:13">
      <c r="A134" s="35"/>
      <c r="B134" s="35"/>
      <c r="C134" s="109" t="s">
        <v>49</v>
      </c>
      <c r="D134" s="39">
        <f>SUM(D104:D133)</f>
        <v>90496895.299999982</v>
      </c>
      <c r="E134" s="39">
        <f>SUM(E104:E133)</f>
        <v>2623001</v>
      </c>
      <c r="F134" s="39">
        <f>SUM(F104:F133)</f>
        <v>-15722884</v>
      </c>
      <c r="G134" s="39">
        <v>77397012.299999982</v>
      </c>
      <c r="H134" s="39"/>
      <c r="I134" s="39">
        <f>SUM(I104:I133)</f>
        <v>-52019675.525999986</v>
      </c>
      <c r="J134" s="39">
        <f>SUM(J104:J133)</f>
        <v>-1848900</v>
      </c>
      <c r="K134" s="39">
        <f>SUM(K104:K133)</f>
        <v>14976587</v>
      </c>
      <c r="L134" s="39">
        <f>SUM(L104:L133)</f>
        <v>-38891988.525999986</v>
      </c>
      <c r="M134" s="39">
        <f>SUM(M104:M133)</f>
        <v>38505023.774000011</v>
      </c>
    </row>
    <row r="135" spans="1:13" ht="25.5">
      <c r="A135" s="35"/>
      <c r="B135" s="35"/>
      <c r="C135" s="40" t="s">
        <v>50</v>
      </c>
      <c r="D135" s="37"/>
      <c r="E135" s="37"/>
      <c r="F135" s="37"/>
      <c r="G135" s="106">
        <v>0</v>
      </c>
      <c r="H135" s="101"/>
      <c r="I135" s="37"/>
      <c r="J135" s="37"/>
      <c r="K135" s="37"/>
      <c r="L135" s="106">
        <v>0</v>
      </c>
      <c r="M135" s="30">
        <v>0</v>
      </c>
    </row>
    <row r="136" spans="1:13" ht="25.5">
      <c r="A136" s="35"/>
      <c r="B136" s="35"/>
      <c r="C136" s="41" t="s">
        <v>51</v>
      </c>
      <c r="D136" s="42">
        <v>-294688</v>
      </c>
      <c r="E136" s="37"/>
      <c r="F136" s="37"/>
      <c r="G136" s="106">
        <v>-294688</v>
      </c>
      <c r="H136" s="101"/>
      <c r="I136" s="42">
        <v>36964</v>
      </c>
      <c r="J136" s="42">
        <f>-J132</f>
        <v>14863</v>
      </c>
      <c r="K136" s="37"/>
      <c r="L136" s="106">
        <f>SUM(I136:K136)</f>
        <v>51827</v>
      </c>
      <c r="M136" s="30">
        <v>-242861</v>
      </c>
    </row>
    <row r="137" spans="1:13">
      <c r="A137" s="35"/>
      <c r="B137" s="35"/>
      <c r="C137" s="109" t="s">
        <v>52</v>
      </c>
      <c r="D137" s="39">
        <v>90202207.299999982</v>
      </c>
      <c r="E137" s="39">
        <v>2623001</v>
      </c>
      <c r="F137" s="39">
        <v>-15722884</v>
      </c>
      <c r="G137" s="39">
        <v>77102324.299999982</v>
      </c>
      <c r="H137" s="39"/>
      <c r="I137" s="39">
        <f>I134+I136</f>
        <v>-51982711.525999986</v>
      </c>
      <c r="J137" s="39">
        <f>J134+J136</f>
        <v>-1834037</v>
      </c>
      <c r="K137" s="39">
        <f>K134+K136</f>
        <v>14976587</v>
      </c>
      <c r="L137" s="39">
        <f>L134+L136</f>
        <v>-38840161.525999986</v>
      </c>
      <c r="M137" s="39">
        <f>M134+M136</f>
        <v>38262162.774000011</v>
      </c>
    </row>
    <row r="138" spans="1:13">
      <c r="A138" s="101"/>
      <c r="B138" s="101"/>
      <c r="C138" s="102"/>
      <c r="D138" s="101"/>
      <c r="E138" s="101"/>
      <c r="F138" s="101"/>
      <c r="G138" s="101"/>
      <c r="H138" s="101"/>
      <c r="I138" s="101"/>
      <c r="J138" s="101"/>
      <c r="K138" s="101"/>
      <c r="L138" s="101"/>
      <c r="M138" s="101"/>
    </row>
    <row r="139" spans="1:13">
      <c r="A139" s="101"/>
      <c r="B139" s="101"/>
      <c r="C139" s="102"/>
      <c r="D139" s="101"/>
      <c r="E139" s="101"/>
      <c r="F139" s="101"/>
      <c r="G139" s="101"/>
      <c r="H139" s="101"/>
      <c r="I139" s="43" t="s">
        <v>53</v>
      </c>
      <c r="J139" s="44"/>
      <c r="K139" s="101"/>
      <c r="L139" s="101"/>
      <c r="M139" s="101"/>
    </row>
    <row r="140" spans="1:13">
      <c r="A140" s="35">
        <v>10</v>
      </c>
      <c r="B140" s="35"/>
      <c r="C140" s="108" t="s">
        <v>54</v>
      </c>
      <c r="D140" s="101"/>
      <c r="E140" s="101"/>
      <c r="F140" s="101"/>
      <c r="G140" s="101"/>
      <c r="H140" s="101"/>
      <c r="I140" s="44" t="s">
        <v>54</v>
      </c>
      <c r="J140" s="44"/>
      <c r="K140" s="110">
        <v>-150081</v>
      </c>
      <c r="L140" s="101"/>
      <c r="M140" s="101"/>
    </row>
    <row r="141" spans="1:13">
      <c r="A141" s="35">
        <v>8</v>
      </c>
      <c r="B141" s="35"/>
      <c r="C141" s="108" t="s">
        <v>40</v>
      </c>
      <c r="D141" s="101"/>
      <c r="E141" s="101"/>
      <c r="F141" s="101"/>
      <c r="G141" s="101"/>
      <c r="H141" s="101"/>
      <c r="I141" s="44" t="s">
        <v>40</v>
      </c>
      <c r="J141" s="44"/>
      <c r="K141" s="111"/>
      <c r="L141" s="101"/>
      <c r="M141" s="101"/>
    </row>
    <row r="142" spans="1:13">
      <c r="A142" s="1"/>
      <c r="B142" s="1"/>
      <c r="C142" s="2"/>
      <c r="D142" s="2"/>
      <c r="E142" s="2"/>
      <c r="F142" s="2"/>
      <c r="G142" s="2"/>
      <c r="H142" s="3"/>
      <c r="I142" s="2"/>
      <c r="J142" s="2"/>
      <c r="K142" s="100"/>
      <c r="L142" s="2"/>
      <c r="M142" s="2"/>
    </row>
    <row r="143" spans="1:13" ht="18">
      <c r="A143" s="130" t="s">
        <v>6</v>
      </c>
      <c r="B143" s="130"/>
      <c r="C143" s="130"/>
      <c r="D143" s="130"/>
      <c r="E143" s="130"/>
      <c r="F143" s="130"/>
      <c r="G143" s="130"/>
      <c r="H143" s="130"/>
      <c r="I143" s="130"/>
      <c r="J143" s="130"/>
      <c r="K143" s="130"/>
      <c r="L143" s="130"/>
      <c r="M143" s="130"/>
    </row>
    <row r="144" spans="1:13" ht="18">
      <c r="A144" s="130" t="s">
        <v>79</v>
      </c>
      <c r="B144" s="130"/>
      <c r="C144" s="130"/>
      <c r="D144" s="130"/>
      <c r="E144" s="130"/>
      <c r="F144" s="130"/>
      <c r="G144" s="130"/>
      <c r="H144" s="130"/>
      <c r="I144" s="130"/>
      <c r="J144" s="130"/>
      <c r="K144" s="130"/>
      <c r="L144" s="130"/>
      <c r="M144" s="130"/>
    </row>
    <row r="145" spans="1:13">
      <c r="A145" s="1"/>
      <c r="B145" s="1"/>
      <c r="C145" s="2"/>
      <c r="D145" s="2"/>
      <c r="E145" s="2"/>
      <c r="F145" s="2"/>
      <c r="G145" s="2"/>
      <c r="H145" s="3"/>
      <c r="I145" s="2"/>
      <c r="J145" s="2"/>
      <c r="K145" s="2"/>
      <c r="L145" s="2"/>
      <c r="M145" s="2"/>
    </row>
    <row r="146" spans="1:13">
      <c r="A146" s="1"/>
      <c r="B146" s="1"/>
      <c r="C146" s="10"/>
      <c r="D146" s="2"/>
      <c r="E146" s="11" t="s">
        <v>8</v>
      </c>
      <c r="F146" s="12">
        <v>2015</v>
      </c>
      <c r="G146" s="112" t="s">
        <v>87</v>
      </c>
      <c r="H146" s="3"/>
      <c r="I146" s="2"/>
      <c r="J146" s="2"/>
      <c r="K146" s="2"/>
      <c r="L146" s="2"/>
      <c r="M146" s="2"/>
    </row>
    <row r="147" spans="1:13">
      <c r="A147" s="1"/>
      <c r="B147" s="1"/>
      <c r="C147" s="2"/>
      <c r="D147" s="2"/>
      <c r="E147" s="2"/>
      <c r="F147" s="2"/>
      <c r="G147" s="2" t="s">
        <v>88</v>
      </c>
      <c r="H147" s="3"/>
      <c r="I147" s="2"/>
      <c r="J147" s="2"/>
      <c r="K147" s="2"/>
      <c r="L147" s="2"/>
      <c r="M147" s="2"/>
    </row>
    <row r="148" spans="1:13">
      <c r="A148" s="1"/>
      <c r="B148" s="1"/>
      <c r="C148" s="2"/>
      <c r="D148" s="137" t="s">
        <v>9</v>
      </c>
      <c r="E148" s="138"/>
      <c r="F148" s="138"/>
      <c r="G148" s="139"/>
      <c r="H148" s="3"/>
      <c r="I148" s="14"/>
      <c r="J148" s="15" t="s">
        <v>10</v>
      </c>
      <c r="K148" s="15"/>
      <c r="L148" s="16"/>
      <c r="M148" s="3"/>
    </row>
    <row r="149" spans="1:13" ht="26.25">
      <c r="A149" s="17" t="s">
        <v>11</v>
      </c>
      <c r="B149" s="18" t="s">
        <v>12</v>
      </c>
      <c r="C149" s="19" t="s">
        <v>13</v>
      </c>
      <c r="D149" s="17" t="s">
        <v>14</v>
      </c>
      <c r="E149" s="18" t="s">
        <v>15</v>
      </c>
      <c r="F149" s="18" t="s">
        <v>16</v>
      </c>
      <c r="G149" s="17" t="s">
        <v>17</v>
      </c>
      <c r="H149" s="20"/>
      <c r="I149" s="21" t="s">
        <v>14</v>
      </c>
      <c r="J149" s="22" t="s">
        <v>15</v>
      </c>
      <c r="K149" s="22" t="s">
        <v>16</v>
      </c>
      <c r="L149" s="23" t="s">
        <v>17</v>
      </c>
      <c r="M149" s="17" t="s">
        <v>18</v>
      </c>
    </row>
    <row r="150" spans="1:13" ht="25.5">
      <c r="A150" s="24">
        <v>12</v>
      </c>
      <c r="B150" s="24">
        <v>1611</v>
      </c>
      <c r="C150" s="25" t="s">
        <v>19</v>
      </c>
      <c r="D150" s="26">
        <v>344871.0418571427</v>
      </c>
      <c r="E150" s="26">
        <v>215000</v>
      </c>
      <c r="F150" s="26">
        <v>0</v>
      </c>
      <c r="G150" s="27">
        <f t="shared" ref="G150:G191" si="8">SUM(D150:F150)</f>
        <v>559871.0418571427</v>
      </c>
      <c r="H150" s="28"/>
      <c r="I150" s="29">
        <v>0</v>
      </c>
      <c r="J150" s="26">
        <v>-124901.35557142858</v>
      </c>
      <c r="K150" s="26">
        <v>0</v>
      </c>
      <c r="L150" s="27">
        <f t="shared" ref="L150:L191" si="9">SUM(I150:K150)</f>
        <v>-124901.35557142858</v>
      </c>
      <c r="M150" s="30">
        <f t="shared" ref="M150:M191" si="10">G150+L150</f>
        <v>434969.68628571415</v>
      </c>
    </row>
    <row r="151" spans="1:13">
      <c r="A151" s="31" t="s">
        <v>20</v>
      </c>
      <c r="B151" s="31">
        <v>1805</v>
      </c>
      <c r="C151" s="32" t="s">
        <v>21</v>
      </c>
      <c r="D151" s="26">
        <v>338728.38000000012</v>
      </c>
      <c r="E151" s="26">
        <v>913473.27</v>
      </c>
      <c r="F151" s="26">
        <v>0</v>
      </c>
      <c r="G151" s="27">
        <f t="shared" si="8"/>
        <v>1252201.6500000001</v>
      </c>
      <c r="H151" s="28"/>
      <c r="I151" s="29">
        <v>0</v>
      </c>
      <c r="J151" s="26">
        <v>0</v>
      </c>
      <c r="K151" s="26">
        <v>0</v>
      </c>
      <c r="L151" s="27">
        <f t="shared" si="9"/>
        <v>0</v>
      </c>
      <c r="M151" s="30">
        <f t="shared" si="10"/>
        <v>1252201.6500000001</v>
      </c>
    </row>
    <row r="152" spans="1:13">
      <c r="A152" s="24">
        <v>47</v>
      </c>
      <c r="B152" s="24">
        <v>1808</v>
      </c>
      <c r="C152" s="33" t="s">
        <v>22</v>
      </c>
      <c r="D152" s="26">
        <f>521258+7120</f>
        <v>528378</v>
      </c>
      <c r="E152" s="26">
        <v>0</v>
      </c>
      <c r="F152" s="26">
        <v>-70839.79979699041</v>
      </c>
      <c r="G152" s="27">
        <f t="shared" si="8"/>
        <v>457538.20020300959</v>
      </c>
      <c r="H152" s="28"/>
      <c r="I152" s="29">
        <v>0</v>
      </c>
      <c r="J152" s="26">
        <f>-38156-3656</f>
        <v>-41812</v>
      </c>
      <c r="K152" s="26">
        <v>0</v>
      </c>
      <c r="L152" s="27">
        <f t="shared" si="9"/>
        <v>-41812</v>
      </c>
      <c r="M152" s="30">
        <f t="shared" si="10"/>
        <v>415726.20020300959</v>
      </c>
    </row>
    <row r="153" spans="1:13">
      <c r="A153" s="24">
        <v>47</v>
      </c>
      <c r="B153" s="24">
        <v>1815</v>
      </c>
      <c r="C153" s="33" t="s">
        <v>23</v>
      </c>
      <c r="D153" s="26">
        <v>0.15999999997438863</v>
      </c>
      <c r="E153" s="26">
        <v>13961839.850000001</v>
      </c>
      <c r="F153" s="26">
        <v>0</v>
      </c>
      <c r="G153" s="27">
        <f t="shared" si="8"/>
        <v>13961840.010000002</v>
      </c>
      <c r="H153" s="28"/>
      <c r="I153" s="29">
        <v>0</v>
      </c>
      <c r="J153" s="26">
        <v>-667058.92705291603</v>
      </c>
      <c r="K153" s="26">
        <v>0</v>
      </c>
      <c r="L153" s="27">
        <f t="shared" si="9"/>
        <v>-667058.92705291603</v>
      </c>
      <c r="M153" s="30">
        <f t="shared" si="10"/>
        <v>13294781.082947087</v>
      </c>
    </row>
    <row r="154" spans="1:13">
      <c r="A154" s="24">
        <v>47</v>
      </c>
      <c r="B154" s="24">
        <v>1820</v>
      </c>
      <c r="C154" s="33" t="s">
        <v>24</v>
      </c>
      <c r="D154" s="26">
        <v>226962.25661388878</v>
      </c>
      <c r="E154" s="26">
        <v>0</v>
      </c>
      <c r="F154" s="26">
        <v>-1377.875</v>
      </c>
      <c r="G154" s="27">
        <f t="shared" si="8"/>
        <v>225584.38161388878</v>
      </c>
      <c r="H154" s="28"/>
      <c r="I154" s="29">
        <v>0</v>
      </c>
      <c r="J154" s="26">
        <v>-27834.886493055561</v>
      </c>
      <c r="K154" s="26">
        <v>0</v>
      </c>
      <c r="L154" s="27">
        <f t="shared" si="9"/>
        <v>-27834.886493055561</v>
      </c>
      <c r="M154" s="30">
        <f t="shared" si="10"/>
        <v>197749.49512083322</v>
      </c>
    </row>
    <row r="155" spans="1:13">
      <c r="A155" s="24">
        <v>47</v>
      </c>
      <c r="B155" s="24">
        <v>1830</v>
      </c>
      <c r="C155" s="33" t="s">
        <v>25</v>
      </c>
      <c r="D155" s="26">
        <v>3941018.2245830693</v>
      </c>
      <c r="E155" s="26">
        <v>199977.88139750899</v>
      </c>
      <c r="F155" s="26">
        <v>-47419.791444621049</v>
      </c>
      <c r="G155" s="27">
        <f t="shared" si="8"/>
        <v>4093576.3145359573</v>
      </c>
      <c r="H155" s="28"/>
      <c r="I155" s="29">
        <v>0</v>
      </c>
      <c r="J155" s="26">
        <v>-78302.524999526053</v>
      </c>
      <c r="K155" s="26">
        <v>0</v>
      </c>
      <c r="L155" s="27">
        <f t="shared" si="9"/>
        <v>-78302.524999526053</v>
      </c>
      <c r="M155" s="30">
        <f t="shared" si="10"/>
        <v>4015273.7895364314</v>
      </c>
    </row>
    <row r="156" spans="1:13">
      <c r="A156" s="24"/>
      <c r="B156" s="24">
        <v>1831</v>
      </c>
      <c r="C156" s="33" t="s">
        <v>89</v>
      </c>
      <c r="D156" s="26">
        <v>673598.79180476803</v>
      </c>
      <c r="E156" s="26">
        <v>48606.831312999922</v>
      </c>
      <c r="F156" s="26">
        <v>-31764.57650779211</v>
      </c>
      <c r="G156" s="27">
        <f t="shared" si="8"/>
        <v>690441.04660997586</v>
      </c>
      <c r="H156" s="28"/>
      <c r="I156" s="29">
        <v>0</v>
      </c>
      <c r="J156" s="26">
        <v>-18145.668386703732</v>
      </c>
      <c r="K156" s="26">
        <v>0</v>
      </c>
      <c r="L156" s="27">
        <f t="shared" si="9"/>
        <v>-18145.668386703732</v>
      </c>
      <c r="M156" s="30">
        <f t="shared" si="10"/>
        <v>672295.37822327216</v>
      </c>
    </row>
    <row r="157" spans="1:13">
      <c r="A157" s="24"/>
      <c r="B157" s="24">
        <v>1832</v>
      </c>
      <c r="C157" s="33" t="s">
        <v>90</v>
      </c>
      <c r="D157" s="26">
        <v>5094107.285478537</v>
      </c>
      <c r="E157" s="26">
        <v>379216.74739263905</v>
      </c>
      <c r="F157" s="26">
        <v>-43576.389747816022</v>
      </c>
      <c r="G157" s="27">
        <f t="shared" si="8"/>
        <v>5429747.6431233594</v>
      </c>
      <c r="H157" s="28"/>
      <c r="I157" s="29">
        <v>0</v>
      </c>
      <c r="J157" s="26">
        <v>-165568.61040416127</v>
      </c>
      <c r="K157" s="26">
        <v>0</v>
      </c>
      <c r="L157" s="27">
        <f t="shared" si="9"/>
        <v>-165568.61040416127</v>
      </c>
      <c r="M157" s="30">
        <f t="shared" si="10"/>
        <v>5264179.0327191986</v>
      </c>
    </row>
    <row r="158" spans="1:13">
      <c r="A158" s="24"/>
      <c r="B158" s="24">
        <v>1833</v>
      </c>
      <c r="C158" s="33" t="s">
        <v>91</v>
      </c>
      <c r="D158" s="26">
        <v>989282.72562811722</v>
      </c>
      <c r="E158" s="26">
        <v>45883.272337229173</v>
      </c>
      <c r="F158" s="26">
        <v>-6338.9655045150721</v>
      </c>
      <c r="G158" s="27">
        <f t="shared" si="8"/>
        <v>1028827.0324608313</v>
      </c>
      <c r="H158" s="28"/>
      <c r="I158" s="29">
        <v>0</v>
      </c>
      <c r="J158" s="26">
        <v>-27832.787207174661</v>
      </c>
      <c r="K158" s="26">
        <v>0</v>
      </c>
      <c r="L158" s="27">
        <f t="shared" si="9"/>
        <v>-27832.787207174661</v>
      </c>
      <c r="M158" s="30">
        <f t="shared" si="10"/>
        <v>1000994.2452536566</v>
      </c>
    </row>
    <row r="159" spans="1:13">
      <c r="A159" s="24"/>
      <c r="B159" s="24">
        <v>1834</v>
      </c>
      <c r="C159" s="33" t="s">
        <v>92</v>
      </c>
      <c r="D159" s="26">
        <v>374621.67158788943</v>
      </c>
      <c r="E159" s="26">
        <v>0</v>
      </c>
      <c r="F159" s="26">
        <v>0</v>
      </c>
      <c r="G159" s="27">
        <f t="shared" si="8"/>
        <v>374621.67158788943</v>
      </c>
      <c r="H159" s="28"/>
      <c r="I159" s="29">
        <v>0</v>
      </c>
      <c r="J159" s="26">
        <v>-9910.602606055254</v>
      </c>
      <c r="K159" s="26">
        <v>0</v>
      </c>
      <c r="L159" s="27">
        <f t="shared" si="9"/>
        <v>-9910.602606055254</v>
      </c>
      <c r="M159" s="30">
        <f t="shared" si="10"/>
        <v>364711.06898183416</v>
      </c>
    </row>
    <row r="160" spans="1:13">
      <c r="A160" s="24">
        <v>47</v>
      </c>
      <c r="B160" s="24">
        <v>1835</v>
      </c>
      <c r="C160" s="33" t="s">
        <v>26</v>
      </c>
      <c r="D160" s="26">
        <v>4608121.2204257939</v>
      </c>
      <c r="E160" s="26">
        <v>221121.88290751085</v>
      </c>
      <c r="F160" s="26">
        <v>-71609.03347901185</v>
      </c>
      <c r="G160" s="27">
        <f t="shared" si="8"/>
        <v>4757634.069854293</v>
      </c>
      <c r="H160" s="28"/>
      <c r="I160" s="29">
        <v>0</v>
      </c>
      <c r="J160" s="26">
        <v>-90380.259810651085</v>
      </c>
      <c r="K160" s="26">
        <v>0</v>
      </c>
      <c r="L160" s="27">
        <f t="shared" si="9"/>
        <v>-90380.259810651085</v>
      </c>
      <c r="M160" s="30">
        <f t="shared" si="10"/>
        <v>4667253.8100436423</v>
      </c>
    </row>
    <row r="161" spans="1:13">
      <c r="A161" s="24"/>
      <c r="B161" s="24">
        <v>1836</v>
      </c>
      <c r="C161" s="33" t="s">
        <v>93</v>
      </c>
      <c r="D161" s="26">
        <v>172958.62413271572</v>
      </c>
      <c r="E161" s="26">
        <v>0</v>
      </c>
      <c r="F161" s="26">
        <v>0</v>
      </c>
      <c r="G161" s="27">
        <f t="shared" si="8"/>
        <v>172958.62413271572</v>
      </c>
      <c r="H161" s="28"/>
      <c r="I161" s="29">
        <v>0</v>
      </c>
      <c r="J161" s="26">
        <v>-5057.7724974421399</v>
      </c>
      <c r="K161" s="26">
        <v>0</v>
      </c>
      <c r="L161" s="27">
        <f t="shared" si="9"/>
        <v>-5057.7724974421399</v>
      </c>
      <c r="M161" s="30">
        <f t="shared" si="10"/>
        <v>167900.85163527358</v>
      </c>
    </row>
    <row r="162" spans="1:13">
      <c r="A162" s="24"/>
      <c r="B162" s="24">
        <v>1837</v>
      </c>
      <c r="C162" s="33" t="s">
        <v>94</v>
      </c>
      <c r="D162" s="26">
        <v>36276.524307692307</v>
      </c>
      <c r="E162" s="26">
        <v>0</v>
      </c>
      <c r="F162" s="26">
        <v>0</v>
      </c>
      <c r="G162" s="27">
        <f t="shared" si="8"/>
        <v>36276.524307692307</v>
      </c>
      <c r="H162" s="28"/>
      <c r="I162" s="29">
        <v>0</v>
      </c>
      <c r="J162" s="26">
        <v>-1511.5218461538461</v>
      </c>
      <c r="K162" s="26">
        <v>0</v>
      </c>
      <c r="L162" s="27">
        <f t="shared" si="9"/>
        <v>-1511.5218461538461</v>
      </c>
      <c r="M162" s="30">
        <f t="shared" si="10"/>
        <v>34765.002461538461</v>
      </c>
    </row>
    <row r="163" spans="1:13">
      <c r="A163" s="24">
        <v>47</v>
      </c>
      <c r="B163" s="24">
        <v>1840</v>
      </c>
      <c r="C163" s="33" t="s">
        <v>27</v>
      </c>
      <c r="D163" s="26">
        <v>2243021.6115219663</v>
      </c>
      <c r="E163" s="26">
        <v>159571.76380717789</v>
      </c>
      <c r="F163" s="26">
        <v>0</v>
      </c>
      <c r="G163" s="27">
        <f t="shared" si="8"/>
        <v>2402593.3753291443</v>
      </c>
      <c r="H163" s="28"/>
      <c r="I163" s="29">
        <v>0</v>
      </c>
      <c r="J163" s="26">
        <v>-61429.837558536012</v>
      </c>
      <c r="K163" s="26">
        <v>0</v>
      </c>
      <c r="L163" s="27">
        <f t="shared" si="9"/>
        <v>-61429.837558536012</v>
      </c>
      <c r="M163" s="30">
        <f t="shared" si="10"/>
        <v>2341163.5377706084</v>
      </c>
    </row>
    <row r="164" spans="1:13">
      <c r="A164" s="24"/>
      <c r="B164" s="24">
        <v>1841</v>
      </c>
      <c r="C164" s="33" t="s">
        <v>95</v>
      </c>
      <c r="D164" s="26">
        <v>737740.65393393382</v>
      </c>
      <c r="E164" s="26">
        <v>44413.80176195794</v>
      </c>
      <c r="F164" s="26">
        <v>0</v>
      </c>
      <c r="G164" s="27">
        <f t="shared" si="8"/>
        <v>782154.45569589175</v>
      </c>
      <c r="H164" s="28"/>
      <c r="I164" s="29">
        <v>0</v>
      </c>
      <c r="J164" s="26">
        <v>-16750.042038817301</v>
      </c>
      <c r="K164" s="26">
        <v>0</v>
      </c>
      <c r="L164" s="27">
        <f t="shared" si="9"/>
        <v>-16750.042038817301</v>
      </c>
      <c r="M164" s="30">
        <f t="shared" si="10"/>
        <v>765404.41365707444</v>
      </c>
    </row>
    <row r="165" spans="1:13">
      <c r="A165" s="24"/>
      <c r="B165" s="24">
        <v>1844</v>
      </c>
      <c r="C165" s="33" t="s">
        <v>96</v>
      </c>
      <c r="D165" s="26">
        <v>167469.00328790862</v>
      </c>
      <c r="E165" s="26">
        <v>0</v>
      </c>
      <c r="F165" s="26">
        <v>-45204.774486519396</v>
      </c>
      <c r="G165" s="27">
        <f t="shared" si="8"/>
        <v>122264.22880138922</v>
      </c>
      <c r="H165" s="28"/>
      <c r="I165" s="29">
        <v>0</v>
      </c>
      <c r="J165" s="26">
        <v>-10347.813356045757</v>
      </c>
      <c r="K165" s="26">
        <v>0</v>
      </c>
      <c r="L165" s="27">
        <f t="shared" si="9"/>
        <v>-10347.813356045757</v>
      </c>
      <c r="M165" s="30">
        <f t="shared" si="10"/>
        <v>111916.41544534347</v>
      </c>
    </row>
    <row r="166" spans="1:13">
      <c r="A166" s="24">
        <v>47</v>
      </c>
      <c r="B166" s="24">
        <v>1845</v>
      </c>
      <c r="C166" s="33" t="s">
        <v>28</v>
      </c>
      <c r="D166" s="26">
        <v>4124893.1331185843</v>
      </c>
      <c r="E166" s="26">
        <v>125661.24633625882</v>
      </c>
      <c r="F166" s="26">
        <v>-13697.122125813024</v>
      </c>
      <c r="G166" s="27">
        <f t="shared" si="8"/>
        <v>4236857.25732903</v>
      </c>
      <c r="H166" s="28"/>
      <c r="I166" s="29">
        <v>0</v>
      </c>
      <c r="J166" s="26">
        <v>-143283.89433570948</v>
      </c>
      <c r="K166" s="26">
        <v>0</v>
      </c>
      <c r="L166" s="27">
        <f t="shared" si="9"/>
        <v>-143283.89433570948</v>
      </c>
      <c r="M166" s="30">
        <f t="shared" si="10"/>
        <v>4093573.3629933205</v>
      </c>
    </row>
    <row r="167" spans="1:13">
      <c r="A167" s="24"/>
      <c r="B167" s="24">
        <v>1846</v>
      </c>
      <c r="C167" s="33" t="s">
        <v>97</v>
      </c>
      <c r="D167" s="26">
        <v>716871.34379782062</v>
      </c>
      <c r="E167" s="26">
        <v>110000</v>
      </c>
      <c r="F167" s="26">
        <v>-105.82995250000386</v>
      </c>
      <c r="G167" s="27">
        <f t="shared" si="8"/>
        <v>826765.51384532056</v>
      </c>
      <c r="H167" s="28"/>
      <c r="I167" s="29">
        <v>0</v>
      </c>
      <c r="J167" s="26">
        <v>-34145.97371442405</v>
      </c>
      <c r="K167" s="26">
        <v>0</v>
      </c>
      <c r="L167" s="27">
        <f t="shared" si="9"/>
        <v>-34145.97371442405</v>
      </c>
      <c r="M167" s="30">
        <f t="shared" si="10"/>
        <v>792619.54013089649</v>
      </c>
    </row>
    <row r="168" spans="1:13">
      <c r="A168" s="24">
        <v>47</v>
      </c>
      <c r="B168" s="24">
        <v>1850</v>
      </c>
      <c r="C168" s="33" t="s">
        <v>98</v>
      </c>
      <c r="D168" s="26">
        <v>2281790.2751260456</v>
      </c>
      <c r="E168" s="26">
        <v>140096.83050292823</v>
      </c>
      <c r="F168" s="26">
        <v>-35105.690093700308</v>
      </c>
      <c r="G168" s="27">
        <f t="shared" si="8"/>
        <v>2386781.4155352735</v>
      </c>
      <c r="H168" s="28"/>
      <c r="I168" s="29">
        <v>0</v>
      </c>
      <c r="J168" s="26">
        <v>-78685.748179671471</v>
      </c>
      <c r="K168" s="26">
        <v>0</v>
      </c>
      <c r="L168" s="27">
        <f t="shared" si="9"/>
        <v>-78685.748179671471</v>
      </c>
      <c r="M168" s="30">
        <f t="shared" si="10"/>
        <v>2308095.6673556021</v>
      </c>
    </row>
    <row r="169" spans="1:13">
      <c r="A169" s="24"/>
      <c r="B169" s="24">
        <v>1851</v>
      </c>
      <c r="C169" s="33" t="s">
        <v>99</v>
      </c>
      <c r="D169" s="26">
        <v>2645253.752079444</v>
      </c>
      <c r="E169" s="26">
        <v>116449.29201874121</v>
      </c>
      <c r="F169" s="26">
        <v>-62665.476446337765</v>
      </c>
      <c r="G169" s="27">
        <f t="shared" si="8"/>
        <v>2699037.5676518474</v>
      </c>
      <c r="H169" s="28"/>
      <c r="I169" s="29">
        <v>0</v>
      </c>
      <c r="J169" s="26">
        <v>-94689.869291683048</v>
      </c>
      <c r="K169" s="26">
        <v>0</v>
      </c>
      <c r="L169" s="27">
        <f t="shared" si="9"/>
        <v>-94689.869291683048</v>
      </c>
      <c r="M169" s="30">
        <f t="shared" si="10"/>
        <v>2604347.6983601642</v>
      </c>
    </row>
    <row r="170" spans="1:13">
      <c r="A170" s="24">
        <v>47</v>
      </c>
      <c r="B170" s="24">
        <v>1855</v>
      </c>
      <c r="C170" s="33" t="s">
        <v>100</v>
      </c>
      <c r="D170" s="26">
        <v>940454.31561500835</v>
      </c>
      <c r="E170" s="26">
        <v>110166.45022504788</v>
      </c>
      <c r="F170" s="26">
        <v>0</v>
      </c>
      <c r="G170" s="27">
        <f t="shared" si="8"/>
        <v>1050620.7658400564</v>
      </c>
      <c r="H170" s="28"/>
      <c r="I170" s="29">
        <v>0</v>
      </c>
      <c r="J170" s="26">
        <v>-39307.813394285782</v>
      </c>
      <c r="K170" s="26">
        <v>0</v>
      </c>
      <c r="L170" s="27">
        <f t="shared" si="9"/>
        <v>-39307.813394285782</v>
      </c>
      <c r="M170" s="30">
        <f t="shared" si="10"/>
        <v>1011312.9524457706</v>
      </c>
    </row>
    <row r="171" spans="1:13">
      <c r="A171" s="24"/>
      <c r="B171" s="24">
        <v>1856</v>
      </c>
      <c r="C171" s="33" t="s">
        <v>101</v>
      </c>
      <c r="D171" s="26">
        <v>250196.32134310389</v>
      </c>
      <c r="E171" s="26">
        <v>45334</v>
      </c>
      <c r="F171" s="26">
        <v>0</v>
      </c>
      <c r="G171" s="27">
        <f t="shared" si="8"/>
        <v>295530.32134310389</v>
      </c>
      <c r="H171" s="28"/>
      <c r="I171" s="29">
        <v>0</v>
      </c>
      <c r="J171" s="26">
        <v>-5420.1650689147336</v>
      </c>
      <c r="K171" s="26">
        <v>0</v>
      </c>
      <c r="L171" s="27">
        <f t="shared" si="9"/>
        <v>-5420.1650689147336</v>
      </c>
      <c r="M171" s="30">
        <f t="shared" si="10"/>
        <v>290110.15627418918</v>
      </c>
    </row>
    <row r="172" spans="1:13">
      <c r="A172" s="24">
        <v>47</v>
      </c>
      <c r="B172" s="24">
        <v>1860</v>
      </c>
      <c r="C172" s="33" t="s">
        <v>31</v>
      </c>
      <c r="D172" s="26">
        <v>633676.26064430317</v>
      </c>
      <c r="E172" s="26">
        <v>113750</v>
      </c>
      <c r="F172" s="26">
        <v>-201642.14069934422</v>
      </c>
      <c r="G172" s="27">
        <f t="shared" si="8"/>
        <v>545784.11994495895</v>
      </c>
      <c r="H172" s="28"/>
      <c r="I172" s="29">
        <v>0</v>
      </c>
      <c r="J172" s="26">
        <v>-71761.742271144554</v>
      </c>
      <c r="K172" s="26">
        <v>0</v>
      </c>
      <c r="L172" s="27">
        <f t="shared" si="9"/>
        <v>-71761.742271144554</v>
      </c>
      <c r="M172" s="30">
        <f t="shared" si="10"/>
        <v>474022.37767381442</v>
      </c>
    </row>
    <row r="173" spans="1:13">
      <c r="A173" s="24"/>
      <c r="B173" s="24">
        <v>1861</v>
      </c>
      <c r="C173" s="33" t="s">
        <v>102</v>
      </c>
      <c r="D173" s="26">
        <v>219034.09518098991</v>
      </c>
      <c r="E173" s="26">
        <v>8750</v>
      </c>
      <c r="F173" s="26">
        <v>0</v>
      </c>
      <c r="G173" s="27">
        <f t="shared" si="8"/>
        <v>227784.09518098991</v>
      </c>
      <c r="H173" s="28"/>
      <c r="I173" s="29">
        <v>0</v>
      </c>
      <c r="J173" s="26">
        <v>-6917.3311219251282</v>
      </c>
      <c r="K173" s="26">
        <v>0</v>
      </c>
      <c r="L173" s="27">
        <f t="shared" si="9"/>
        <v>-6917.3311219251282</v>
      </c>
      <c r="M173" s="30">
        <f t="shared" si="10"/>
        <v>220866.76405906479</v>
      </c>
    </row>
    <row r="174" spans="1:13">
      <c r="A174" s="24"/>
      <c r="B174" s="24">
        <v>1862</v>
      </c>
      <c r="C174" s="33" t="s">
        <v>103</v>
      </c>
      <c r="D174" s="26">
        <v>214493.94064286005</v>
      </c>
      <c r="E174" s="26">
        <v>0</v>
      </c>
      <c r="F174" s="26">
        <v>0</v>
      </c>
      <c r="G174" s="27">
        <f t="shared" si="8"/>
        <v>214493.94064286005</v>
      </c>
      <c r="H174" s="28"/>
      <c r="I174" s="29">
        <v>0</v>
      </c>
      <c r="J174" s="26">
        <v>-23488.03694156995</v>
      </c>
      <c r="K174" s="26">
        <v>0</v>
      </c>
      <c r="L174" s="27">
        <f t="shared" si="9"/>
        <v>-23488.03694156995</v>
      </c>
      <c r="M174" s="30">
        <f t="shared" si="10"/>
        <v>191005.90370129011</v>
      </c>
    </row>
    <row r="175" spans="1:13">
      <c r="A175" s="31"/>
      <c r="B175" s="31">
        <v>1863</v>
      </c>
      <c r="C175" s="32" t="s">
        <v>104</v>
      </c>
      <c r="D175" s="26">
        <v>128746.79353432904</v>
      </c>
      <c r="E175" s="26">
        <v>0</v>
      </c>
      <c r="F175" s="26">
        <v>0</v>
      </c>
      <c r="G175" s="27">
        <f t="shared" si="8"/>
        <v>128746.79353432904</v>
      </c>
      <c r="H175" s="28"/>
      <c r="I175" s="29">
        <v>0</v>
      </c>
      <c r="J175" s="26">
        <v>-12540.383392835502</v>
      </c>
      <c r="K175" s="26">
        <v>0</v>
      </c>
      <c r="L175" s="27">
        <f t="shared" si="9"/>
        <v>-12540.383392835502</v>
      </c>
      <c r="M175" s="30">
        <f t="shared" si="10"/>
        <v>116206.41014149354</v>
      </c>
    </row>
    <row r="176" spans="1:13">
      <c r="A176" s="31">
        <v>47</v>
      </c>
      <c r="B176" s="31">
        <v>1880</v>
      </c>
      <c r="C176" s="32" t="s">
        <v>105</v>
      </c>
      <c r="D176" s="26">
        <v>2328886.9631960839</v>
      </c>
      <c r="E176" s="26">
        <v>52500</v>
      </c>
      <c r="F176" s="26">
        <v>0</v>
      </c>
      <c r="G176" s="27">
        <f t="shared" si="8"/>
        <v>2381386.9631960839</v>
      </c>
      <c r="H176" s="28"/>
      <c r="I176" s="29">
        <v>0</v>
      </c>
      <c r="J176" s="26">
        <v>-414604.39205240807</v>
      </c>
      <c r="K176" s="26">
        <v>0</v>
      </c>
      <c r="L176" s="27">
        <f t="shared" si="9"/>
        <v>-414604.39205240807</v>
      </c>
      <c r="M176" s="30">
        <f t="shared" si="10"/>
        <v>1966782.5711436758</v>
      </c>
    </row>
    <row r="177" spans="1:13">
      <c r="A177" s="24"/>
      <c r="B177" s="24">
        <v>1890</v>
      </c>
      <c r="C177" s="33" t="s">
        <v>32</v>
      </c>
      <c r="D177" s="26">
        <v>468946.32000000007</v>
      </c>
      <c r="E177" s="26">
        <v>0</v>
      </c>
      <c r="F177" s="26">
        <v>0</v>
      </c>
      <c r="G177" s="27">
        <f t="shared" si="8"/>
        <v>468946.32000000007</v>
      </c>
      <c r="H177" s="28"/>
      <c r="I177" s="29">
        <v>0</v>
      </c>
      <c r="J177" s="26">
        <v>0</v>
      </c>
      <c r="K177" s="26">
        <v>0</v>
      </c>
      <c r="L177" s="27">
        <f t="shared" si="9"/>
        <v>0</v>
      </c>
      <c r="M177" s="30">
        <f t="shared" si="10"/>
        <v>468946.32000000007</v>
      </c>
    </row>
    <row r="178" spans="1:13">
      <c r="A178" s="24"/>
      <c r="B178" s="24">
        <v>1907</v>
      </c>
      <c r="C178" s="33" t="s">
        <v>106</v>
      </c>
      <c r="D178" s="26">
        <v>78348.484111111116</v>
      </c>
      <c r="E178" s="26">
        <v>0</v>
      </c>
      <c r="F178" s="26">
        <v>-1400</v>
      </c>
      <c r="G178" s="27">
        <f t="shared" si="8"/>
        <v>76948.484111111116</v>
      </c>
      <c r="H178" s="28"/>
      <c r="I178" s="29">
        <v>0</v>
      </c>
      <c r="J178" s="26">
        <v>-17219.725444444444</v>
      </c>
      <c r="K178" s="26">
        <v>0</v>
      </c>
      <c r="L178" s="27">
        <f t="shared" si="9"/>
        <v>-17219.725444444444</v>
      </c>
      <c r="M178" s="30">
        <f t="shared" si="10"/>
        <v>59728.758666666676</v>
      </c>
    </row>
    <row r="179" spans="1:13">
      <c r="A179" s="24">
        <v>47</v>
      </c>
      <c r="B179" s="24">
        <v>1908</v>
      </c>
      <c r="C179" s="33" t="s">
        <v>33</v>
      </c>
      <c r="D179" s="26">
        <v>379430.45923809509</v>
      </c>
      <c r="E179" s="26">
        <v>90000</v>
      </c>
      <c r="F179" s="26">
        <v>0</v>
      </c>
      <c r="G179" s="27">
        <f t="shared" si="8"/>
        <v>469430.45923809509</v>
      </c>
      <c r="H179" s="28"/>
      <c r="I179" s="29">
        <v>0</v>
      </c>
      <c r="J179" s="26">
        <v>-20977.06604761905</v>
      </c>
      <c r="K179" s="26">
        <v>0</v>
      </c>
      <c r="L179" s="27">
        <f t="shared" si="9"/>
        <v>-20977.06604761905</v>
      </c>
      <c r="M179" s="30">
        <f t="shared" si="10"/>
        <v>448453.39319047605</v>
      </c>
    </row>
    <row r="180" spans="1:13">
      <c r="A180" s="24">
        <v>8</v>
      </c>
      <c r="B180" s="24">
        <v>1915</v>
      </c>
      <c r="C180" s="33" t="s">
        <v>35</v>
      </c>
      <c r="D180" s="26">
        <v>28354.77999999997</v>
      </c>
      <c r="E180" s="26">
        <v>0</v>
      </c>
      <c r="F180" s="26">
        <v>0</v>
      </c>
      <c r="G180" s="27">
        <f t="shared" si="8"/>
        <v>28354.77999999997</v>
      </c>
      <c r="H180" s="28"/>
      <c r="I180" s="29">
        <v>0</v>
      </c>
      <c r="J180" s="26">
        <v>-5513.4899999999989</v>
      </c>
      <c r="K180" s="26">
        <v>0</v>
      </c>
      <c r="L180" s="27">
        <f t="shared" si="9"/>
        <v>-5513.4899999999989</v>
      </c>
      <c r="M180" s="30">
        <f t="shared" si="10"/>
        <v>22841.289999999972</v>
      </c>
    </row>
    <row r="181" spans="1:13">
      <c r="A181" s="24">
        <v>45.1</v>
      </c>
      <c r="B181" s="24">
        <v>1920</v>
      </c>
      <c r="C181" s="33" t="s">
        <v>38</v>
      </c>
      <c r="D181" s="26">
        <v>231677.86714285717</v>
      </c>
      <c r="E181" s="26">
        <v>30000</v>
      </c>
      <c r="F181" s="26">
        <v>0</v>
      </c>
      <c r="G181" s="27">
        <f t="shared" si="8"/>
        <v>261677.86714285717</v>
      </c>
      <c r="H181" s="28"/>
      <c r="I181" s="29">
        <v>0</v>
      </c>
      <c r="J181" s="26">
        <v>-81130.748428571416</v>
      </c>
      <c r="K181" s="26">
        <v>0</v>
      </c>
      <c r="L181" s="27">
        <f t="shared" si="9"/>
        <v>-81130.748428571416</v>
      </c>
      <c r="M181" s="30">
        <f t="shared" si="10"/>
        <v>180547.11871428575</v>
      </c>
    </row>
    <row r="182" spans="1:13">
      <c r="A182" s="24">
        <v>10</v>
      </c>
      <c r="B182" s="24">
        <v>1930</v>
      </c>
      <c r="C182" s="33" t="s">
        <v>39</v>
      </c>
      <c r="D182" s="26">
        <v>751926.70773245627</v>
      </c>
      <c r="E182" s="26">
        <v>105000</v>
      </c>
      <c r="F182" s="26">
        <v>0</v>
      </c>
      <c r="G182" s="27">
        <f t="shared" si="8"/>
        <v>856926.70773245627</v>
      </c>
      <c r="H182" s="28"/>
      <c r="I182" s="29">
        <v>0</v>
      </c>
      <c r="J182" s="26">
        <v>-110183.34263377193</v>
      </c>
      <c r="K182" s="26">
        <v>0</v>
      </c>
      <c r="L182" s="27">
        <f t="shared" si="9"/>
        <v>-110183.34263377193</v>
      </c>
      <c r="M182" s="30">
        <f t="shared" si="10"/>
        <v>746743.36509868433</v>
      </c>
    </row>
    <row r="183" spans="1:13">
      <c r="A183" s="24"/>
      <c r="B183" s="24">
        <v>1931</v>
      </c>
      <c r="C183" s="33" t="s">
        <v>107</v>
      </c>
      <c r="D183" s="26">
        <v>95550.04319298247</v>
      </c>
      <c r="E183" s="26">
        <v>30000</v>
      </c>
      <c r="F183" s="26">
        <v>0</v>
      </c>
      <c r="G183" s="27">
        <f t="shared" si="8"/>
        <v>125550.04319298247</v>
      </c>
      <c r="H183" s="28"/>
      <c r="I183" s="29">
        <v>0</v>
      </c>
      <c r="J183" s="26">
        <v>-14029.555403508772</v>
      </c>
      <c r="K183" s="26">
        <v>0</v>
      </c>
      <c r="L183" s="27">
        <f t="shared" si="9"/>
        <v>-14029.555403508772</v>
      </c>
      <c r="M183" s="30">
        <f t="shared" si="10"/>
        <v>111520.4877894737</v>
      </c>
    </row>
    <row r="184" spans="1:13">
      <c r="A184" s="24">
        <v>8</v>
      </c>
      <c r="B184" s="24">
        <v>1940</v>
      </c>
      <c r="C184" s="33" t="s">
        <v>41</v>
      </c>
      <c r="D184" s="26">
        <v>132546.08702941181</v>
      </c>
      <c r="E184" s="26">
        <v>30000</v>
      </c>
      <c r="F184" s="26">
        <v>0</v>
      </c>
      <c r="G184" s="27">
        <f t="shared" si="8"/>
        <v>162546.08702941181</v>
      </c>
      <c r="H184" s="28"/>
      <c r="I184" s="29">
        <v>0</v>
      </c>
      <c r="J184" s="26">
        <v>-28838.714235294119</v>
      </c>
      <c r="K184" s="26">
        <v>0</v>
      </c>
      <c r="L184" s="27">
        <f t="shared" si="9"/>
        <v>-28838.714235294119</v>
      </c>
      <c r="M184" s="30">
        <f t="shared" si="10"/>
        <v>133707.37279411769</v>
      </c>
    </row>
    <row r="185" spans="1:13">
      <c r="A185" s="24">
        <v>8</v>
      </c>
      <c r="B185" s="24">
        <v>1945</v>
      </c>
      <c r="C185" s="33" t="s">
        <v>42</v>
      </c>
      <c r="D185" s="26">
        <v>6439.3100000000013</v>
      </c>
      <c r="E185" s="26">
        <v>0</v>
      </c>
      <c r="F185" s="26">
        <v>0</v>
      </c>
      <c r="G185" s="27">
        <f t="shared" si="8"/>
        <v>6439.3100000000013</v>
      </c>
      <c r="H185" s="28"/>
      <c r="I185" s="29">
        <v>0</v>
      </c>
      <c r="J185" s="26">
        <v>-3219.6549999999997</v>
      </c>
      <c r="K185" s="26">
        <v>0</v>
      </c>
      <c r="L185" s="27">
        <f t="shared" si="9"/>
        <v>-3219.6549999999997</v>
      </c>
      <c r="M185" s="30">
        <f t="shared" si="10"/>
        <v>3219.6550000000016</v>
      </c>
    </row>
    <row r="186" spans="1:13">
      <c r="A186" s="34">
        <v>8</v>
      </c>
      <c r="B186" s="34">
        <v>1955</v>
      </c>
      <c r="C186" s="25" t="s">
        <v>43</v>
      </c>
      <c r="D186" s="26">
        <v>72.399999999994179</v>
      </c>
      <c r="E186" s="26">
        <v>0</v>
      </c>
      <c r="F186" s="26">
        <v>0</v>
      </c>
      <c r="G186" s="27">
        <f t="shared" si="8"/>
        <v>72.399999999994179</v>
      </c>
      <c r="H186" s="28"/>
      <c r="I186" s="29">
        <v>0</v>
      </c>
      <c r="J186" s="26">
        <v>-36.199999999999989</v>
      </c>
      <c r="K186" s="26">
        <v>0</v>
      </c>
      <c r="L186" s="27">
        <f t="shared" si="9"/>
        <v>-36.199999999999989</v>
      </c>
      <c r="M186" s="30">
        <f t="shared" si="10"/>
        <v>36.199999999994191</v>
      </c>
    </row>
    <row r="187" spans="1:13">
      <c r="A187" s="24">
        <v>8</v>
      </c>
      <c r="B187" s="24">
        <v>1960</v>
      </c>
      <c r="C187" s="33" t="s">
        <v>44</v>
      </c>
      <c r="D187" s="26">
        <v>2352.7200000000012</v>
      </c>
      <c r="E187" s="26">
        <v>0</v>
      </c>
      <c r="F187" s="26">
        <v>0</v>
      </c>
      <c r="G187" s="27">
        <f t="shared" si="8"/>
        <v>2352.7200000000012</v>
      </c>
      <c r="H187" s="28"/>
      <c r="I187" s="29">
        <v>0</v>
      </c>
      <c r="J187" s="26">
        <v>-784.23999999999978</v>
      </c>
      <c r="K187" s="26">
        <v>0</v>
      </c>
      <c r="L187" s="27">
        <f t="shared" si="9"/>
        <v>-784.23999999999978</v>
      </c>
      <c r="M187" s="30">
        <f t="shared" si="10"/>
        <v>1568.4800000000014</v>
      </c>
    </row>
    <row r="188" spans="1:13" ht="25.5">
      <c r="A188" s="24">
        <v>47</v>
      </c>
      <c r="B188" s="24">
        <v>1970</v>
      </c>
      <c r="C188" s="33" t="s">
        <v>45</v>
      </c>
      <c r="D188" s="26">
        <v>19051.554999999993</v>
      </c>
      <c r="E188" s="26">
        <v>0</v>
      </c>
      <c r="F188" s="26">
        <v>0</v>
      </c>
      <c r="G188" s="27">
        <f t="shared" si="8"/>
        <v>19051.554999999993</v>
      </c>
      <c r="H188" s="28"/>
      <c r="I188" s="29">
        <v>0</v>
      </c>
      <c r="J188" s="26">
        <v>-14808.0825</v>
      </c>
      <c r="K188" s="26">
        <v>0</v>
      </c>
      <c r="L188" s="27">
        <f t="shared" si="9"/>
        <v>-14808.0825</v>
      </c>
      <c r="M188" s="30">
        <f t="shared" si="10"/>
        <v>4243.4724999999926</v>
      </c>
    </row>
    <row r="189" spans="1:13">
      <c r="A189" s="1">
        <v>47</v>
      </c>
      <c r="B189" s="24">
        <v>1980</v>
      </c>
      <c r="C189" s="117" t="s">
        <v>46</v>
      </c>
      <c r="D189" s="26">
        <v>152949.89068116632</v>
      </c>
      <c r="E189" s="26">
        <v>50000</v>
      </c>
      <c r="F189" s="26">
        <v>0</v>
      </c>
      <c r="G189" s="27">
        <f t="shared" si="8"/>
        <v>202949.89068116632</v>
      </c>
      <c r="H189" s="28"/>
      <c r="I189" s="29">
        <v>0</v>
      </c>
      <c r="J189" s="26">
        <v>-15150.805659416827</v>
      </c>
      <c r="K189" s="26">
        <v>0</v>
      </c>
      <c r="L189" s="27">
        <f t="shared" si="9"/>
        <v>-15150.805659416827</v>
      </c>
      <c r="M189" s="30">
        <f t="shared" si="10"/>
        <v>187799.08502174949</v>
      </c>
    </row>
    <row r="190" spans="1:13">
      <c r="A190" s="35"/>
      <c r="B190" s="35">
        <v>2075</v>
      </c>
      <c r="C190" s="36" t="s">
        <v>108</v>
      </c>
      <c r="D190" s="26">
        <v>242861.14952895753</v>
      </c>
      <c r="E190" s="26">
        <v>0</v>
      </c>
      <c r="F190" s="26">
        <v>0</v>
      </c>
      <c r="G190" s="27">
        <f t="shared" si="8"/>
        <v>242861.14952895753</v>
      </c>
      <c r="H190" s="3"/>
      <c r="I190" s="26">
        <v>0</v>
      </c>
      <c r="J190" s="26">
        <v>-14862.85523552123</v>
      </c>
      <c r="K190" s="26">
        <v>0</v>
      </c>
      <c r="L190" s="27">
        <f t="shared" si="9"/>
        <v>-14862.85523552123</v>
      </c>
      <c r="M190" s="30">
        <f t="shared" si="10"/>
        <v>227998.29429343628</v>
      </c>
    </row>
    <row r="191" spans="1:13">
      <c r="A191" s="35"/>
      <c r="B191" s="35">
        <v>1609</v>
      </c>
      <c r="C191" s="36" t="s">
        <v>61</v>
      </c>
      <c r="D191" s="26">
        <v>1632414.262962963</v>
      </c>
      <c r="E191" s="26">
        <v>436468</v>
      </c>
      <c r="F191" s="26">
        <v>0</v>
      </c>
      <c r="G191" s="27">
        <f t="shared" si="8"/>
        <v>2068882.262962963</v>
      </c>
      <c r="H191" s="3"/>
      <c r="I191" s="26">
        <v>0</v>
      </c>
      <c r="J191" s="26">
        <f>-95706.2444444445+2</f>
        <v>-95704.244444444499</v>
      </c>
      <c r="K191" s="26">
        <v>0</v>
      </c>
      <c r="L191" s="27">
        <f t="shared" si="9"/>
        <v>-95704.244444444499</v>
      </c>
      <c r="M191" s="30">
        <f t="shared" si="10"/>
        <v>1973178.0185185184</v>
      </c>
    </row>
    <row r="192" spans="1:13">
      <c r="A192" s="35"/>
      <c r="B192" s="35"/>
      <c r="C192" s="38" t="s">
        <v>49</v>
      </c>
      <c r="D192" s="39">
        <f>SUM(D150:D191)</f>
        <v>39184375.406061992</v>
      </c>
      <c r="E192" s="39">
        <f>SUM(E150:E191)</f>
        <v>17783281.120000001</v>
      </c>
      <c r="F192" s="39">
        <f>SUM(F150:F191)</f>
        <v>-632747.46528496128</v>
      </c>
      <c r="G192" s="39">
        <f>SUM(G150:G191)</f>
        <v>56334909.060777023</v>
      </c>
      <c r="H192" s="39"/>
      <c r="I192" s="39">
        <f>SUM(I150:I191)</f>
        <v>0</v>
      </c>
      <c r="J192" s="39">
        <f>SUM(J150:J191)</f>
        <v>-2694148.6846258314</v>
      </c>
      <c r="K192" s="39">
        <f>SUM(K150:K191)</f>
        <v>0</v>
      </c>
      <c r="L192" s="39">
        <f>SUM(L150:L191)</f>
        <v>-2694148.6846258314</v>
      </c>
      <c r="M192" s="39">
        <f>SUM(M150:M191)</f>
        <v>53640760.376151204</v>
      </c>
    </row>
    <row r="193" spans="1:13" ht="38.25">
      <c r="A193" s="35"/>
      <c r="B193" s="35"/>
      <c r="C193" s="40" t="s">
        <v>109</v>
      </c>
      <c r="D193" s="37">
        <v>0</v>
      </c>
      <c r="E193" s="37">
        <v>0</v>
      </c>
      <c r="F193" s="37">
        <v>0</v>
      </c>
      <c r="G193" s="27">
        <f>SUM(D193:F193)</f>
        <v>0</v>
      </c>
      <c r="H193" s="3"/>
      <c r="I193" s="37">
        <v>0</v>
      </c>
      <c r="J193" s="37">
        <v>0</v>
      </c>
      <c r="K193" s="37">
        <v>0</v>
      </c>
      <c r="L193" s="27">
        <v>0</v>
      </c>
      <c r="M193" s="30">
        <f>G193+L193</f>
        <v>0</v>
      </c>
    </row>
    <row r="194" spans="1:13" ht="25.5">
      <c r="A194" s="35"/>
      <c r="B194" s="35"/>
      <c r="C194" s="41" t="s">
        <v>110</v>
      </c>
      <c r="D194" s="42">
        <v>-242861.30952895791</v>
      </c>
      <c r="E194" s="37">
        <v>0</v>
      </c>
      <c r="F194" s="37">
        <v>0</v>
      </c>
      <c r="G194" s="27">
        <f>SUM(D194:F194)</f>
        <v>-242861.30952895791</v>
      </c>
      <c r="H194" s="3"/>
      <c r="I194" s="42">
        <v>0</v>
      </c>
      <c r="J194" s="42">
        <v>14862.85523552123</v>
      </c>
      <c r="K194" s="37">
        <v>0</v>
      </c>
      <c r="L194" s="27">
        <v>14862.85523552123</v>
      </c>
      <c r="M194" s="30">
        <f>G194+L194</f>
        <v>-227998.45429343666</v>
      </c>
    </row>
    <row r="195" spans="1:13">
      <c r="A195" s="35"/>
      <c r="B195" s="35"/>
      <c r="C195" s="38" t="s">
        <v>52</v>
      </c>
      <c r="D195" s="39">
        <f>SUM(D192:D194)</f>
        <v>38941514.096533038</v>
      </c>
      <c r="E195" s="39">
        <f>SUM(E192:E194)</f>
        <v>17783281.120000001</v>
      </c>
      <c r="F195" s="39">
        <f>SUM(F192:F194)</f>
        <v>-632747.46528496128</v>
      </c>
      <c r="G195" s="39">
        <f>SUM(G192:G194)</f>
        <v>56092047.751248069</v>
      </c>
      <c r="H195" s="39"/>
      <c r="I195" s="39">
        <f>SUM(I192:I194)</f>
        <v>0</v>
      </c>
      <c r="J195" s="39">
        <f>SUM(J192:J194)</f>
        <v>-2679285.8293903102</v>
      </c>
      <c r="K195" s="39">
        <f>SUM(K192:K194)</f>
        <v>0</v>
      </c>
      <c r="L195" s="39">
        <f>SUM(L192:L194)</f>
        <v>-2679285.8293903102</v>
      </c>
      <c r="M195" s="39">
        <f>SUM(M192:M194)</f>
        <v>53412761.921857767</v>
      </c>
    </row>
    <row r="196" spans="1:13">
      <c r="A196" s="35"/>
      <c r="B196" s="35"/>
      <c r="C196" s="127" t="s">
        <v>81</v>
      </c>
      <c r="D196" s="128"/>
      <c r="E196" s="128"/>
      <c r="F196" s="128"/>
      <c r="G196" s="128"/>
      <c r="H196" s="128"/>
      <c r="I196" s="129"/>
      <c r="J196" s="37"/>
      <c r="K196" s="114"/>
      <c r="L196" s="115"/>
      <c r="M196" s="116"/>
    </row>
    <row r="197" spans="1:13">
      <c r="A197" s="35"/>
      <c r="B197" s="35"/>
      <c r="C197" s="127" t="s">
        <v>82</v>
      </c>
      <c r="D197" s="128"/>
      <c r="E197" s="128"/>
      <c r="F197" s="128"/>
      <c r="G197" s="128"/>
      <c r="H197" s="128"/>
      <c r="I197" s="129"/>
      <c r="J197" s="39">
        <f>J195</f>
        <v>-2679285.8293903102</v>
      </c>
      <c r="K197" s="114"/>
      <c r="L197" s="115"/>
      <c r="M197" s="116"/>
    </row>
    <row r="198" spans="1:13">
      <c r="A198" s="1"/>
      <c r="B198" s="1"/>
      <c r="C198" s="2"/>
      <c r="D198" s="2"/>
      <c r="E198" s="2"/>
      <c r="F198" s="2"/>
      <c r="G198" s="2"/>
      <c r="H198" s="3"/>
      <c r="I198" s="2"/>
      <c r="J198" s="2"/>
      <c r="K198" s="2"/>
      <c r="L198" s="2"/>
      <c r="M198" s="2"/>
    </row>
    <row r="199" spans="1:13">
      <c r="A199" s="1"/>
      <c r="B199" s="1"/>
      <c r="C199" s="2"/>
      <c r="D199" s="2"/>
      <c r="E199" s="2"/>
      <c r="F199" s="2"/>
      <c r="G199" s="2"/>
      <c r="H199" s="3"/>
      <c r="I199" s="43" t="s">
        <v>111</v>
      </c>
      <c r="J199" s="44"/>
      <c r="K199" s="2"/>
      <c r="L199" s="2"/>
      <c r="M199" s="2"/>
    </row>
    <row r="200" spans="1:13">
      <c r="A200" s="35">
        <v>10</v>
      </c>
      <c r="B200" s="35"/>
      <c r="C200" s="36" t="s">
        <v>54</v>
      </c>
      <c r="D200" s="2"/>
      <c r="E200" s="2"/>
      <c r="F200" s="2"/>
      <c r="G200" s="2"/>
      <c r="H200" s="3"/>
      <c r="I200" s="44" t="s">
        <v>54</v>
      </c>
      <c r="J200" s="44"/>
      <c r="K200" s="45">
        <v>-156997</v>
      </c>
      <c r="L200" s="2"/>
      <c r="M200" s="2"/>
    </row>
    <row r="201" spans="1:13">
      <c r="A201" s="35">
        <v>8</v>
      </c>
      <c r="B201" s="35"/>
      <c r="C201" s="36" t="s">
        <v>40</v>
      </c>
      <c r="D201" s="2"/>
      <c r="E201" s="2"/>
      <c r="F201" s="2"/>
      <c r="G201" s="2"/>
      <c r="H201" s="3"/>
      <c r="I201" s="44" t="s">
        <v>40</v>
      </c>
      <c r="J201" s="44"/>
      <c r="K201" s="46"/>
      <c r="L201" s="2"/>
      <c r="M201" s="2"/>
    </row>
    <row r="202" spans="1:13">
      <c r="A202" s="1"/>
      <c r="B202" s="118"/>
      <c r="C202" s="118"/>
      <c r="D202" s="118"/>
      <c r="E202" s="118"/>
      <c r="F202" s="118"/>
      <c r="G202" s="118"/>
      <c r="H202" s="118"/>
      <c r="I202" s="44" t="s">
        <v>55</v>
      </c>
      <c r="J202" s="118"/>
      <c r="K202" s="119">
        <f>J197-K200</f>
        <v>-2522288.8293903102</v>
      </c>
      <c r="L202" s="118"/>
      <c r="M202" s="118"/>
    </row>
  </sheetData>
  <mergeCells count="14">
    <mergeCell ref="C197:I197"/>
    <mergeCell ref="A143:M143"/>
    <mergeCell ref="A144:M144"/>
    <mergeCell ref="D6:G6"/>
    <mergeCell ref="A1:M1"/>
    <mergeCell ref="A2:M2"/>
    <mergeCell ref="A49:M49"/>
    <mergeCell ref="A50:M50"/>
    <mergeCell ref="D54:G54"/>
    <mergeCell ref="A97:M97"/>
    <mergeCell ref="A98:M98"/>
    <mergeCell ref="D102:G102"/>
    <mergeCell ref="D148:G148"/>
    <mergeCell ref="C196:I196"/>
  </mergeCells>
  <pageMargins left="0.70866141732283472" right="0.70866141732283472" top="0.74803149606299213" bottom="0.74803149606299213" header="0.31496062992125984" footer="0.31496062992125984"/>
  <pageSetup scale="40" fitToHeight="5"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2-BA</vt:lpstr>
      <vt:lpstr>2-BA Comparative tables</vt:lpstr>
      <vt:lpstr>Sheet3</vt:lpstr>
    </vt:vector>
  </TitlesOfParts>
  <Company>Festival Hydro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Mccann</dc:creator>
  <cp:lastModifiedBy>Debbie Reece</cp:lastModifiedBy>
  <cp:lastPrinted>2014-09-22T18:21:18Z</cp:lastPrinted>
  <dcterms:created xsi:type="dcterms:W3CDTF">2014-08-13T15:26:39Z</dcterms:created>
  <dcterms:modified xsi:type="dcterms:W3CDTF">2014-09-24T21:08:08Z</dcterms:modified>
</cp:coreProperties>
</file>